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0F5E0C-CEC5-4EA5-833D-C4586F9879F8}" xr6:coauthVersionLast="47" xr6:coauthVersionMax="47" xr10:uidLastSave="{00000000-0000-0000-0000-000000000000}"/>
  <bookViews>
    <workbookView xWindow="-120" yWindow="-120" windowWidth="20730" windowHeight="11040" firstSheet="5" activeTab="12" xr2:uid="{00000000-000D-0000-FFFF-FFFF00000000}"/>
  </bookViews>
  <sheets>
    <sheet name="Model" sheetId="18" r:id="rId1"/>
    <sheet name="Lists" sheetId="9" r:id="rId2"/>
    <sheet name="Data" sheetId="8" r:id="rId3"/>
    <sheet name="Plan" sheetId="12" r:id="rId4"/>
    <sheet name="Cust" sheetId="17" r:id="rId5"/>
    <sheet name="Hires" sheetId="16" r:id="rId6"/>
    <sheet name="Sick" sheetId="15" r:id="rId7"/>
    <sheet name="FTE" sheetId="13" r:id="rId8"/>
    <sheet name="General" sheetId="14" r:id="rId9"/>
    <sheet name="Other" sheetId="11" r:id="rId10"/>
    <sheet name="Calcs" sheetId="10" r:id="rId11"/>
    <sheet name="Check" sheetId="19" r:id="rId12"/>
    <sheet name="Summary" sheetId="7" r:id="rId13"/>
  </sheets>
  <definedNames>
    <definedName name="_xlnm._FilterDatabase" localSheetId="3" hidden="1">Plan!$X$2:$AF$66</definedName>
    <definedName name="Loans">Summary!$J$20:$O$20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6" l="1" a="1"/>
  <c r="C1" i="16" s="1"/>
  <c r="J1" i="16" l="1"/>
  <c r="I1" i="16"/>
  <c r="H1" i="16"/>
  <c r="G1" i="16"/>
  <c r="F1" i="16"/>
  <c r="M1" i="16"/>
  <c r="E1" i="16"/>
  <c r="L1" i="16"/>
  <c r="D1" i="16"/>
  <c r="K1" i="16"/>
  <c r="E5" i="18" l="1"/>
  <c r="E6" i="18"/>
  <c r="E7" i="18"/>
  <c r="E8" i="18"/>
  <c r="E9" i="18"/>
  <c r="E10" i="18"/>
  <c r="E11" i="18"/>
  <c r="E12" i="18"/>
  <c r="E13" i="18"/>
  <c r="E14" i="18"/>
  <c r="E4" i="18"/>
  <c r="E3" i="18"/>
  <c r="E2" i="18"/>
  <c r="B5" i="9" l="1"/>
  <c r="A7" i="10" s="1"/>
  <c r="D1" i="8"/>
  <c r="C7" i="10" s="1"/>
  <c r="C1" i="8"/>
  <c r="B7" i="10" s="1"/>
  <c r="J10" i="7"/>
  <c r="K10" i="7" s="1"/>
  <c r="C2" i="10" s="1"/>
  <c r="K1" i="12"/>
  <c r="J1" i="12"/>
  <c r="I1" i="12"/>
  <c r="H1" i="12"/>
  <c r="G1" i="12"/>
  <c r="F1" i="12"/>
  <c r="E1" i="12"/>
  <c r="D1" i="12"/>
  <c r="C1" i="12"/>
  <c r="A3" i="10"/>
  <c r="L30" i="7" s="1"/>
  <c r="C32" i="11"/>
  <c r="C33" i="11"/>
  <c r="C34" i="11"/>
  <c r="C35" i="11"/>
  <c r="C36" i="11"/>
  <c r="C22" i="11"/>
  <c r="C23" i="11"/>
  <c r="C24" i="11"/>
  <c r="C25" i="11"/>
  <c r="C26" i="11" s="1"/>
  <c r="C12" i="11"/>
  <c r="C13" i="11"/>
  <c r="C14" i="11"/>
  <c r="C15" i="11"/>
  <c r="E1" i="8"/>
  <c r="D7" i="10" s="1"/>
  <c r="F1" i="8"/>
  <c r="E7" i="10" s="1"/>
  <c r="G1" i="8"/>
  <c r="F7" i="10" s="1"/>
  <c r="H1" i="8"/>
  <c r="G7" i="10" s="1"/>
  <c r="I1" i="8"/>
  <c r="H7" i="10" s="1"/>
  <c r="J1" i="8"/>
  <c r="I7" i="10" s="1"/>
  <c r="K1" i="8"/>
  <c r="J7" i="10" s="1"/>
  <c r="H22" i="8"/>
  <c r="I22" i="8" s="1"/>
  <c r="J22" i="8" s="1"/>
  <c r="K22" i="8" s="1"/>
  <c r="D23" i="8"/>
  <c r="D24" i="8"/>
  <c r="D25" i="8"/>
  <c r="D27" i="8"/>
  <c r="D28" i="8"/>
  <c r="D29" i="8"/>
  <c r="D30" i="8"/>
  <c r="D31" i="8"/>
  <c r="D32" i="8"/>
  <c r="D33" i="8"/>
  <c r="D34" i="8"/>
  <c r="D22" i="8"/>
  <c r="E22" i="8" s="1"/>
  <c r="F22" i="8" s="1"/>
  <c r="B2" i="9"/>
  <c r="C16" i="11" l="1"/>
  <c r="J20" i="10"/>
  <c r="E9" i="10"/>
  <c r="D18" i="10"/>
  <c r="K2" i="19"/>
  <c r="B2" i="19"/>
  <c r="I2" i="19"/>
  <c r="H2" i="19"/>
  <c r="F2" i="19"/>
  <c r="E2" i="19"/>
  <c r="J2" i="19"/>
  <c r="G2" i="19"/>
  <c r="B12" i="10"/>
  <c r="D2" i="19"/>
  <c r="C2" i="19"/>
  <c r="D10" i="10"/>
  <c r="B20" i="10"/>
  <c r="B73" i="10"/>
  <c r="D14" i="7" s="1"/>
  <c r="C11" i="10"/>
  <c r="C67" i="10"/>
  <c r="B74" i="10"/>
  <c r="D15" i="7" s="1"/>
  <c r="J12" i="10"/>
  <c r="F8" i="10"/>
  <c r="B79" i="10"/>
  <c r="D20" i="7" s="1"/>
  <c r="C65" i="10"/>
  <c r="C66" i="10"/>
  <c r="C19" i="10"/>
  <c r="B75" i="10"/>
  <c r="D16" i="7" s="1"/>
  <c r="B71" i="10"/>
  <c r="D12" i="7" s="1"/>
  <c r="B72" i="10"/>
  <c r="D13" i="7" s="1"/>
  <c r="B8" i="10"/>
  <c r="B78" i="10"/>
  <c r="D19" i="7" s="1"/>
  <c r="F16" i="10"/>
  <c r="G15" i="10"/>
  <c r="B2" i="10"/>
  <c r="C26" i="10"/>
  <c r="E45" i="10" s="1"/>
  <c r="C4" i="10"/>
  <c r="C3" i="10"/>
  <c r="I13" i="10"/>
  <c r="C37" i="11"/>
  <c r="H23" i="10"/>
  <c r="C17" i="11"/>
  <c r="G23" i="10"/>
  <c r="E17" i="10"/>
  <c r="C27" i="11"/>
  <c r="I22" i="10"/>
  <c r="H22" i="10"/>
  <c r="I21" i="10"/>
  <c r="H14" i="10"/>
  <c r="G8" i="10"/>
  <c r="F9" i="10"/>
  <c r="E10" i="10"/>
  <c r="D11" i="10"/>
  <c r="C12" i="10"/>
  <c r="B13" i="10"/>
  <c r="J13" i="10"/>
  <c r="I14" i="10"/>
  <c r="H15" i="10"/>
  <c r="G16" i="10"/>
  <c r="F17" i="10"/>
  <c r="E18" i="10"/>
  <c r="D19" i="10"/>
  <c r="C20" i="10"/>
  <c r="B21" i="10"/>
  <c r="J21" i="10"/>
  <c r="H8" i="10"/>
  <c r="G9" i="10"/>
  <c r="F10" i="10"/>
  <c r="E11" i="10"/>
  <c r="D12" i="10"/>
  <c r="C13" i="10"/>
  <c r="B14" i="10"/>
  <c r="J14" i="10"/>
  <c r="I15" i="10"/>
  <c r="H16" i="10"/>
  <c r="G17" i="10"/>
  <c r="F18" i="10"/>
  <c r="E19" i="10"/>
  <c r="D20" i="10"/>
  <c r="C21" i="10"/>
  <c r="B22" i="10"/>
  <c r="J22" i="10"/>
  <c r="I23" i="10"/>
  <c r="B76" i="10"/>
  <c r="D17" i="7" s="1"/>
  <c r="C63" i="10"/>
  <c r="B88" i="10"/>
  <c r="I8" i="10"/>
  <c r="H9" i="10"/>
  <c r="G10" i="10"/>
  <c r="F11" i="10"/>
  <c r="E12" i="10"/>
  <c r="D13" i="10"/>
  <c r="C14" i="10"/>
  <c r="B15" i="10"/>
  <c r="J15" i="10"/>
  <c r="I16" i="10"/>
  <c r="H17" i="10"/>
  <c r="G18" i="10"/>
  <c r="F19" i="10"/>
  <c r="E20" i="10"/>
  <c r="D21" i="10"/>
  <c r="C22" i="10"/>
  <c r="B23" i="10"/>
  <c r="J23" i="10"/>
  <c r="J8" i="10"/>
  <c r="I9" i="10"/>
  <c r="H10" i="10"/>
  <c r="G11" i="10"/>
  <c r="F12" i="10"/>
  <c r="E13" i="10"/>
  <c r="D14" i="10"/>
  <c r="C15" i="10"/>
  <c r="B16" i="10"/>
  <c r="J16" i="10"/>
  <c r="I17" i="10"/>
  <c r="H18" i="10"/>
  <c r="G19" i="10"/>
  <c r="F20" i="10"/>
  <c r="E21" i="10"/>
  <c r="D22" i="10"/>
  <c r="C23" i="10"/>
  <c r="B77" i="10"/>
  <c r="D18" i="7" s="1"/>
  <c r="B83" i="10"/>
  <c r="C8" i="10"/>
  <c r="B9" i="10"/>
  <c r="J9" i="10"/>
  <c r="I10" i="10"/>
  <c r="H11" i="10"/>
  <c r="G12" i="10"/>
  <c r="F13" i="10"/>
  <c r="E14" i="10"/>
  <c r="D15" i="10"/>
  <c r="C16" i="10"/>
  <c r="B17" i="10"/>
  <c r="J17" i="10"/>
  <c r="I18" i="10"/>
  <c r="H19" i="10"/>
  <c r="G20" i="10"/>
  <c r="F21" i="10"/>
  <c r="E22" i="10"/>
  <c r="D23" i="10"/>
  <c r="E83" i="10"/>
  <c r="F83" i="10" s="1"/>
  <c r="D8" i="10"/>
  <c r="C9" i="10"/>
  <c r="B10" i="10"/>
  <c r="J10" i="10"/>
  <c r="I11" i="10"/>
  <c r="H12" i="10"/>
  <c r="G13" i="10"/>
  <c r="F14" i="10"/>
  <c r="E15" i="10"/>
  <c r="D16" i="10"/>
  <c r="C17" i="10"/>
  <c r="B18" i="10"/>
  <c r="J18" i="10"/>
  <c r="I19" i="10"/>
  <c r="H20" i="10"/>
  <c r="G21" i="10"/>
  <c r="F22" i="10"/>
  <c r="E23" i="10"/>
  <c r="E8" i="10"/>
  <c r="D9" i="10"/>
  <c r="C10" i="10"/>
  <c r="B11" i="10"/>
  <c r="J11" i="10"/>
  <c r="I12" i="10"/>
  <c r="H13" i="10"/>
  <c r="G14" i="10"/>
  <c r="F15" i="10"/>
  <c r="E16" i="10"/>
  <c r="D17" i="10"/>
  <c r="C18" i="10"/>
  <c r="B19" i="10"/>
  <c r="J19" i="10"/>
  <c r="I20" i="10"/>
  <c r="H21" i="10"/>
  <c r="G22" i="10"/>
  <c r="F23" i="10"/>
  <c r="C64" i="10"/>
  <c r="B87" i="10"/>
  <c r="C83" i="10"/>
  <c r="D83" i="10" s="1"/>
  <c r="L10" i="7"/>
  <c r="E46" i="10" l="1"/>
  <c r="F38" i="19"/>
  <c r="F39" i="19" s="1"/>
  <c r="E47" i="10"/>
  <c r="C28" i="19"/>
  <c r="C30" i="19"/>
  <c r="C31" i="19"/>
  <c r="C32" i="19"/>
  <c r="C34" i="19"/>
  <c r="C29" i="19"/>
  <c r="C33" i="19"/>
  <c r="C27" i="19"/>
  <c r="K6" i="19"/>
  <c r="C26" i="19"/>
  <c r="K3" i="19"/>
  <c r="H9" i="19"/>
  <c r="H13" i="19"/>
  <c r="D3" i="19"/>
  <c r="G10" i="19"/>
  <c r="C8" i="19"/>
  <c r="F16" i="19"/>
  <c r="K14" i="19"/>
  <c r="E10" i="19"/>
  <c r="I13" i="19"/>
  <c r="C12" i="19"/>
  <c r="E14" i="19"/>
  <c r="I9" i="19"/>
  <c r="D15" i="19"/>
  <c r="J18" i="19"/>
  <c r="H5" i="19"/>
  <c r="F8" i="19"/>
  <c r="E6" i="19"/>
  <c r="J10" i="19"/>
  <c r="J8" i="19"/>
  <c r="G14" i="19"/>
  <c r="F4" i="19"/>
  <c r="C18" i="19"/>
  <c r="J4" i="19"/>
  <c r="G18" i="19"/>
  <c r="H17" i="19"/>
  <c r="D11" i="19"/>
  <c r="I17" i="19"/>
  <c r="G6" i="19"/>
  <c r="E5" i="19"/>
  <c r="D7" i="19"/>
  <c r="K10" i="19"/>
  <c r="I5" i="19"/>
  <c r="F12" i="19"/>
  <c r="E13" i="19"/>
  <c r="K17" i="19"/>
  <c r="C3" i="19"/>
  <c r="K5" i="19"/>
  <c r="J9" i="19"/>
  <c r="I14" i="19"/>
  <c r="I10" i="19"/>
  <c r="C6" i="19"/>
  <c r="C15" i="19"/>
  <c r="G15" i="19"/>
  <c r="G3" i="19"/>
  <c r="F17" i="19"/>
  <c r="F5" i="19"/>
  <c r="C9" i="19"/>
  <c r="H16" i="19"/>
  <c r="E15" i="19"/>
  <c r="C10" i="19"/>
  <c r="D16" i="19"/>
  <c r="D4" i="19"/>
  <c r="K4" i="19"/>
  <c r="K12" i="19"/>
  <c r="C4" i="19"/>
  <c r="J7" i="19"/>
  <c r="I12" i="19"/>
  <c r="I8" i="19"/>
  <c r="H18" i="19"/>
  <c r="G13" i="19"/>
  <c r="G9" i="19"/>
  <c r="C16" i="19"/>
  <c r="F15" i="19"/>
  <c r="F3" i="19"/>
  <c r="E12" i="19"/>
  <c r="H6" i="19"/>
  <c r="E9" i="19"/>
  <c r="D14" i="19"/>
  <c r="D10" i="19"/>
  <c r="C11" i="19"/>
  <c r="J13" i="19"/>
  <c r="K18" i="19"/>
  <c r="J14" i="19"/>
  <c r="J6" i="19"/>
  <c r="I11" i="19"/>
  <c r="I7" i="19"/>
  <c r="H15" i="19"/>
  <c r="G12" i="19"/>
  <c r="G8" i="19"/>
  <c r="F14" i="19"/>
  <c r="F10" i="19"/>
  <c r="H14" i="19"/>
  <c r="E18" i="19"/>
  <c r="H3" i="19"/>
  <c r="E8" i="19"/>
  <c r="D13" i="19"/>
  <c r="D9" i="19"/>
  <c r="K13" i="19"/>
  <c r="J11" i="19"/>
  <c r="K16" i="19"/>
  <c r="J12" i="19"/>
  <c r="J5" i="19"/>
  <c r="I18" i="19"/>
  <c r="I6" i="19"/>
  <c r="H8" i="19"/>
  <c r="G11" i="19"/>
  <c r="G7" i="19"/>
  <c r="F13" i="19"/>
  <c r="F9" i="19"/>
  <c r="H12" i="19"/>
  <c r="E16" i="19"/>
  <c r="C17" i="19"/>
  <c r="E7" i="19"/>
  <c r="D12" i="19"/>
  <c r="D8" i="19"/>
  <c r="K11" i="19"/>
  <c r="J17" i="19"/>
  <c r="K8" i="19"/>
  <c r="J16" i="19"/>
  <c r="C5" i="19"/>
  <c r="I16" i="19"/>
  <c r="I4" i="19"/>
  <c r="H4" i="19"/>
  <c r="G17" i="19"/>
  <c r="G5" i="19"/>
  <c r="F11" i="19"/>
  <c r="F7" i="19"/>
  <c r="H10" i="19"/>
  <c r="C14" i="19"/>
  <c r="E11" i="19"/>
  <c r="E4" i="19"/>
  <c r="D18" i="19"/>
  <c r="D6" i="19"/>
  <c r="K15" i="19"/>
  <c r="J3" i="19"/>
  <c r="K7" i="19"/>
  <c r="J15" i="19"/>
  <c r="C13" i="19"/>
  <c r="I15" i="19"/>
  <c r="I3" i="19"/>
  <c r="C7" i="19"/>
  <c r="G16" i="19"/>
  <c r="G4" i="19"/>
  <c r="F18" i="19"/>
  <c r="F6" i="19"/>
  <c r="H7" i="19"/>
  <c r="H11" i="19"/>
  <c r="E17" i="19"/>
  <c r="E3" i="19"/>
  <c r="D17" i="19"/>
  <c r="D5" i="19"/>
  <c r="K9" i="19"/>
  <c r="C42" i="10"/>
  <c r="K26" i="7" s="1"/>
  <c r="C40" i="10"/>
  <c r="K24" i="7" s="1"/>
  <c r="C41" i="10"/>
  <c r="K25" i="7" s="1"/>
  <c r="C39" i="10"/>
  <c r="K23" i="7" s="1"/>
  <c r="C34" i="10"/>
  <c r="K18" i="7" s="1"/>
  <c r="C38" i="10"/>
  <c r="K22" i="7" s="1"/>
  <c r="C32" i="10"/>
  <c r="K16" i="7" s="1"/>
  <c r="C30" i="10"/>
  <c r="K14" i="7" s="1"/>
  <c r="C33" i="10"/>
  <c r="K17" i="7" s="1"/>
  <c r="C31" i="10"/>
  <c r="K15" i="7" s="1"/>
  <c r="C28" i="10"/>
  <c r="K12" i="7" s="1"/>
  <c r="C37" i="10"/>
  <c r="K21" i="7" s="1"/>
  <c r="C29" i="10"/>
  <c r="K13" i="7" s="1"/>
  <c r="C36" i="10"/>
  <c r="K20" i="7" s="1"/>
  <c r="C27" i="10"/>
  <c r="K11" i="7" s="1"/>
  <c r="C35" i="10"/>
  <c r="K19" i="7" s="1"/>
  <c r="B26" i="10"/>
  <c r="D45" i="10" s="1"/>
  <c r="B3" i="10"/>
  <c r="B4" i="10"/>
  <c r="C38" i="11"/>
  <c r="C39" i="11" s="1"/>
  <c r="C40" i="11" s="1"/>
  <c r="C28" i="11"/>
  <c r="C29" i="11" s="1"/>
  <c r="M10" i="7"/>
  <c r="D2" i="10"/>
  <c r="C18" i="11"/>
  <c r="C19" i="11"/>
  <c r="C20" i="11" s="1"/>
  <c r="D87" i="10"/>
  <c r="L87" i="10"/>
  <c r="E87" i="10"/>
  <c r="M87" i="10"/>
  <c r="F87" i="10"/>
  <c r="N87" i="10"/>
  <c r="G87" i="10"/>
  <c r="C87" i="10"/>
  <c r="H87" i="10"/>
  <c r="I87" i="10"/>
  <c r="J87" i="10"/>
  <c r="K87" i="10"/>
  <c r="H88" i="10"/>
  <c r="I88" i="10"/>
  <c r="J88" i="10"/>
  <c r="C88" i="10"/>
  <c r="K88" i="10"/>
  <c r="D88" i="10"/>
  <c r="L88" i="10"/>
  <c r="E88" i="10"/>
  <c r="M88" i="10"/>
  <c r="F88" i="10"/>
  <c r="N88" i="10"/>
  <c r="G88" i="10"/>
  <c r="E38" i="19" l="1"/>
  <c r="E40" i="19" s="1"/>
  <c r="F40" i="19"/>
  <c r="F42" i="19" s="1"/>
  <c r="C45" i="10"/>
  <c r="D47" i="10"/>
  <c r="D46" i="10"/>
  <c r="B33" i="10"/>
  <c r="J17" i="7" s="1"/>
  <c r="I20" i="19"/>
  <c r="I22" i="19" s="1"/>
  <c r="J20" i="19"/>
  <c r="J22" i="19" s="1"/>
  <c r="H20" i="19"/>
  <c r="H22" i="19" s="1"/>
  <c r="C20" i="19"/>
  <c r="C22" i="19" s="1"/>
  <c r="G20" i="19"/>
  <c r="G22" i="19" s="1"/>
  <c r="F20" i="19"/>
  <c r="F22" i="19" s="1"/>
  <c r="E20" i="19"/>
  <c r="E22" i="19" s="1"/>
  <c r="K20" i="19"/>
  <c r="K22" i="19" s="1"/>
  <c r="D20" i="19"/>
  <c r="D22" i="19" s="1"/>
  <c r="B32" i="10"/>
  <c r="J16" i="7" s="1"/>
  <c r="B36" i="10"/>
  <c r="J20" i="7" s="1"/>
  <c r="B37" i="10"/>
  <c r="J21" i="7" s="1"/>
  <c r="B30" i="10"/>
  <c r="J14" i="7" s="1"/>
  <c r="B40" i="10"/>
  <c r="J24" i="7" s="1"/>
  <c r="B31" i="10"/>
  <c r="J15" i="7" s="1"/>
  <c r="B27" i="10"/>
  <c r="J11" i="7" s="1"/>
  <c r="B42" i="10"/>
  <c r="J26" i="7" s="1"/>
  <c r="B39" i="10"/>
  <c r="J23" i="7" s="1"/>
  <c r="B35" i="10"/>
  <c r="J19" i="7" s="1"/>
  <c r="B41" i="10"/>
  <c r="J25" i="7" s="1"/>
  <c r="B28" i="10"/>
  <c r="J12" i="7" s="1"/>
  <c r="B38" i="10"/>
  <c r="J22" i="7" s="1"/>
  <c r="B29" i="10"/>
  <c r="J13" i="7" s="1"/>
  <c r="B34" i="10"/>
  <c r="J18" i="7" s="1"/>
  <c r="C30" i="11"/>
  <c r="B58" i="10" s="1"/>
  <c r="D42" i="7" s="1"/>
  <c r="B57" i="10"/>
  <c r="D41" i="7" s="1"/>
  <c r="B54" i="10"/>
  <c r="D38" i="7" s="1"/>
  <c r="B53" i="10"/>
  <c r="D37" i="7" s="1"/>
  <c r="B59" i="10"/>
  <c r="D43" i="7" s="1"/>
  <c r="B52" i="10"/>
  <c r="D36" i="7" s="1"/>
  <c r="D26" i="10"/>
  <c r="F45" i="10" s="1"/>
  <c r="D4" i="10"/>
  <c r="D3" i="10"/>
  <c r="E2" i="10"/>
  <c r="N10" i="7"/>
  <c r="B55" i="10"/>
  <c r="D39" i="7" s="1"/>
  <c r="B56" i="10"/>
  <c r="D40" i="7" s="1"/>
  <c r="B51" i="10" l="1"/>
  <c r="D35" i="7" s="1"/>
  <c r="E39" i="19"/>
  <c r="E42" i="19" s="1"/>
  <c r="D38" i="19"/>
  <c r="D40" i="19" s="1"/>
  <c r="G38" i="19"/>
  <c r="G40" i="19" s="1"/>
  <c r="F47" i="10"/>
  <c r="F46" i="10"/>
  <c r="B45" i="10"/>
  <c r="C46" i="10"/>
  <c r="C47" i="10"/>
  <c r="D28" i="19"/>
  <c r="D30" i="19"/>
  <c r="D31" i="19"/>
  <c r="D32" i="19"/>
  <c r="D34" i="19"/>
  <c r="D29" i="19"/>
  <c r="D33" i="19"/>
  <c r="D27" i="19"/>
  <c r="D26" i="19"/>
  <c r="M22" i="19"/>
  <c r="O10" i="7"/>
  <c r="G2" i="10" s="1"/>
  <c r="F2" i="10"/>
  <c r="E26" i="10"/>
  <c r="G45" i="10" s="1"/>
  <c r="E4" i="10"/>
  <c r="E3" i="10"/>
  <c r="D40" i="10"/>
  <c r="L24" i="7" s="1"/>
  <c r="D36" i="10"/>
  <c r="L20" i="7" s="1"/>
  <c r="D32" i="10"/>
  <c r="L16" i="7" s="1"/>
  <c r="D28" i="10"/>
  <c r="L12" i="7" s="1"/>
  <c r="D41" i="10"/>
  <c r="L25" i="7" s="1"/>
  <c r="D37" i="10"/>
  <c r="L21" i="7" s="1"/>
  <c r="D33" i="10"/>
  <c r="L17" i="7" s="1"/>
  <c r="D29" i="10"/>
  <c r="L13" i="7" s="1"/>
  <c r="D27" i="10"/>
  <c r="L11" i="7" s="1"/>
  <c r="D42" i="10"/>
  <c r="L26" i="7" s="1"/>
  <c r="D38" i="10"/>
  <c r="L22" i="7" s="1"/>
  <c r="D34" i="10"/>
  <c r="L18" i="7" s="1"/>
  <c r="D30" i="10"/>
  <c r="L14" i="7" s="1"/>
  <c r="D35" i="10"/>
  <c r="L19" i="7" s="1"/>
  <c r="D39" i="10"/>
  <c r="L23" i="7" s="1"/>
  <c r="D31" i="10"/>
  <c r="L15" i="7" s="1"/>
  <c r="D39" i="19" l="1"/>
  <c r="D42" i="19" s="1"/>
  <c r="G39" i="19"/>
  <c r="G42" i="19" s="1"/>
  <c r="H38" i="19"/>
  <c r="H40" i="19" s="1"/>
  <c r="C38" i="19"/>
  <c r="C40" i="19" s="1"/>
  <c r="B46" i="10"/>
  <c r="B47" i="10"/>
  <c r="G46" i="10"/>
  <c r="G47" i="10"/>
  <c r="D36" i="19"/>
  <c r="M36" i="19" s="1"/>
  <c r="E40" i="10"/>
  <c r="M24" i="7" s="1"/>
  <c r="E36" i="10"/>
  <c r="M20" i="7" s="1"/>
  <c r="E32" i="10"/>
  <c r="M16" i="7" s="1"/>
  <c r="E28" i="10"/>
  <c r="M12" i="7" s="1"/>
  <c r="E41" i="10"/>
  <c r="M25" i="7" s="1"/>
  <c r="E37" i="10"/>
  <c r="M21" i="7" s="1"/>
  <c r="E33" i="10"/>
  <c r="M17" i="7" s="1"/>
  <c r="E29" i="10"/>
  <c r="M13" i="7" s="1"/>
  <c r="E42" i="10"/>
  <c r="M26" i="7" s="1"/>
  <c r="E38" i="10"/>
  <c r="M22" i="7" s="1"/>
  <c r="E34" i="10"/>
  <c r="M18" i="7" s="1"/>
  <c r="E30" i="10"/>
  <c r="M14" i="7" s="1"/>
  <c r="E27" i="10"/>
  <c r="M11" i="7" s="1"/>
  <c r="E39" i="10"/>
  <c r="M23" i="7" s="1"/>
  <c r="E31" i="10"/>
  <c r="M15" i="7" s="1"/>
  <c r="E35" i="10"/>
  <c r="M19" i="7" s="1"/>
  <c r="F26" i="10"/>
  <c r="H45" i="10" s="1"/>
  <c r="F4" i="10"/>
  <c r="F3" i="10"/>
  <c r="G26" i="10"/>
  <c r="I45" i="10" s="1"/>
  <c r="G4" i="10"/>
  <c r="G3" i="10"/>
  <c r="C39" i="19" l="1"/>
  <c r="C42" i="19" s="1"/>
  <c r="H39" i="19"/>
  <c r="H42" i="19" s="1"/>
  <c r="J38" i="19"/>
  <c r="J39" i="19" s="1"/>
  <c r="I38" i="19"/>
  <c r="I39" i="19" s="1"/>
  <c r="H46" i="10"/>
  <c r="H47" i="10"/>
  <c r="I46" i="10"/>
  <c r="I47" i="10"/>
  <c r="G41" i="10"/>
  <c r="O25" i="7" s="1"/>
  <c r="G37" i="10"/>
  <c r="O21" i="7" s="1"/>
  <c r="G33" i="10"/>
  <c r="O17" i="7" s="1"/>
  <c r="G29" i="10"/>
  <c r="O13" i="7" s="1"/>
  <c r="G42" i="10"/>
  <c r="O26" i="7" s="1"/>
  <c r="G38" i="10"/>
  <c r="O22" i="7" s="1"/>
  <c r="G34" i="10"/>
  <c r="O18" i="7" s="1"/>
  <c r="G30" i="10"/>
  <c r="O14" i="7" s="1"/>
  <c r="G39" i="10"/>
  <c r="O23" i="7" s="1"/>
  <c r="G35" i="10"/>
  <c r="O19" i="7" s="1"/>
  <c r="G31" i="10"/>
  <c r="O15" i="7" s="1"/>
  <c r="G28" i="10"/>
  <c r="O12" i="7" s="1"/>
  <c r="G27" i="10"/>
  <c r="O11" i="7" s="1"/>
  <c r="G32" i="10"/>
  <c r="O16" i="7" s="1"/>
  <c r="G36" i="10"/>
  <c r="O20" i="7" s="1"/>
  <c r="G40" i="10"/>
  <c r="O24" i="7" s="1"/>
  <c r="F41" i="10"/>
  <c r="N25" i="7" s="1"/>
  <c r="F37" i="10"/>
  <c r="N21" i="7" s="1"/>
  <c r="F33" i="10"/>
  <c r="N17" i="7" s="1"/>
  <c r="F29" i="10"/>
  <c r="N13" i="7" s="1"/>
  <c r="F42" i="10"/>
  <c r="N26" i="7" s="1"/>
  <c r="F38" i="10"/>
  <c r="N22" i="7" s="1"/>
  <c r="F34" i="10"/>
  <c r="N18" i="7" s="1"/>
  <c r="F30" i="10"/>
  <c r="N14" i="7" s="1"/>
  <c r="F39" i="10"/>
  <c r="N23" i="7" s="1"/>
  <c r="F35" i="10"/>
  <c r="N19" i="7" s="1"/>
  <c r="F31" i="10"/>
  <c r="N15" i="7" s="1"/>
  <c r="F40" i="10"/>
  <c r="N24" i="7" s="1"/>
  <c r="F32" i="10"/>
  <c r="N16" i="7" s="1"/>
  <c r="F28" i="10"/>
  <c r="N12" i="7" s="1"/>
  <c r="F27" i="10"/>
  <c r="N11" i="7" s="1"/>
  <c r="F36" i="10"/>
  <c r="N20" i="7" s="1"/>
  <c r="I40" i="19" l="1"/>
  <c r="I42" i="19" s="1"/>
  <c r="J40" i="19"/>
  <c r="J42" i="19" s="1"/>
  <c r="M42" i="19" l="1"/>
  <c r="M44" i="19" s="1"/>
  <c r="D44" i="19" s="1"/>
  <c r="D46" i="7" s="1"/>
</calcChain>
</file>

<file path=xl/sharedStrings.xml><?xml version="1.0" encoding="utf-8"?>
<sst xmlns="http://schemas.openxmlformats.org/spreadsheetml/2006/main" count="809" uniqueCount="142">
  <si>
    <t>Net Income</t>
  </si>
  <si>
    <t>Revenue</t>
  </si>
  <si>
    <t>Diluted Earnings Per Share</t>
  </si>
  <si>
    <t>Dividends Per Share</t>
  </si>
  <si>
    <t>Return on Assets</t>
  </si>
  <si>
    <t>Return on Equity</t>
  </si>
  <si>
    <t>Net Interest Margin</t>
  </si>
  <si>
    <t>Efficiency Ratio</t>
  </si>
  <si>
    <t>Assets</t>
  </si>
  <si>
    <t>Loans</t>
  </si>
  <si>
    <t>Core Deposits</t>
  </si>
  <si>
    <t>Stockholder's Equity</t>
  </si>
  <si>
    <t>Non-Performing Loans / Total Loans</t>
  </si>
  <si>
    <t>Allowance / Total Loans</t>
  </si>
  <si>
    <t>Allowance / Non-Performing Loans</t>
  </si>
  <si>
    <t>Net Charge Offs / Average Total Loans</t>
  </si>
  <si>
    <t xml:space="preserve"> Financial Measure</t>
  </si>
  <si>
    <t>England</t>
  </si>
  <si>
    <t>FY 10</t>
  </si>
  <si>
    <t>FY 11</t>
  </si>
  <si>
    <t>FY 12</t>
  </si>
  <si>
    <t>FY 13</t>
  </si>
  <si>
    <t>Years</t>
  </si>
  <si>
    <t>Linked Cell Spinner</t>
  </si>
  <si>
    <t>Linked Cell Listbox</t>
  </si>
  <si>
    <t>FY 14</t>
  </si>
  <si>
    <t>FY 15</t>
  </si>
  <si>
    <t>FY 16</t>
  </si>
  <si>
    <t>Scotland</t>
  </si>
  <si>
    <t>Wales</t>
  </si>
  <si>
    <t>Northern Ireland</t>
  </si>
  <si>
    <t>Graph Data</t>
  </si>
  <si>
    <t>Chart</t>
  </si>
  <si>
    <t>Regions</t>
  </si>
  <si>
    <t>Region Cell Link</t>
  </si>
  <si>
    <t>Region</t>
  </si>
  <si>
    <t>FTEs</t>
  </si>
  <si>
    <t>Interest Income</t>
  </si>
  <si>
    <t>Funds Mgt Income</t>
  </si>
  <si>
    <t>Insurance Income</t>
  </si>
  <si>
    <t>Other Bank Income</t>
  </si>
  <si>
    <t>Operational Expenses</t>
  </si>
  <si>
    <t>Loan Imparement Expenses</t>
  </si>
  <si>
    <t>Net Expenses</t>
  </si>
  <si>
    <t>Net Profit</t>
  </si>
  <si>
    <t>Current Mth</t>
  </si>
  <si>
    <t>Prior Yr</t>
  </si>
  <si>
    <t>Actual</t>
  </si>
  <si>
    <t>Plan</t>
  </si>
  <si>
    <t>Cur Yr</t>
  </si>
  <si>
    <t>Forecast</t>
  </si>
  <si>
    <t>Home Loans</t>
  </si>
  <si>
    <t>Credit Cards</t>
  </si>
  <si>
    <t>Houshold Lending</t>
  </si>
  <si>
    <t>Retail Deposits</t>
  </si>
  <si>
    <t>Business Lending</t>
  </si>
  <si>
    <t>Asset Finance</t>
  </si>
  <si>
    <t>Equities Trading</t>
  </si>
  <si>
    <t>FX Trading</t>
  </si>
  <si>
    <t>Operation</t>
  </si>
  <si>
    <t>%</t>
  </si>
  <si>
    <t>Activity</t>
  </si>
  <si>
    <t>Measure</t>
  </si>
  <si>
    <t>% of Revenue</t>
  </si>
  <si>
    <t>Measures</t>
  </si>
  <si>
    <t>Termination</t>
  </si>
  <si>
    <t>New Hires</t>
  </si>
  <si>
    <t>Type</t>
  </si>
  <si>
    <t>State</t>
  </si>
  <si>
    <t>States</t>
  </si>
  <si>
    <t>PY</t>
  </si>
  <si>
    <t>CY</t>
  </si>
  <si>
    <t>Customer</t>
  </si>
  <si>
    <t>Satisfaction</t>
  </si>
  <si>
    <t>CY Gap</t>
  </si>
  <si>
    <t>PY Gap</t>
  </si>
  <si>
    <t>Customer Satisfaction</t>
  </si>
  <si>
    <t>Hires and Terminations</t>
  </si>
  <si>
    <t>Other Metrics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</si>
  <si>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</si>
  <si>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</si>
  <si>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</si>
  <si>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</si>
  <si>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</si>
  <si>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</si>
  <si>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</si>
  <si>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</si>
  <si>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</si>
  <si>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</si>
  <si>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</si>
  <si>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</si>
  <si>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Country</t>
  </si>
  <si>
    <t>Avg Sick Days</t>
  </si>
  <si>
    <t>Absence CY v PY</t>
  </si>
  <si>
    <t>Year</t>
  </si>
  <si>
    <t>Data</t>
  </si>
  <si>
    <t>Metric</t>
  </si>
  <si>
    <t>% Result</t>
  </si>
  <si>
    <t>FY 17</t>
  </si>
  <si>
    <t>FY 18</t>
  </si>
  <si>
    <t>FY 19</t>
  </si>
  <si>
    <t>FY 20</t>
  </si>
  <si>
    <t>Sheets</t>
  </si>
  <si>
    <t>Sheet Type</t>
  </si>
  <si>
    <t>Description</t>
  </si>
  <si>
    <t>Links</t>
  </si>
  <si>
    <t>Model</t>
  </si>
  <si>
    <t>Assumptions</t>
  </si>
  <si>
    <t>Description of Sheets</t>
  </si>
  <si>
    <t>List</t>
  </si>
  <si>
    <t>Lists and model assumptions</t>
  </si>
  <si>
    <t>Input Sheet</t>
  </si>
  <si>
    <t>Calcs</t>
  </si>
  <si>
    <t>Calculations sheet</t>
  </si>
  <si>
    <t>Primary calculations page</t>
  </si>
  <si>
    <t>Check</t>
  </si>
  <si>
    <t>Error trapping</t>
  </si>
  <si>
    <t>Checks and balances for the model</t>
  </si>
  <si>
    <t>Summary</t>
  </si>
  <si>
    <t>Output Sheet</t>
  </si>
  <si>
    <t>Primary output page</t>
  </si>
  <si>
    <t>Cust</t>
  </si>
  <si>
    <t>Hires</t>
  </si>
  <si>
    <t>Sick</t>
  </si>
  <si>
    <t>FTE</t>
  </si>
  <si>
    <t>General</t>
  </si>
  <si>
    <t>Other</t>
  </si>
  <si>
    <t>Actual lead metrics by region</t>
  </si>
  <si>
    <t>Plan lead metrics by region</t>
  </si>
  <si>
    <t>Customer data (small data set)</t>
  </si>
  <si>
    <t>Hires and terminations</t>
  </si>
  <si>
    <t>Average sick days per employee</t>
  </si>
  <si>
    <t>Full time equivalent workers</t>
  </si>
  <si>
    <t>General financial metrics</t>
  </si>
  <si>
    <t>Other financial and ops metrics</t>
  </si>
  <si>
    <t>Total Check</t>
  </si>
  <si>
    <t>CM Data</t>
  </si>
  <si>
    <t>Checks</t>
  </si>
  <si>
    <t>Model OK</t>
  </si>
  <si>
    <t>Check Model</t>
  </si>
  <si>
    <t>Check Totals</t>
  </si>
  <si>
    <t>Model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</si>
</sst>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* #,##0_);_(* \(#,##0\);_(* &quot;-&quot;??_);_(@_)"/>
    <numFmt numFmtId="167" formatCode="_(* #,##0.0_);_(* \(#,##0.0\);_(* &quot;-&quot;??_);_(@_)"/>
    <numFmt numFmtId="168" formatCode="_(&quot;$&quot;* #,##0_);_(&quot;$&quot;* \(#,##0\);_(&quot;$&quot;* &quot;-&quot;??_);_(@_)"/>
    <numFmt numFmtId="169" formatCode="0.00&quot;%&quot;"/>
    <numFmt numFmtId="170" formatCode="_-* #,##0.0_-;\-* #,##0.0_-;_-* &quot;-&quot;?_-;_-@_-"/>
    <numFmt numFmtId="171" formatCode="_-&quot;$&quot;* #,##0.0_-;\-&quot;$&quot;* #,##0.0_-;_-&quot;$&quot;* &quot;-&quot;?_-;_-@_-"/>
    <numFmt numFmtId="172" formatCode="0.0"/>
  </numFmts>
  <fonts count="29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3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theme="3"/>
      <name val="Arial"/>
      <family val="2"/>
    </font>
    <font>
      <b/>
      <sz val="12"/>
      <color theme="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8"/>
      <color theme="1" tint="0.34998626667073579"/>
      <name val="Arial"/>
      <family val="2"/>
    </font>
    <font>
      <sz val="10"/>
      <color theme="1" tint="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0" tint="-0.34998626667073579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8" fillId="0" borderId="0" xfId="0" applyFont="1"/>
    <xf numFmtId="168" fontId="0" fillId="0" borderId="0" xfId="0" applyNumberFormat="1"/>
    <xf numFmtId="164" fontId="0" fillId="0" borderId="0" xfId="0" applyNumberFormat="1"/>
    <xf numFmtId="0" fontId="2" fillId="0" borderId="0" xfId="0" applyFont="1"/>
    <xf numFmtId="9" fontId="0" fillId="0" borderId="0" xfId="0" applyNumberFormat="1"/>
    <xf numFmtId="43" fontId="0" fillId="0" borderId="0" xfId="1" applyFont="1"/>
    <xf numFmtId="170" fontId="0" fillId="0" borderId="0" xfId="0" applyNumberFormat="1"/>
    <xf numFmtId="165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/>
      <protection locked="0"/>
    </xf>
    <xf numFmtId="0" fontId="10" fillId="0" borderId="0" xfId="0" applyFont="1"/>
    <xf numFmtId="0" fontId="0" fillId="2" borderId="0" xfId="0" applyFill="1"/>
    <xf numFmtId="0" fontId="0" fillId="2" borderId="0" xfId="0" applyFill="1" applyProtection="1">
      <protection locked="0"/>
    </xf>
    <xf numFmtId="0" fontId="0" fillId="2" borderId="0" xfId="0" applyFill="1" applyBorder="1"/>
    <xf numFmtId="0" fontId="6" fillId="2" borderId="0" xfId="0" applyFont="1" applyFill="1" applyAlignment="1">
      <alignment horizontal="left"/>
    </xf>
    <xf numFmtId="0" fontId="7" fillId="2" borderId="0" xfId="0" applyFont="1" applyFill="1" applyBorder="1" applyAlignment="1"/>
    <xf numFmtId="0" fontId="6" fillId="2" borderId="0" xfId="0" applyFont="1" applyFill="1" applyAlignment="1">
      <alignment horizontal="center" vertical="center"/>
    </xf>
    <xf numFmtId="168" fontId="9" fillId="2" borderId="1" xfId="2" applyNumberFormat="1" applyFont="1" applyFill="1" applyBorder="1"/>
    <xf numFmtId="168" fontId="9" fillId="2" borderId="2" xfId="2" applyNumberFormat="1" applyFont="1" applyFill="1" applyBorder="1"/>
    <xf numFmtId="168" fontId="9" fillId="2" borderId="3" xfId="2" applyNumberFormat="1" applyFont="1" applyFill="1" applyBorder="1"/>
    <xf numFmtId="168" fontId="9" fillId="2" borderId="4" xfId="2" applyNumberFormat="1" applyFont="1" applyFill="1" applyBorder="1"/>
    <xf numFmtId="168" fontId="9" fillId="2" borderId="0" xfId="2" applyNumberFormat="1" applyFont="1" applyFill="1" applyBorder="1"/>
    <xf numFmtId="168" fontId="9" fillId="2" borderId="5" xfId="2" applyNumberFormat="1" applyFont="1" applyFill="1" applyBorder="1"/>
    <xf numFmtId="167" fontId="9" fillId="2" borderId="4" xfId="1" applyNumberFormat="1" applyFont="1" applyFill="1" applyBorder="1"/>
    <xf numFmtId="167" fontId="9" fillId="2" borderId="0" xfId="1" applyNumberFormat="1" applyFont="1" applyFill="1" applyBorder="1"/>
    <xf numFmtId="167" fontId="9" fillId="2" borderId="5" xfId="1" applyNumberFormat="1" applyFont="1" applyFill="1" applyBorder="1"/>
    <xf numFmtId="169" fontId="9" fillId="2" borderId="4" xfId="3" applyNumberFormat="1" applyFont="1" applyFill="1" applyBorder="1"/>
    <xf numFmtId="169" fontId="9" fillId="2" borderId="0" xfId="3" applyNumberFormat="1" applyFont="1" applyFill="1" applyBorder="1"/>
    <xf numFmtId="169" fontId="9" fillId="2" borderId="5" xfId="3" applyNumberFormat="1" applyFont="1" applyFill="1" applyBorder="1"/>
    <xf numFmtId="169" fontId="9" fillId="2" borderId="0" xfId="1" applyNumberFormat="1" applyFont="1" applyFill="1" applyBorder="1"/>
    <xf numFmtId="169" fontId="9" fillId="2" borderId="5" xfId="1" applyNumberFormat="1" applyFont="1" applyFill="1" applyBorder="1"/>
    <xf numFmtId="0" fontId="5" fillId="2" borderId="0" xfId="0" applyFont="1" applyFill="1" applyBorder="1"/>
    <xf numFmtId="169" fontId="9" fillId="2" borderId="4" xfId="1" applyNumberFormat="1" applyFont="1" applyFill="1" applyBorder="1"/>
    <xf numFmtId="0" fontId="5" fillId="2" borderId="0" xfId="0" applyFont="1" applyFill="1" applyBorder="1" applyProtection="1">
      <protection locked="0"/>
    </xf>
    <xf numFmtId="169" fontId="9" fillId="2" borderId="6" xfId="1" applyNumberFormat="1" applyFont="1" applyFill="1" applyBorder="1"/>
    <xf numFmtId="169" fontId="9" fillId="2" borderId="7" xfId="1" applyNumberFormat="1" applyFont="1" applyFill="1" applyBorder="1"/>
    <xf numFmtId="169" fontId="9" fillId="2" borderId="8" xfId="1" applyNumberFormat="1" applyFont="1" applyFill="1" applyBorder="1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4" fillId="2" borderId="0" xfId="0" applyFont="1" applyFill="1"/>
    <xf numFmtId="0" fontId="0" fillId="2" borderId="9" xfId="0" applyFill="1" applyBorder="1"/>
    <xf numFmtId="0" fontId="10" fillId="2" borderId="13" xfId="0" applyFont="1" applyFill="1" applyBorder="1"/>
    <xf numFmtId="0" fontId="10" fillId="2" borderId="0" xfId="0" applyFont="1" applyFill="1"/>
    <xf numFmtId="0" fontId="10" fillId="2" borderId="0" xfId="0" applyFont="1" applyFill="1" applyBorder="1"/>
    <xf numFmtId="166" fontId="0" fillId="0" borderId="0" xfId="1" applyNumberFormat="1" applyFont="1"/>
    <xf numFmtId="0" fontId="17" fillId="0" borderId="0" xfId="0" applyFont="1"/>
    <xf numFmtId="9" fontId="17" fillId="0" borderId="0" xfId="0" applyNumberFormat="1" applyFont="1"/>
    <xf numFmtId="9" fontId="0" fillId="0" borderId="0" xfId="3" applyFont="1"/>
    <xf numFmtId="9" fontId="11" fillId="2" borderId="14" xfId="3" applyFont="1" applyFill="1" applyBorder="1"/>
    <xf numFmtId="9" fontId="11" fillId="2" borderId="15" xfId="3" applyFont="1" applyFill="1" applyBorder="1"/>
    <xf numFmtId="9" fontId="12" fillId="2" borderId="15" xfId="3" applyFont="1" applyFill="1" applyBorder="1"/>
    <xf numFmtId="9" fontId="12" fillId="2" borderId="16" xfId="3" applyFont="1" applyFill="1" applyBorder="1"/>
    <xf numFmtId="166" fontId="13" fillId="2" borderId="14" xfId="1" applyNumberFormat="1" applyFont="1" applyFill="1" applyBorder="1"/>
    <xf numFmtId="166" fontId="13" fillId="2" borderId="15" xfId="1" applyNumberFormat="1" applyFont="1" applyFill="1" applyBorder="1"/>
    <xf numFmtId="166" fontId="14" fillId="2" borderId="15" xfId="1" applyNumberFormat="1" applyFont="1" applyFill="1" applyBorder="1"/>
    <xf numFmtId="166" fontId="14" fillId="2" borderId="16" xfId="1" applyNumberFormat="1" applyFont="1" applyFill="1" applyBorder="1"/>
    <xf numFmtId="0" fontId="15" fillId="2" borderId="0" xfId="0" applyFont="1" applyFill="1" applyAlignment="1">
      <alignment horizontal="left" vertical="center" indent="3"/>
    </xf>
    <xf numFmtId="0" fontId="18" fillId="2" borderId="0" xfId="0" applyFont="1" applyFill="1" applyBorder="1" applyAlignment="1">
      <alignment horizontal="left" indent="3"/>
    </xf>
    <xf numFmtId="0" fontId="18" fillId="2" borderId="0" xfId="0" applyFont="1" applyFill="1" applyBorder="1" applyAlignment="1" applyProtection="1">
      <alignment horizontal="left" indent="3"/>
      <protection locked="0"/>
    </xf>
    <xf numFmtId="0" fontId="13" fillId="2" borderId="10" xfId="0" applyFont="1" applyFill="1" applyBorder="1"/>
    <xf numFmtId="0" fontId="13" fillId="2" borderId="11" xfId="0" applyFont="1" applyFill="1" applyBorder="1"/>
    <xf numFmtId="0" fontId="14" fillId="2" borderId="11" xfId="0" applyFont="1" applyFill="1" applyBorder="1"/>
    <xf numFmtId="0" fontId="14" fillId="2" borderId="12" xfId="0" applyFont="1" applyFill="1" applyBorder="1"/>
    <xf numFmtId="0" fontId="13" fillId="2" borderId="12" xfId="0" applyFont="1" applyFill="1" applyBorder="1"/>
    <xf numFmtId="0" fontId="2" fillId="0" borderId="0" xfId="0" applyFont="1" applyFill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0" fillId="0" borderId="0" xfId="0" applyFont="1" applyFill="1"/>
    <xf numFmtId="0" fontId="20" fillId="3" borderId="0" xfId="0" applyFont="1" applyFill="1"/>
    <xf numFmtId="9" fontId="20" fillId="3" borderId="0" xfId="0" applyNumberFormat="1" applyFont="1" applyFill="1"/>
    <xf numFmtId="0" fontId="20" fillId="3" borderId="0" xfId="0" applyFont="1" applyFill="1" applyAlignment="1">
      <alignment horizontal="right"/>
    </xf>
    <xf numFmtId="0" fontId="1" fillId="0" borderId="0" xfId="0" applyFont="1"/>
    <xf numFmtId="168" fontId="1" fillId="0" borderId="0" xfId="2" applyNumberFormat="1" applyFont="1" applyFill="1" applyBorder="1"/>
    <xf numFmtId="167" fontId="1" fillId="0" borderId="0" xfId="1" applyNumberFormat="1" applyFont="1" applyFill="1" applyBorder="1"/>
    <xf numFmtId="169" fontId="1" fillId="0" borderId="0" xfId="3" applyNumberFormat="1" applyFont="1" applyFill="1" applyBorder="1"/>
    <xf numFmtId="169" fontId="1" fillId="0" borderId="0" xfId="1" applyNumberFormat="1" applyFont="1" applyFill="1" applyBorder="1"/>
    <xf numFmtId="0" fontId="1" fillId="0" borderId="0" xfId="0" applyFont="1" applyFill="1" applyBorder="1"/>
    <xf numFmtId="168" fontId="1" fillId="0" borderId="0" xfId="2" applyNumberFormat="1" applyFont="1" applyFill="1" applyBorder="1" applyAlignment="1">
      <alignment horizontal="left"/>
    </xf>
    <xf numFmtId="0" fontId="1" fillId="0" borderId="0" xfId="0" applyFont="1" applyFill="1"/>
    <xf numFmtId="168" fontId="9" fillId="0" borderId="0" xfId="2" applyNumberFormat="1" applyFont="1" applyFill="1" applyBorder="1"/>
    <xf numFmtId="167" fontId="9" fillId="0" borderId="0" xfId="1" applyNumberFormat="1" applyFont="1" applyFill="1" applyBorder="1"/>
    <xf numFmtId="169" fontId="9" fillId="0" borderId="0" xfId="3" applyNumberFormat="1" applyFont="1" applyFill="1" applyBorder="1"/>
    <xf numFmtId="169" fontId="9" fillId="0" borderId="0" xfId="1" applyNumberFormat="1" applyFont="1" applyFill="1" applyBorder="1"/>
    <xf numFmtId="0" fontId="19" fillId="3" borderId="0" xfId="0" applyFont="1" applyFill="1"/>
    <xf numFmtId="0" fontId="19" fillId="3" borderId="0" xfId="0" applyFont="1" applyFill="1" applyAlignment="1">
      <alignment horizontal="right"/>
    </xf>
    <xf numFmtId="167" fontId="0" fillId="0" borderId="0" xfId="1" applyNumberFormat="1" applyFont="1"/>
    <xf numFmtId="164" fontId="1" fillId="0" borderId="0" xfId="0" applyNumberFormat="1" applyFont="1"/>
    <xf numFmtId="166" fontId="1" fillId="0" borderId="0" xfId="1" applyNumberFormat="1" applyFont="1"/>
    <xf numFmtId="9" fontId="1" fillId="0" borderId="0" xfId="0" applyNumberFormat="1" applyFont="1"/>
    <xf numFmtId="43" fontId="16" fillId="4" borderId="0" xfId="1" applyFont="1" applyFill="1"/>
    <xf numFmtId="0" fontId="0" fillId="4" borderId="0" xfId="0" applyFill="1"/>
    <xf numFmtId="0" fontId="20" fillId="3" borderId="0" xfId="0" applyFont="1" applyFill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horizontal="left" indent="5"/>
    </xf>
    <xf numFmtId="0" fontId="24" fillId="3" borderId="0" xfId="0" applyFont="1" applyFill="1"/>
    <xf numFmtId="0" fontId="24" fillId="5" borderId="0" xfId="0" applyFont="1" applyFill="1"/>
    <xf numFmtId="0" fontId="25" fillId="0" borderId="0" xfId="0" applyFont="1"/>
    <xf numFmtId="0" fontId="26" fillId="0" borderId="0" xfId="5"/>
    <xf numFmtId="0" fontId="24" fillId="6" borderId="0" xfId="0" applyFont="1" applyFill="1"/>
    <xf numFmtId="0" fontId="24" fillId="7" borderId="0" xfId="0" applyFont="1" applyFill="1"/>
    <xf numFmtId="0" fontId="24" fillId="8" borderId="0" xfId="0" applyFont="1" applyFill="1"/>
    <xf numFmtId="43" fontId="0" fillId="0" borderId="0" xfId="0" applyNumberFormat="1"/>
    <xf numFmtId="0" fontId="8" fillId="0" borderId="0" xfId="0" applyFont="1" applyFill="1" applyBorder="1" applyAlignment="1">
      <alignment horizontal="right"/>
    </xf>
    <xf numFmtId="0" fontId="27" fillId="2" borderId="0" xfId="0" applyFont="1" applyFill="1" applyAlignment="1" applyProtection="1">
      <alignment horizontal="left" indent="1"/>
      <protection locked="0"/>
    </xf>
    <xf numFmtId="0" fontId="28" fillId="2" borderId="0" xfId="0" applyFont="1" applyFill="1" applyProtection="1">
      <protection locked="0"/>
    </xf>
    <xf numFmtId="0" fontId="28" fillId="2" borderId="0" xfId="0" applyFont="1" applyFill="1"/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left" indent="3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Normal 3" xfId="4" xr:uid="{00000000-0005-0000-0000-000004000000}"/>
    <cellStyle name="Percent" xfId="3" builtinId="5"/>
  </cellStyles>
  <dxfs count="21"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6600"/>
      <rgbColor rgb="00E2E2E2"/>
      <rgbColor rgb="00FFFF00"/>
      <rgbColor rgb="0000FFFF"/>
      <rgbColor rgb="00167DDC"/>
      <rgbColor rgb="00800000"/>
      <rgbColor rgb="00008080"/>
      <rgbColor rgb="00014880"/>
      <rgbColor rgb="0000CCFF"/>
      <rgbColor rgb="00167DD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747845128826341E-2"/>
          <c:y val="5.6074766355140186E-2"/>
          <c:w val="0.93885648169718428"/>
          <c:h val="0.906542056074766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25400">
              <a:noFill/>
            </a:ln>
            <a:scene3d>
              <a:camera prst="orthographicFront"/>
              <a:lightRig rig="threePt" dir="t"/>
            </a:scene3d>
            <a:sp3d prstMaterial="matte">
              <a:bevelT w="63500" h="63500" prst="artDeco"/>
              <a:contourClr>
                <a:srgbClr val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Calcs!$B$2:$G$2</c:f>
              <c:strCache>
                <c:ptCount val="6"/>
                <c:pt idx="0">
                  <c:v>FY 14</c:v>
                </c:pt>
                <c:pt idx="1">
                  <c:v>FY 15</c:v>
                </c:pt>
                <c:pt idx="2">
                  <c:v>FY 16</c:v>
                </c:pt>
                <c:pt idx="3">
                  <c:v>FY 17</c:v>
                </c:pt>
                <c:pt idx="4">
                  <c:v>FY 18</c:v>
                </c:pt>
                <c:pt idx="5">
                  <c:v>FY 19</c:v>
                </c:pt>
              </c:strCache>
            </c:strRef>
          </c:cat>
          <c:val>
            <c:numRef>
              <c:f>Calcs!$B$3:$G$3</c:f>
              <c:numCache>
                <c:formatCode>_(* #,##0.0_);_(* \(#,##0.0\);_(* "-"??_);_(@_)</c:formatCode>
                <c:ptCount val="6"/>
                <c:pt idx="0">
                  <c:v>154465.5</c:v>
                </c:pt>
                <c:pt idx="1">
                  <c:v>137450</c:v>
                </c:pt>
                <c:pt idx="2">
                  <c:v>164575</c:v>
                </c:pt>
                <c:pt idx="3">
                  <c:v>152959</c:v>
                </c:pt>
                <c:pt idx="4">
                  <c:v>147959</c:v>
                </c:pt>
                <c:pt idx="5">
                  <c:v>153561.5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2-4BCB-949F-C47ED3985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932039008"/>
        <c:axId val="-1932038464"/>
      </c:barChart>
      <c:lineChart>
        <c:grouping val="standard"/>
        <c:varyColors val="0"/>
        <c:ser>
          <c:idx val="1"/>
          <c:order val="1"/>
          <c:tx>
            <c:strRef>
              <c:f>Calcs!$A$4</c:f>
              <c:strCache>
                <c:ptCount val="1"/>
                <c:pt idx="0">
                  <c:v>Plan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cat>
            <c:strRef>
              <c:f>Calcs!$B$2:$G$2</c:f>
              <c:strCache>
                <c:ptCount val="6"/>
                <c:pt idx="0">
                  <c:v>FY 14</c:v>
                </c:pt>
                <c:pt idx="1">
                  <c:v>FY 15</c:v>
                </c:pt>
                <c:pt idx="2">
                  <c:v>FY 16</c:v>
                </c:pt>
                <c:pt idx="3">
                  <c:v>FY 17</c:v>
                </c:pt>
                <c:pt idx="4">
                  <c:v>FY 18</c:v>
                </c:pt>
                <c:pt idx="5">
                  <c:v>FY 19</c:v>
                </c:pt>
              </c:strCache>
            </c:strRef>
          </c:cat>
          <c:val>
            <c:numRef>
              <c:f>Calcs!$B$4:$G$4</c:f>
              <c:numCache>
                <c:formatCode>_(* #,##0.0_);_(* \(#,##0.0\);_(* "-"??_);_(@_)</c:formatCode>
                <c:ptCount val="6"/>
                <c:pt idx="0">
                  <c:v>158481.603</c:v>
                </c:pt>
                <c:pt idx="1">
                  <c:v>148171.1</c:v>
                </c:pt>
                <c:pt idx="2">
                  <c:v>168853.95</c:v>
                </c:pt>
                <c:pt idx="3">
                  <c:v>155895.81280000001</c:v>
                </c:pt>
                <c:pt idx="4">
                  <c:v>147944.2041</c:v>
                </c:pt>
                <c:pt idx="5">
                  <c:v>153500.0754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2-4BCB-949F-C47ED3985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32039008"/>
        <c:axId val="-1932038464"/>
      </c:lineChart>
      <c:catAx>
        <c:axId val="-1932039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32038464"/>
        <c:crosses val="autoZero"/>
        <c:auto val="1"/>
        <c:lblAlgn val="ctr"/>
        <c:lblOffset val="100"/>
        <c:noMultiLvlLbl val="0"/>
      </c:catAx>
      <c:valAx>
        <c:axId val="-1932038464"/>
        <c:scaling>
          <c:orientation val="minMax"/>
          <c:min val="0"/>
        </c:scaling>
        <c:delete val="1"/>
        <c:axPos val="l"/>
        <c:numFmt formatCode="_(* #,##0.0_);_(* \(#,##0.0\);_(* &quot;-&quot;??_);_(@_)" sourceLinked="1"/>
        <c:majorTickMark val="out"/>
        <c:minorTickMark val="none"/>
        <c:tickLblPos val="nextTo"/>
        <c:crossAx val="-1932039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862562634216178E-2"/>
          <c:y val="4.4117805455126433E-2"/>
          <c:w val="0.88018535960516897"/>
          <c:h val="0.87814241965704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 w="114300" prst="artDeco"/>
            </a:sp3d>
          </c:spPr>
          <c:invertIfNegative val="0"/>
          <c:dPt>
            <c:idx val="0"/>
            <c:invertIfNegative val="0"/>
            <c:bubble3D val="0"/>
            <c:spPr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  <a:ln w="25400">
                <a:noFill/>
              </a:ln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1-9E48-4931-97A7-5DAE82BF781F}"/>
              </c:ext>
            </c:extLst>
          </c:dPt>
          <c:dPt>
            <c:idx val="1"/>
            <c:invertIfNegative val="0"/>
            <c:bubble3D val="0"/>
            <c:spPr>
              <a:blipFill dpi="0" rotWithShape="0">
                <a:blip xmlns:r="http://schemas.openxmlformats.org/officeDocument/2006/relationships" r:embed="rId2"/>
                <a:srcRect/>
                <a:stretch>
                  <a:fillRect/>
                </a:stretch>
              </a:blipFill>
              <a:ln w="25400">
                <a:noFill/>
              </a:ln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3-9E48-4931-97A7-5DAE82BF781F}"/>
              </c:ext>
            </c:extLst>
          </c:dPt>
          <c:dPt>
            <c:idx val="2"/>
            <c:invertIfNegative val="0"/>
            <c:bubble3D val="0"/>
            <c:spPr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  <a:ln w="25400">
                <a:noFill/>
              </a:ln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5-9E48-4931-97A7-5DAE82BF781F}"/>
              </c:ext>
            </c:extLst>
          </c:dPt>
          <c:dPt>
            <c:idx val="3"/>
            <c:invertIfNegative val="0"/>
            <c:bubble3D val="0"/>
            <c:spPr>
              <a:blipFill dpi="0" rotWithShape="0">
                <a:blip xmlns:r="http://schemas.openxmlformats.org/officeDocument/2006/relationships" r:embed="rId2"/>
                <a:srcRect/>
                <a:stretch>
                  <a:fillRect/>
                </a:stretch>
              </a:blipFill>
              <a:ln w="25400">
                <a:noFill/>
              </a:ln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7-9E48-4931-97A7-5DAE82BF781F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12700">
                <a:noFill/>
                <a:prstDash val="solid"/>
              </a:ln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pictureOptions>
              <c:pictureFormat val="stretch"/>
            </c:pictureOptions>
            <c:extLst>
              <c:ext xmlns:c16="http://schemas.microsoft.com/office/drawing/2014/chart" uri="{C3380CC4-5D6E-409C-BE32-E72D297353CC}">
                <c16:uniqueId val="{00000009-9E48-4931-97A7-5DAE82BF781F}"/>
              </c:ext>
            </c:extLst>
          </c:dPt>
          <c:dLbls>
            <c:numFmt formatCode="#,##0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Calcs!$B$63:$B$67</c:f>
              <c:strCache>
                <c:ptCount val="5"/>
                <c:pt idx="0">
                  <c:v>Prior Yr</c:v>
                </c:pt>
                <c:pt idx="1">
                  <c:v>Prior Yr</c:v>
                </c:pt>
                <c:pt idx="2">
                  <c:v>Cur Yr</c:v>
                </c:pt>
                <c:pt idx="3">
                  <c:v>Cur Yr</c:v>
                </c:pt>
                <c:pt idx="4">
                  <c:v>Cur Yr</c:v>
                </c:pt>
              </c:strCache>
            </c:strRef>
          </c:cat>
          <c:val>
            <c:numRef>
              <c:f>Calcs!$C$63:$C$67</c:f>
              <c:numCache>
                <c:formatCode>_(* #,##0_);_(* \(#,##0\);_(* "-"??_);_(@_)</c:formatCode>
                <c:ptCount val="5"/>
                <c:pt idx="0">
                  <c:v>1721.872400341279</c:v>
                </c:pt>
                <c:pt idx="1">
                  <c:v>1682.4511473883313</c:v>
                </c:pt>
                <c:pt idx="2">
                  <c:v>2290.966819452924</c:v>
                </c:pt>
                <c:pt idx="3">
                  <c:v>2200</c:v>
                </c:pt>
                <c:pt idx="4">
                  <c:v>2202.1554011347375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48-4931-97A7-5DAE82BF7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66911104"/>
        <c:axId val="-2066910016"/>
      </c:barChart>
      <c:catAx>
        <c:axId val="-2066911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66910016"/>
        <c:crosses val="autoZero"/>
        <c:auto val="1"/>
        <c:lblAlgn val="ctr"/>
        <c:lblOffset val="100"/>
        <c:noMultiLvlLbl val="0"/>
      </c:catAx>
      <c:valAx>
        <c:axId val="-2066910016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-2066911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Calcs!$A$46</c:f>
              <c:strCache>
                <c:ptCount val="1"/>
                <c:pt idx="0">
                  <c:v>New Hires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scene3d>
              <a:camera prst="orthographicFront"/>
              <a:lightRig rig="threePt" dir="t"/>
            </a:scene3d>
            <a:sp3d>
              <a:bevelT w="114300" prst="artDeco"/>
            </a:sp3d>
          </c:spPr>
          <c:invertIfNegative val="0"/>
          <c:cat>
            <c:strRef>
              <c:f>Calcs!$B$45:$I$45</c:f>
              <c:strCache>
                <c:ptCount val="8"/>
                <c:pt idx="0">
                  <c:v>FY 12</c:v>
                </c:pt>
                <c:pt idx="1">
                  <c:v>FY 13</c:v>
                </c:pt>
                <c:pt idx="2">
                  <c:v>FY 14</c:v>
                </c:pt>
                <c:pt idx="3">
                  <c:v>FY 15</c:v>
                </c:pt>
                <c:pt idx="4">
                  <c:v>FY 16</c:v>
                </c:pt>
                <c:pt idx="5">
                  <c:v>FY 17</c:v>
                </c:pt>
                <c:pt idx="6">
                  <c:v>FY 18</c:v>
                </c:pt>
                <c:pt idx="7">
                  <c:v>FY 19</c:v>
                </c:pt>
              </c:strCache>
            </c:strRef>
          </c:cat>
          <c:val>
            <c:numRef>
              <c:f>Calcs!$B$46:$I$46</c:f>
              <c:numCache>
                <c:formatCode>General</c:formatCode>
                <c:ptCount val="8"/>
                <c:pt idx="0">
                  <c:v>612</c:v>
                </c:pt>
                <c:pt idx="1">
                  <c:v>714</c:v>
                </c:pt>
                <c:pt idx="2">
                  <c:v>332</c:v>
                </c:pt>
                <c:pt idx="3">
                  <c:v>235</c:v>
                </c:pt>
                <c:pt idx="4">
                  <c:v>519</c:v>
                </c:pt>
                <c:pt idx="5">
                  <c:v>412</c:v>
                </c:pt>
                <c:pt idx="6">
                  <c:v>1020</c:v>
                </c:pt>
                <c:pt idx="7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3-40C0-8168-0BB3A4BB139F}"/>
            </c:ext>
          </c:extLst>
        </c:ser>
        <c:ser>
          <c:idx val="1"/>
          <c:order val="1"/>
          <c:tx>
            <c:strRef>
              <c:f>Calcs!$A$47</c:f>
              <c:strCache>
                <c:ptCount val="1"/>
                <c:pt idx="0">
                  <c:v>Termination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scene3d>
              <a:camera prst="orthographicFront"/>
              <a:lightRig rig="threePt" dir="t"/>
            </a:scene3d>
            <a:sp3d>
              <a:bevelT w="114300" prst="artDeco"/>
            </a:sp3d>
          </c:spPr>
          <c:invertIfNegative val="0"/>
          <c:cat>
            <c:strRef>
              <c:f>Calcs!$B$45:$I$45</c:f>
              <c:strCache>
                <c:ptCount val="8"/>
                <c:pt idx="0">
                  <c:v>FY 12</c:v>
                </c:pt>
                <c:pt idx="1">
                  <c:v>FY 13</c:v>
                </c:pt>
                <c:pt idx="2">
                  <c:v>FY 14</c:v>
                </c:pt>
                <c:pt idx="3">
                  <c:v>FY 15</c:v>
                </c:pt>
                <c:pt idx="4">
                  <c:v>FY 16</c:v>
                </c:pt>
                <c:pt idx="5">
                  <c:v>FY 17</c:v>
                </c:pt>
                <c:pt idx="6">
                  <c:v>FY 18</c:v>
                </c:pt>
                <c:pt idx="7">
                  <c:v>FY 19</c:v>
                </c:pt>
              </c:strCache>
            </c:strRef>
          </c:cat>
          <c:val>
            <c:numRef>
              <c:f>Calcs!$B$47:$I$47</c:f>
              <c:numCache>
                <c:formatCode>General</c:formatCode>
                <c:ptCount val="8"/>
                <c:pt idx="0">
                  <c:v>-816</c:v>
                </c:pt>
                <c:pt idx="1">
                  <c:v>-301</c:v>
                </c:pt>
                <c:pt idx="2">
                  <c:v>-301</c:v>
                </c:pt>
                <c:pt idx="3">
                  <c:v>-204</c:v>
                </c:pt>
                <c:pt idx="4">
                  <c:v>-354</c:v>
                </c:pt>
                <c:pt idx="5">
                  <c:v>-204</c:v>
                </c:pt>
                <c:pt idx="6">
                  <c:v>-612</c:v>
                </c:pt>
                <c:pt idx="7">
                  <c:v>-102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3-40C0-8168-0BB3A4BB1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892397568"/>
        <c:axId val="-1892396480"/>
      </c:barChart>
      <c:catAx>
        <c:axId val="-1892397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1892396480"/>
        <c:crosses val="autoZero"/>
        <c:auto val="1"/>
        <c:lblAlgn val="ctr"/>
        <c:lblOffset val="100"/>
        <c:noMultiLvlLbl val="0"/>
      </c:catAx>
      <c:valAx>
        <c:axId val="-1892396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1892397568"/>
        <c:crosses val="autoZero"/>
        <c:crossBetween val="between"/>
      </c:valAx>
      <c:spPr>
        <a:noFill/>
      </c:spPr>
    </c:plotArea>
    <c:legend>
      <c:legendPos val="t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1"/>
          <c:order val="1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extLst>
              <c:ext xmlns:c16="http://schemas.microsoft.com/office/drawing/2014/chart" uri="{C3380CC4-5D6E-409C-BE32-E72D297353CC}">
                <c16:uniqueId val="{00000001-B12B-48B8-9B07-6CAA020324BE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3-B12B-48B8-9B07-6CAA020324BE}"/>
              </c:ext>
            </c:extLst>
          </c:dPt>
          <c:val>
            <c:numRef>
              <c:f>Calcs!$C$83:$D$83</c:f>
              <c:numCache>
                <c:formatCode>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2B-48B8-9B07-6CAA020324BE}"/>
            </c:ext>
          </c:extLst>
        </c:ser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extLst>
              <c:ext xmlns:c16="http://schemas.microsoft.com/office/drawing/2014/chart" uri="{C3380CC4-5D6E-409C-BE32-E72D297353CC}">
                <c16:uniqueId val="{00000006-B12B-48B8-9B07-6CAA020324BE}"/>
              </c:ext>
            </c:extLst>
          </c:dPt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8-B12B-48B8-9B07-6CAA020324BE}"/>
              </c:ext>
            </c:extLst>
          </c:dPt>
          <c:val>
            <c:numRef>
              <c:f>Calcs!$E$83:$F$83</c:f>
              <c:numCache>
                <c:formatCode>0%</c:formatCode>
                <c:ptCount val="2"/>
                <c:pt idx="0">
                  <c:v>0.85</c:v>
                </c:pt>
                <c:pt idx="1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2B-48B8-9B07-6CAA0203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25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513740688955942E-2"/>
          <c:y val="0.10232648002333042"/>
          <c:w val="0.89967620869821174"/>
          <c:h val="0.781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Calcs!$A$87</c:f>
              <c:strCache>
                <c:ptCount val="1"/>
                <c:pt idx="0">
                  <c:v>CY</c:v>
                </c:pt>
              </c:strCache>
            </c:strRef>
          </c:tx>
          <c:spPr>
            <a:ln w="381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Calcs!$C$86:$N$86</c:f>
              <c:strCache>
                <c:ptCount val="12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Calcs!$C$87:$N$87</c:f>
              <c:numCache>
                <c:formatCode>_(* #,##0.00_);_(* \(#,##0.00\);_(* "-"??_);_(@_)</c:formatCode>
                <c:ptCount val="12"/>
                <c:pt idx="0">
                  <c:v>7.7000000000000011</c:v>
                </c:pt>
                <c:pt idx="1">
                  <c:v>8.9133000000000013</c:v>
                </c:pt>
                <c:pt idx="2">
                  <c:v>6.5846</c:v>
                </c:pt>
                <c:pt idx="3">
                  <c:v>8.9936000000000007</c:v>
                </c:pt>
                <c:pt idx="4">
                  <c:v>8.9133000000000013</c:v>
                </c:pt>
                <c:pt idx="5">
                  <c:v>9.0739000000000001</c:v>
                </c:pt>
                <c:pt idx="6">
                  <c:v>7.6284999999999998</c:v>
                </c:pt>
                <c:pt idx="7">
                  <c:v>8.9133000000000013</c:v>
                </c:pt>
                <c:pt idx="8">
                  <c:v>6.6648999999999994</c:v>
                </c:pt>
                <c:pt idx="9">
                  <c:v>6.5043000000000006</c:v>
                </c:pt>
                <c:pt idx="10">
                  <c:v>8.270900000000001</c:v>
                </c:pt>
                <c:pt idx="11">
                  <c:v>8.5921000000000003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A24-45C7-A873-24C07D960B3F}"/>
            </c:ext>
          </c:extLst>
        </c:ser>
        <c:ser>
          <c:idx val="1"/>
          <c:order val="1"/>
          <c:tx>
            <c:strRef>
              <c:f>Calcs!$A$88</c:f>
              <c:strCache>
                <c:ptCount val="1"/>
                <c:pt idx="0">
                  <c:v>PY</c:v>
                </c:pt>
              </c:strCache>
            </c:strRef>
          </c:tx>
          <c:spPr>
            <a:ln w="34925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dPt>
            <c:idx val="4"/>
            <c:bubble3D val="0"/>
            <c:spPr>
              <a:ln w="38100">
                <a:solidFill>
                  <a:schemeClr val="bg1">
                    <a:lumMod val="8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2-5A24-45C7-A873-24C07D960B3F}"/>
              </c:ext>
            </c:extLst>
          </c:dPt>
          <c:cat>
            <c:strRef>
              <c:f>Calcs!$C$86:$N$86</c:f>
              <c:strCache>
                <c:ptCount val="12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Calcs!$C$88:$N$88</c:f>
              <c:numCache>
                <c:formatCode>_(* #,##0.00_);_(* \(#,##0.00\);_(* "-"??_);_(@_)</c:formatCode>
                <c:ptCount val="12"/>
                <c:pt idx="0">
                  <c:v>7.2</c:v>
                </c:pt>
                <c:pt idx="1">
                  <c:v>7.3737300000000001</c:v>
                </c:pt>
                <c:pt idx="2">
                  <c:v>6.46488</c:v>
                </c:pt>
                <c:pt idx="3">
                  <c:v>7.6854399999999998</c:v>
                </c:pt>
                <c:pt idx="4">
                  <c:v>7.697849999999999</c:v>
                </c:pt>
                <c:pt idx="5">
                  <c:v>7.7540599999999982</c:v>
                </c:pt>
                <c:pt idx="6">
                  <c:v>6.2414999999999994</c:v>
                </c:pt>
                <c:pt idx="7">
                  <c:v>8.751240000000001</c:v>
                </c:pt>
                <c:pt idx="8">
                  <c:v>5.5742799999999999</c:v>
                </c:pt>
                <c:pt idx="9">
                  <c:v>5.7356100000000003</c:v>
                </c:pt>
                <c:pt idx="10">
                  <c:v>6.7671000000000001</c:v>
                </c:pt>
                <c:pt idx="11">
                  <c:v>7.4985599999999994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A24-45C7-A873-24C07D960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92391040"/>
        <c:axId val="-1892405184"/>
      </c:lineChart>
      <c:catAx>
        <c:axId val="-1892391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-1892405184"/>
        <c:crosses val="autoZero"/>
        <c:auto val="1"/>
        <c:lblAlgn val="ctr"/>
        <c:lblOffset val="100"/>
        <c:noMultiLvlLbl val="0"/>
      </c:catAx>
      <c:valAx>
        <c:axId val="-18924051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-1892391040"/>
        <c:crosses val="autoZero"/>
        <c:crossBetween val="between"/>
        <c:majorUnit val="3"/>
      </c:valAx>
      <c:spPr>
        <a:noFill/>
      </c:spPr>
    </c:plotArea>
    <c:legend>
      <c:legendPos val="r"/>
      <c:layout>
        <c:manualLayout>
          <c:xMode val="edge"/>
          <c:yMode val="edge"/>
          <c:x val="9.614737410160179E-2"/>
          <c:y val="4.2457713619130973E-3"/>
          <c:w val="0.35119372032959173"/>
          <c:h val="8.873067949839602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5" dropStyle="combo" dx="26" fmlaLink="Lists!$B$4" fmlaRange="Lists!$F$2:$F$5" noThreeD="1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12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2.xml"/><Relationship Id="rId11" Type="http://schemas.openxmlformats.org/officeDocument/2006/relationships/chart" Target="../charts/chart4.xml"/><Relationship Id="rId5" Type="http://schemas.openxmlformats.org/officeDocument/2006/relationships/image" Target="../media/image6.jpeg"/><Relationship Id="rId10" Type="http://schemas.openxmlformats.org/officeDocument/2006/relationships/chart" Target="../charts/chart3.xml"/><Relationship Id="rId4" Type="http://schemas.openxmlformats.org/officeDocument/2006/relationships/image" Target="../media/image5.png"/><Relationship Id="rId9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176107</xdr:colOff>
      <xdr:row>43</xdr:row>
      <xdr:rowOff>150282</xdr:rowOff>
    </xdr:from>
    <xdr:to>
      <xdr:col>21</xdr:col>
      <xdr:colOff>42333</xdr:colOff>
      <xdr:row>44</xdr:row>
      <xdr:rowOff>84666</xdr:rowOff>
    </xdr:to>
    <xdr:pic>
      <xdr:nvPicPr>
        <xdr:cNvPr id="26822" name="Picture 8">
          <a:extLst>
            <a:ext uri="{FF2B5EF4-FFF2-40B4-BE49-F238E27FC236}">
              <a16:creationId xmlns:a16="http://schemas.microsoft.com/office/drawing/2014/main" id="{00000000-0008-0000-0C00-0000C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07" y="6913032"/>
          <a:ext cx="13635143" cy="931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352425</xdr:colOff>
          <xdr:row>9</xdr:row>
          <xdr:rowOff>190500</xdr:rowOff>
        </xdr:from>
        <xdr:to>
          <xdr:col>8</xdr:col>
          <xdr:colOff>76200</xdr:colOff>
          <xdr:row>26</xdr:row>
          <xdr:rowOff>104775</xdr:rowOff>
        </xdr:to>
        <xdr:sp macro="" textlink="">
          <xdr:nvSpPr>
            <xdr:cNvPr id="26701" name="ListBox1" hidden="1">
              <a:extLst>
                <a:ext uri="{63B3BB69-23CF-44E3-9099-C40C66FF867C}">
                  <a14:compatExt spid="_x0000_s26701"/>
                </a:ext>
                <a:ext uri="{FF2B5EF4-FFF2-40B4-BE49-F238E27FC236}">
                  <a16:creationId xmlns:a16="http://schemas.microsoft.com/office/drawing/2014/main" id="{00000000-0008-0000-0C00-00004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486834</xdr:colOff>
      <xdr:row>31</xdr:row>
      <xdr:rowOff>52916</xdr:rowOff>
    </xdr:from>
    <xdr:to>
      <xdr:col>15</xdr:col>
      <xdr:colOff>84667</xdr:colOff>
      <xdr:row>43</xdr:row>
      <xdr:rowOff>65616</xdr:rowOff>
    </xdr:to>
    <xdr:graphicFrame macro="">
      <xdr:nvGraphicFramePr>
        <xdr:cNvPr id="26823" name="Chart 78">
          <a:extLst>
            <a:ext uri="{FF2B5EF4-FFF2-40B4-BE49-F238E27FC236}">
              <a16:creationId xmlns:a16="http://schemas.microsoft.com/office/drawing/2014/main" id="{00000000-0008-0000-0C00-0000C7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9</xdr:row>
          <xdr:rowOff>19050</xdr:rowOff>
        </xdr:from>
        <xdr:to>
          <xdr:col>8</xdr:col>
          <xdr:colOff>9525</xdr:colOff>
          <xdr:row>9</xdr:row>
          <xdr:rowOff>180975</xdr:rowOff>
        </xdr:to>
        <xdr:sp macro="" textlink="">
          <xdr:nvSpPr>
            <xdr:cNvPr id="26707" name="ScrollBar1" hidden="1">
              <a:extLst>
                <a:ext uri="{63B3BB69-23CF-44E3-9099-C40C66FF867C}">
                  <a14:compatExt spid="_x0000_s26707"/>
                </a:ext>
                <a:ext uri="{FF2B5EF4-FFF2-40B4-BE49-F238E27FC236}">
                  <a16:creationId xmlns:a16="http://schemas.microsoft.com/office/drawing/2014/main" id="{00000000-0008-0000-0C00-00005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198120</xdr:colOff>
      <xdr:row>8</xdr:row>
      <xdr:rowOff>160020</xdr:rowOff>
    </xdr:from>
    <xdr:to>
      <xdr:col>4</xdr:col>
      <xdr:colOff>289560</xdr:colOff>
      <xdr:row>42</xdr:row>
      <xdr:rowOff>289560</xdr:rowOff>
    </xdr:to>
    <xdr:pic>
      <xdr:nvPicPr>
        <xdr:cNvPr id="26826" name="Picture 89">
          <a:extLst>
            <a:ext uri="{FF2B5EF4-FFF2-40B4-BE49-F238E27FC236}">
              <a16:creationId xmlns:a16="http://schemas.microsoft.com/office/drawing/2014/main" id="{00000000-0008-0000-0C00-0000C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32560"/>
          <a:ext cx="91440" cy="5509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76729</xdr:colOff>
      <xdr:row>44</xdr:row>
      <xdr:rowOff>101812</xdr:rowOff>
    </xdr:from>
    <xdr:to>
      <xdr:col>21</xdr:col>
      <xdr:colOff>71437</xdr:colOff>
      <xdr:row>47</xdr:row>
      <xdr:rowOff>52879</xdr:rowOff>
    </xdr:to>
    <xdr:pic>
      <xdr:nvPicPr>
        <xdr:cNvPr id="26827" name="Picture 90">
          <a:extLst>
            <a:ext uri="{FF2B5EF4-FFF2-40B4-BE49-F238E27FC236}">
              <a16:creationId xmlns:a16="http://schemas.microsoft.com/office/drawing/2014/main" id="{00000000-0008-0000-0C00-0000C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29" y="7459875"/>
          <a:ext cx="13782146" cy="45112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495300</xdr:colOff>
          <xdr:row>9</xdr:row>
          <xdr:rowOff>0</xdr:rowOff>
        </xdr:from>
        <xdr:to>
          <xdr:col>20</xdr:col>
          <xdr:colOff>1571625</xdr:colOff>
          <xdr:row>9</xdr:row>
          <xdr:rowOff>209550</xdr:rowOff>
        </xdr:to>
        <xdr:sp macro="" textlink="">
          <xdr:nvSpPr>
            <xdr:cNvPr id="26708" name="Drop Down 84" hidden="1">
              <a:extLst>
                <a:ext uri="{63B3BB69-23CF-44E3-9099-C40C66FF867C}">
                  <a14:compatExt spid="_x0000_s26708"/>
                </a:ext>
                <a:ext uri="{FF2B5EF4-FFF2-40B4-BE49-F238E27FC236}">
                  <a16:creationId xmlns:a16="http://schemas.microsoft.com/office/drawing/2014/main" id="{00000000-0008-0000-0C00-00005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28575</xdr:colOff>
      <xdr:row>31</xdr:row>
      <xdr:rowOff>38100</xdr:rowOff>
    </xdr:from>
    <xdr:ext cx="2400300" cy="361950"/>
    <xdr:pic>
      <xdr:nvPicPr>
        <xdr:cNvPr id="12" name="Picture 203" descr="wave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219075" y="4933950"/>
          <a:ext cx="2400300" cy="361950"/>
        </a:xfrm>
        <a:prstGeom prst="rect">
          <a:avLst/>
        </a:prstGeom>
        <a:noFill/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104180</xdr:colOff>
      <xdr:row>3</xdr:row>
      <xdr:rowOff>17993</xdr:rowOff>
    </xdr:from>
    <xdr:ext cx="13695826" cy="635558"/>
    <xdr:pic>
      <xdr:nvPicPr>
        <xdr:cNvPr id="13" name="Picture 203" descr="wave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04180" y="449595"/>
          <a:ext cx="13695826" cy="635558"/>
        </a:xfrm>
        <a:prstGeom prst="rect">
          <a:avLst/>
        </a:prstGeom>
        <a:noFill/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46567</xdr:colOff>
      <xdr:row>31</xdr:row>
      <xdr:rowOff>82550</xdr:rowOff>
    </xdr:from>
    <xdr:to>
      <xdr:col>3</xdr:col>
      <xdr:colOff>404707</xdr:colOff>
      <xdr:row>33</xdr:row>
      <xdr:rowOff>15875</xdr:rowOff>
    </xdr:to>
    <xdr:sp macro="" textlink="">
      <xdr:nvSpPr>
        <xdr:cNvPr id="16" name="Text Box 176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/>
        </xdr:cNvSpPr>
      </xdr:nvSpPr>
      <xdr:spPr bwMode="auto">
        <a:xfrm>
          <a:off x="237067" y="4978400"/>
          <a:ext cx="2072640" cy="2571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Monthly Highlights</a:t>
          </a:r>
        </a:p>
      </xdr:txBody>
    </xdr:sp>
    <xdr:clientData/>
  </xdr:twoCellAnchor>
  <xdr:oneCellAnchor>
    <xdr:from>
      <xdr:col>3</xdr:col>
      <xdr:colOff>177800</xdr:colOff>
      <xdr:row>4</xdr:row>
      <xdr:rowOff>20109</xdr:rowOff>
    </xdr:from>
    <xdr:ext cx="5779134" cy="416858"/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>
          <a:spLocks noChangeArrowheads="1"/>
        </xdr:cNvSpPr>
      </xdr:nvSpPr>
      <xdr:spPr bwMode="auto">
        <a:xfrm>
          <a:off x="2082800" y="602192"/>
          <a:ext cx="5779134" cy="416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>
                  <a:alpha val="20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7432" rIns="27432" bIns="27432" anchor="ctr" upright="1">
          <a:spAutoFit/>
        </a:bodyPr>
        <a:lstStyle/>
        <a:p>
          <a:pPr algn="ctr" rtl="0">
            <a:defRPr sz="1000"/>
          </a:pPr>
          <a:r>
            <a:rPr lang="en-AU" sz="2400" b="1" i="0" u="none" strike="noStrike" baseline="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Banking Highlights</a:t>
          </a:r>
        </a:p>
      </xdr:txBody>
    </xdr:sp>
    <xdr:clientData/>
  </xdr:oneCellAnchor>
  <xdr:oneCellAnchor>
    <xdr:from>
      <xdr:col>0</xdr:col>
      <xdr:colOff>171449</xdr:colOff>
      <xdr:row>8</xdr:row>
      <xdr:rowOff>114300</xdr:rowOff>
    </xdr:from>
    <xdr:ext cx="2437279" cy="361950"/>
    <xdr:pic>
      <xdr:nvPicPr>
        <xdr:cNvPr id="19" name="Picture 203" descr="wave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71449" y="1352550"/>
          <a:ext cx="2437279" cy="361950"/>
        </a:xfrm>
        <a:prstGeom prst="rect">
          <a:avLst/>
        </a:prstGeom>
        <a:noFill/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133350</xdr:colOff>
      <xdr:row>8</xdr:row>
      <xdr:rowOff>133350</xdr:rowOff>
    </xdr:from>
    <xdr:to>
      <xdr:col>4</xdr:col>
      <xdr:colOff>9525</xdr:colOff>
      <xdr:row>9</xdr:row>
      <xdr:rowOff>228600</xdr:rowOff>
    </xdr:to>
    <xdr:sp macro="" textlink="">
      <xdr:nvSpPr>
        <xdr:cNvPr id="20" name="Text Box 176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>
          <a:spLocks noChangeArrowheads="1"/>
        </xdr:cNvSpPr>
      </xdr:nvSpPr>
      <xdr:spPr bwMode="auto">
        <a:xfrm>
          <a:off x="323850" y="1371600"/>
          <a:ext cx="2286000" cy="2571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Market Share</a:t>
          </a:r>
        </a:p>
      </xdr:txBody>
    </xdr:sp>
    <xdr:clientData/>
  </xdr:twoCellAnchor>
  <xdr:twoCellAnchor>
    <xdr:from>
      <xdr:col>1</xdr:col>
      <xdr:colOff>92866</xdr:colOff>
      <xdr:row>29</xdr:row>
      <xdr:rowOff>140535</xdr:rowOff>
    </xdr:from>
    <xdr:to>
      <xdr:col>2</xdr:col>
      <xdr:colOff>79721</xdr:colOff>
      <xdr:row>30</xdr:row>
      <xdr:rowOff>141560</xdr:rowOff>
    </xdr:to>
    <xdr:sp macro="" textlink="">
      <xdr:nvSpPr>
        <xdr:cNvPr id="25" name="Text Box 219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 txBox="1">
          <a:spLocks noChangeArrowheads="1"/>
        </xdr:cNvSpPr>
      </xdr:nvSpPr>
      <xdr:spPr bwMode="auto">
        <a:xfrm>
          <a:off x="407191" y="4683960"/>
          <a:ext cx="596455" cy="1629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800" b="1" i="0" u="none" strike="noStrike" baseline="0">
              <a:solidFill>
                <a:schemeClr val="tx1"/>
              </a:solidFill>
              <a:latin typeface="Arial"/>
              <a:cs typeface="Arial"/>
            </a:rPr>
            <a:t>Prior Yr</a:t>
          </a:r>
          <a:endParaRPr lang="en-AU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405765</xdr:colOff>
      <xdr:row>21</xdr:row>
      <xdr:rowOff>123825</xdr:rowOff>
    </xdr:from>
    <xdr:to>
      <xdr:col>3</xdr:col>
      <xdr:colOff>643887</xdr:colOff>
      <xdr:row>30</xdr:row>
      <xdr:rowOff>160012</xdr:rowOff>
    </xdr:to>
    <xdr:sp macro="" textlink="">
      <xdr:nvSpPr>
        <xdr:cNvPr id="27" name="Text Box 219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 rot="16200000">
          <a:off x="1743072" y="4076703"/>
          <a:ext cx="1323978" cy="238122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vert="wordArtVert" wrap="square" lIns="27432" tIns="22860" rIns="27432" bIns="22860" anchor="ctr" upright="1"/>
        <a:lstStyle/>
        <a:p>
          <a:pPr algn="ctr" rtl="0">
            <a:defRPr sz="1000"/>
          </a:pPr>
          <a:r>
            <a:rPr lang="en-AU" sz="1000" b="1">
              <a:solidFill>
                <a:schemeClr val="accent1">
                  <a:lumMod val="75000"/>
                </a:schemeClr>
              </a:solidFill>
            </a:rPr>
            <a:t>FTEs</a:t>
          </a:r>
        </a:p>
      </xdr:txBody>
    </xdr:sp>
    <xdr:clientData/>
  </xdr:twoCellAnchor>
  <xdr:twoCellAnchor>
    <xdr:from>
      <xdr:col>0</xdr:col>
      <xdr:colOff>106680</xdr:colOff>
      <xdr:row>21</xdr:row>
      <xdr:rowOff>9525</xdr:rowOff>
    </xdr:from>
    <xdr:to>
      <xdr:col>3</xdr:col>
      <xdr:colOff>20955</xdr:colOff>
      <xdr:row>30</xdr:row>
      <xdr:rowOff>40005</xdr:rowOff>
    </xdr:to>
    <xdr:graphicFrame macro="">
      <xdr:nvGraphicFramePr>
        <xdr:cNvPr id="26838" name="Chart 268">
          <a:extLst>
            <a:ext uri="{FF2B5EF4-FFF2-40B4-BE49-F238E27FC236}">
              <a16:creationId xmlns:a16="http://schemas.microsoft.com/office/drawing/2014/main" id="{00000000-0008-0000-0C00-0000D6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756285</xdr:colOff>
      <xdr:row>29</xdr:row>
      <xdr:rowOff>142875</xdr:rowOff>
    </xdr:from>
    <xdr:to>
      <xdr:col>3</xdr:col>
      <xdr:colOff>366175</xdr:colOff>
      <xdr:row>30</xdr:row>
      <xdr:rowOff>143900</xdr:rowOff>
    </xdr:to>
    <xdr:sp macro="" textlink="">
      <xdr:nvSpPr>
        <xdr:cNvPr id="45" name="Text Box 219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 txBox="1">
          <a:spLocks noChangeArrowheads="1"/>
        </xdr:cNvSpPr>
      </xdr:nvSpPr>
      <xdr:spPr bwMode="auto">
        <a:xfrm>
          <a:off x="1657350" y="4686300"/>
          <a:ext cx="596455" cy="1629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800" b="1" i="0" u="none" strike="noStrike" baseline="0">
              <a:solidFill>
                <a:schemeClr val="tx1"/>
              </a:solidFill>
              <a:latin typeface="Arial"/>
              <a:cs typeface="Arial"/>
            </a:rPr>
            <a:t>Forecast</a:t>
          </a:r>
          <a:endParaRPr lang="en-AU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131446</xdr:colOff>
      <xdr:row>29</xdr:row>
      <xdr:rowOff>142875</xdr:rowOff>
    </xdr:from>
    <xdr:to>
      <xdr:col>2</xdr:col>
      <xdr:colOff>729567</xdr:colOff>
      <xdr:row>30</xdr:row>
      <xdr:rowOff>142875</xdr:rowOff>
    </xdr:to>
    <xdr:sp macro="" textlink="">
      <xdr:nvSpPr>
        <xdr:cNvPr id="35" name="Text Box 219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1047751" y="4686300"/>
          <a:ext cx="590550" cy="161925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800" b="1" i="0" u="none" strike="noStrike" baseline="0">
              <a:solidFill>
                <a:schemeClr val="tx1"/>
              </a:solidFill>
              <a:latin typeface="Arial"/>
              <a:cs typeface="Arial"/>
            </a:rPr>
            <a:t>Current Yr</a:t>
          </a:r>
          <a:endParaRPr lang="en-AU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312419</xdr:colOff>
      <xdr:row>20</xdr:row>
      <xdr:rowOff>42869</xdr:rowOff>
    </xdr:from>
    <xdr:to>
      <xdr:col>2</xdr:col>
      <xdr:colOff>9480</xdr:colOff>
      <xdr:row>21</xdr:row>
      <xdr:rowOff>45022</xdr:rowOff>
    </xdr:to>
    <xdr:sp macro="" textlink="">
      <xdr:nvSpPr>
        <xdr:cNvPr id="44" name="Text Box 219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 txBox="1">
          <a:spLocks noChangeArrowheads="1"/>
        </xdr:cNvSpPr>
      </xdr:nvSpPr>
      <xdr:spPr bwMode="auto">
        <a:xfrm>
          <a:off x="619124" y="3290894"/>
          <a:ext cx="3143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>
              <a:solidFill>
                <a:schemeClr val="tx1"/>
              </a:solidFill>
            </a:rPr>
            <a:t>Act</a:t>
          </a:r>
        </a:p>
      </xdr:txBody>
    </xdr:sp>
    <xdr:clientData/>
  </xdr:twoCellAnchor>
  <xdr:twoCellAnchor>
    <xdr:from>
      <xdr:col>2</xdr:col>
      <xdr:colOff>472439</xdr:colOff>
      <xdr:row>20</xdr:row>
      <xdr:rowOff>42870</xdr:rowOff>
    </xdr:from>
    <xdr:to>
      <xdr:col>2</xdr:col>
      <xdr:colOff>794430</xdr:colOff>
      <xdr:row>21</xdr:row>
      <xdr:rowOff>45023</xdr:rowOff>
    </xdr:to>
    <xdr:sp macro="" textlink="">
      <xdr:nvSpPr>
        <xdr:cNvPr id="47" name="Text Box 219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 txBox="1">
          <a:spLocks noChangeArrowheads="1"/>
        </xdr:cNvSpPr>
      </xdr:nvSpPr>
      <xdr:spPr bwMode="auto">
        <a:xfrm>
          <a:off x="1381124" y="3290895"/>
          <a:ext cx="3143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>
              <a:solidFill>
                <a:schemeClr val="tx1"/>
              </a:solidFill>
            </a:rPr>
            <a:t>Bud</a:t>
          </a:r>
        </a:p>
      </xdr:txBody>
    </xdr:sp>
    <xdr:clientData/>
  </xdr:twoCellAnchor>
  <xdr:twoCellAnchor editAs="oneCell">
    <xdr:from>
      <xdr:col>2</xdr:col>
      <xdr:colOff>975360</xdr:colOff>
      <xdr:row>20</xdr:row>
      <xdr:rowOff>114300</xdr:rowOff>
    </xdr:from>
    <xdr:to>
      <xdr:col>3</xdr:col>
      <xdr:colOff>132080</xdr:colOff>
      <xdr:row>21</xdr:row>
      <xdr:rowOff>0</xdr:rowOff>
    </xdr:to>
    <xdr:pic>
      <xdr:nvPicPr>
        <xdr:cNvPr id="26844" name="Picture 68">
          <a:extLst>
            <a:ext uri="{FF2B5EF4-FFF2-40B4-BE49-F238E27FC236}">
              <a16:creationId xmlns:a16="http://schemas.microsoft.com/office/drawing/2014/main" id="{00000000-0008-0000-0C00-0000DC6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3383280"/>
          <a:ext cx="281940" cy="45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</xdr:colOff>
      <xdr:row>20</xdr:row>
      <xdr:rowOff>114300</xdr:rowOff>
    </xdr:from>
    <xdr:to>
      <xdr:col>1</xdr:col>
      <xdr:colOff>358140</xdr:colOff>
      <xdr:row>21</xdr:row>
      <xdr:rowOff>1270</xdr:rowOff>
    </xdr:to>
    <xdr:pic>
      <xdr:nvPicPr>
        <xdr:cNvPr id="26845" name="Picture 69">
          <a:extLst>
            <a:ext uri="{FF2B5EF4-FFF2-40B4-BE49-F238E27FC236}">
              <a16:creationId xmlns:a16="http://schemas.microsoft.com/office/drawing/2014/main" id="{00000000-0008-0000-0C00-0000DD6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383280"/>
          <a:ext cx="266700" cy="45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209549</xdr:colOff>
      <xdr:row>20</xdr:row>
      <xdr:rowOff>114301</xdr:rowOff>
    </xdr:from>
    <xdr:to>
      <xdr:col>2</xdr:col>
      <xdr:colOff>484329</xdr:colOff>
      <xdr:row>21</xdr:row>
      <xdr:rowOff>1904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39201" y="3256599"/>
          <a:ext cx="47623" cy="259078"/>
        </a:xfrm>
        <a:prstGeom prst="rect">
          <a:avLst/>
        </a:prstGeom>
      </xdr:spPr>
    </xdr:pic>
    <xdr:clientData/>
  </xdr:twoCellAnchor>
  <xdr:twoCellAnchor>
    <xdr:from>
      <xdr:col>3</xdr:col>
      <xdr:colOff>274320</xdr:colOff>
      <xdr:row>20</xdr:row>
      <xdr:rowOff>38100</xdr:rowOff>
    </xdr:from>
    <xdr:to>
      <xdr:col>3</xdr:col>
      <xdr:colOff>603978</xdr:colOff>
      <xdr:row>21</xdr:row>
      <xdr:rowOff>47625</xdr:rowOff>
    </xdr:to>
    <xdr:sp macro="" textlink="">
      <xdr:nvSpPr>
        <xdr:cNvPr id="74" name="Text Box 219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 txBox="1">
          <a:spLocks noChangeArrowheads="1"/>
        </xdr:cNvSpPr>
      </xdr:nvSpPr>
      <xdr:spPr bwMode="auto">
        <a:xfrm>
          <a:off x="2162175" y="3286125"/>
          <a:ext cx="3143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>
              <a:solidFill>
                <a:schemeClr val="tx1"/>
              </a:solidFill>
            </a:rPr>
            <a:t>Fct</a:t>
          </a:r>
        </a:p>
      </xdr:txBody>
    </xdr:sp>
    <xdr:clientData/>
  </xdr:twoCellAnchor>
  <xdr:twoCellAnchor>
    <xdr:from>
      <xdr:col>4</xdr:col>
      <xdr:colOff>307341</xdr:colOff>
      <xdr:row>28</xdr:row>
      <xdr:rowOff>27513</xdr:rowOff>
    </xdr:from>
    <xdr:to>
      <xdr:col>21</xdr:col>
      <xdr:colOff>42333</xdr:colOff>
      <xdr:row>28</xdr:row>
      <xdr:rowOff>101967</xdr:rowOff>
    </xdr:to>
    <xdr:pic>
      <xdr:nvPicPr>
        <xdr:cNvPr id="39" name="Picture 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1" y="4334930"/>
          <a:ext cx="10900409" cy="7445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161925</xdr:colOff>
      <xdr:row>10</xdr:row>
      <xdr:rowOff>63499</xdr:rowOff>
    </xdr:from>
    <xdr:to>
      <xdr:col>21</xdr:col>
      <xdr:colOff>151341</xdr:colOff>
      <xdr:row>26</xdr:row>
      <xdr:rowOff>148165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582086</xdr:colOff>
      <xdr:row>30</xdr:row>
      <xdr:rowOff>10583</xdr:rowOff>
    </xdr:from>
    <xdr:to>
      <xdr:col>9</xdr:col>
      <xdr:colOff>105834</xdr:colOff>
      <xdr:row>44</xdr:row>
      <xdr:rowOff>23287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508003</xdr:colOff>
      <xdr:row>35</xdr:row>
      <xdr:rowOff>126999</xdr:rowOff>
    </xdr:from>
    <xdr:to>
      <xdr:col>7</xdr:col>
      <xdr:colOff>370419</xdr:colOff>
      <xdr:row>37</xdr:row>
      <xdr:rowOff>84666</xdr:rowOff>
    </xdr:to>
    <xdr:sp macro="" textlink="Calcs!$E$83">
      <xdr:nvSpPr>
        <xdr:cNvPr id="7" name="TextBox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/>
      </xdr:nvSpPr>
      <xdr:spPr>
        <a:xfrm>
          <a:off x="4667253" y="5587999"/>
          <a:ext cx="476249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83810EA-E1B1-4B5E-B780-231C4EA8EBFA}" type="TxLink">
            <a: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pPr/>
            <a:t>85%</a:t>
          </a:fld>
          <a:endParaRPr lang="en-AU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74087</xdr:colOff>
      <xdr:row>35</xdr:row>
      <xdr:rowOff>137581</xdr:rowOff>
    </xdr:from>
    <xdr:to>
      <xdr:col>6</xdr:col>
      <xdr:colOff>550336</xdr:colOff>
      <xdr:row>37</xdr:row>
      <xdr:rowOff>95248</xdr:rowOff>
    </xdr:to>
    <xdr:sp macro="" textlink="Calcs!$C$83">
      <xdr:nvSpPr>
        <xdr:cNvPr id="43" name="TextBox 42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/>
      </xdr:nvSpPr>
      <xdr:spPr>
        <a:xfrm>
          <a:off x="4233337" y="5598581"/>
          <a:ext cx="476249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1D2100-CFDE-42B6-B9D9-6EB4EAC25959}" type="TxLink">
            <a: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pPr/>
            <a:t>80%</a:t>
          </a:fld>
          <a:endParaRPr lang="en-AU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402164</xdr:colOff>
      <xdr:row>42</xdr:row>
      <xdr:rowOff>63497</xdr:rowOff>
    </xdr:from>
    <xdr:to>
      <xdr:col>4</xdr:col>
      <xdr:colOff>529165</xdr:colOff>
      <xdr:row>42</xdr:row>
      <xdr:rowOff>179914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3005664" y="6635747"/>
          <a:ext cx="127001" cy="116417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476249</xdr:colOff>
      <xdr:row>42</xdr:row>
      <xdr:rowOff>21166</xdr:rowOff>
    </xdr:from>
    <xdr:to>
      <xdr:col>4</xdr:col>
      <xdr:colOff>846666</xdr:colOff>
      <xdr:row>43</xdr:row>
      <xdr:rowOff>105833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 txBox="1"/>
      </xdr:nvSpPr>
      <xdr:spPr>
        <a:xfrm>
          <a:off x="3079749" y="6593416"/>
          <a:ext cx="370417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CY</a:t>
          </a:r>
        </a:p>
      </xdr:txBody>
    </xdr:sp>
    <xdr:clientData/>
  </xdr:twoCellAnchor>
  <xdr:twoCellAnchor>
    <xdr:from>
      <xdr:col>7</xdr:col>
      <xdr:colOff>88900</xdr:colOff>
      <xdr:row>42</xdr:row>
      <xdr:rowOff>88897</xdr:rowOff>
    </xdr:from>
    <xdr:to>
      <xdr:col>7</xdr:col>
      <xdr:colOff>215901</xdr:colOff>
      <xdr:row>43</xdr:row>
      <xdr:rowOff>14814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/>
      </xdr:nvSpPr>
      <xdr:spPr>
        <a:xfrm>
          <a:off x="4861983" y="6661147"/>
          <a:ext cx="127001" cy="11641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184151</xdr:colOff>
      <xdr:row>42</xdr:row>
      <xdr:rowOff>35983</xdr:rowOff>
    </xdr:from>
    <xdr:to>
      <xdr:col>7</xdr:col>
      <xdr:colOff>554568</xdr:colOff>
      <xdr:row>43</xdr:row>
      <xdr:rowOff>120650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 txBox="1"/>
      </xdr:nvSpPr>
      <xdr:spPr>
        <a:xfrm>
          <a:off x="4957234" y="6608233"/>
          <a:ext cx="370417" cy="27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PY</a:t>
          </a:r>
        </a:p>
      </xdr:txBody>
    </xdr:sp>
    <xdr:clientData/>
  </xdr:twoCellAnchor>
  <xdr:twoCellAnchor>
    <xdr:from>
      <xdr:col>15</xdr:col>
      <xdr:colOff>134408</xdr:colOff>
      <xdr:row>30</xdr:row>
      <xdr:rowOff>104775</xdr:rowOff>
    </xdr:from>
    <xdr:to>
      <xdr:col>21</xdr:col>
      <xdr:colOff>7408</xdr:colOff>
      <xdr:row>43</xdr:row>
      <xdr:rowOff>83608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157057</xdr:colOff>
      <xdr:row>7</xdr:row>
      <xdr:rowOff>150282</xdr:rowOff>
    </xdr:from>
    <xdr:to>
      <xdr:col>21</xdr:col>
      <xdr:colOff>23283</xdr:colOff>
      <xdr:row>8</xdr:row>
      <xdr:rowOff>84666</xdr:rowOff>
    </xdr:to>
    <xdr:pic>
      <xdr:nvPicPr>
        <xdr:cNvPr id="56" name="Picture 8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57" y="1226607"/>
          <a:ext cx="13620326" cy="963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9525</xdr:colOff>
      <xdr:row>8</xdr:row>
      <xdr:rowOff>41909</xdr:rowOff>
    </xdr:from>
    <xdr:to>
      <xdr:col>21</xdr:col>
      <xdr:colOff>106207</xdr:colOff>
      <xdr:row>44</xdr:row>
      <xdr:rowOff>38099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3625" y="1280159"/>
          <a:ext cx="96682" cy="5796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66675</xdr:colOff>
      <xdr:row>8</xdr:row>
      <xdr:rowOff>60959</xdr:rowOff>
    </xdr:from>
    <xdr:to>
      <xdr:col>0</xdr:col>
      <xdr:colOff>163357</xdr:colOff>
      <xdr:row>44</xdr:row>
      <xdr:rowOff>57149</xdr:rowOff>
    </xdr:to>
    <xdr:pic>
      <xdr:nvPicPr>
        <xdr:cNvPr id="42" name="Picture 89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99209"/>
          <a:ext cx="96682" cy="5796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theme="7" tint="0.59999389629810485"/>
  </sheetPr>
  <dimension ref="B1:E14"/>
  <sheetViews>
    <sheetView showGridLines="0" showRowColHeaders="0" workbookViewId="0">
      <selection activeCell="C26" sqref="C26"/>
    </sheetView>
  </sheetViews>
  <sheetFormatPr defaultRowHeight="12.75" x14ac:dyDescent="0.2"/>
  <cols>
    <col min="3" max="3" width="17.42578125" bestFit="1" customWidth="1"/>
    <col min="4" max="4" width="32.28515625" bestFit="1" customWidth="1"/>
    <col min="5" max="5" width="9.28515625" bestFit="1" customWidth="1"/>
  </cols>
  <sheetData>
    <row r="1" spans="2:5" ht="15" x14ac:dyDescent="0.25">
      <c r="B1" s="99" t="s">
        <v>102</v>
      </c>
      <c r="C1" s="99" t="s">
        <v>103</v>
      </c>
      <c r="D1" s="99" t="s">
        <v>104</v>
      </c>
      <c r="E1" s="99" t="s">
        <v>105</v>
      </c>
    </row>
    <row r="2" spans="2:5" ht="15" x14ac:dyDescent="0.25">
      <c r="B2" s="100" t="s">
        <v>106</v>
      </c>
      <c r="C2" s="101" t="s">
        <v>107</v>
      </c>
      <c r="D2" s="101" t="s">
        <v>108</v>
      </c>
      <c r="E2" s="102" t="str">
        <f>HYPERLINK("#"&amp;B2&amp;"!A2",B2)</f>
        <v>Model</v>
      </c>
    </row>
    <row r="3" spans="2:5" ht="15" x14ac:dyDescent="0.25">
      <c r="B3" s="100" t="s">
        <v>109</v>
      </c>
      <c r="C3" s="101" t="s">
        <v>107</v>
      </c>
      <c r="D3" s="101" t="s">
        <v>110</v>
      </c>
      <c r="E3" s="102" t="str">
        <f t="shared" ref="E3:E14" si="0">HYPERLINK("#"&amp;B3&amp;"!A2",B3)</f>
        <v>List</v>
      </c>
    </row>
    <row r="4" spans="2:5" ht="15" x14ac:dyDescent="0.25">
      <c r="B4" s="99" t="s">
        <v>95</v>
      </c>
      <c r="C4" s="101" t="s">
        <v>111</v>
      </c>
      <c r="D4" s="101" t="s">
        <v>127</v>
      </c>
      <c r="E4" s="102" t="str">
        <f t="shared" si="0"/>
        <v>Data</v>
      </c>
    </row>
    <row r="5" spans="2:5" ht="15" x14ac:dyDescent="0.25">
      <c r="B5" s="99" t="s">
        <v>48</v>
      </c>
      <c r="C5" s="101" t="s">
        <v>111</v>
      </c>
      <c r="D5" s="101" t="s">
        <v>128</v>
      </c>
      <c r="E5" s="102" t="str">
        <f t="shared" si="0"/>
        <v>Plan</v>
      </c>
    </row>
    <row r="6" spans="2:5" ht="15" x14ac:dyDescent="0.25">
      <c r="B6" s="99" t="s">
        <v>121</v>
      </c>
      <c r="C6" s="101" t="s">
        <v>111</v>
      </c>
      <c r="D6" s="101" t="s">
        <v>129</v>
      </c>
      <c r="E6" s="102" t="str">
        <f t="shared" si="0"/>
        <v>Cust</v>
      </c>
    </row>
    <row r="7" spans="2:5" ht="15" x14ac:dyDescent="0.25">
      <c r="B7" s="99" t="s">
        <v>122</v>
      </c>
      <c r="C7" s="101" t="s">
        <v>111</v>
      </c>
      <c r="D7" s="101" t="s">
        <v>130</v>
      </c>
      <c r="E7" s="102" t="str">
        <f t="shared" si="0"/>
        <v>Hires</v>
      </c>
    </row>
    <row r="8" spans="2:5" ht="15" x14ac:dyDescent="0.25">
      <c r="B8" s="99" t="s">
        <v>123</v>
      </c>
      <c r="C8" s="101" t="s">
        <v>111</v>
      </c>
      <c r="D8" s="101" t="s">
        <v>131</v>
      </c>
      <c r="E8" s="102" t="str">
        <f t="shared" si="0"/>
        <v>Sick</v>
      </c>
    </row>
    <row r="9" spans="2:5" ht="15" x14ac:dyDescent="0.25">
      <c r="B9" s="99" t="s">
        <v>124</v>
      </c>
      <c r="C9" s="101" t="s">
        <v>111</v>
      </c>
      <c r="D9" s="101" t="s">
        <v>132</v>
      </c>
      <c r="E9" s="102" t="str">
        <f t="shared" si="0"/>
        <v>FTE</v>
      </c>
    </row>
    <row r="10" spans="2:5" ht="15" x14ac:dyDescent="0.25">
      <c r="B10" s="99" t="s">
        <v>125</v>
      </c>
      <c r="C10" s="101" t="s">
        <v>111</v>
      </c>
      <c r="D10" s="101" t="s">
        <v>133</v>
      </c>
      <c r="E10" s="102" t="str">
        <f t="shared" si="0"/>
        <v>General</v>
      </c>
    </row>
    <row r="11" spans="2:5" ht="15" x14ac:dyDescent="0.25">
      <c r="B11" s="99" t="s">
        <v>126</v>
      </c>
      <c r="C11" s="101" t="s">
        <v>111</v>
      </c>
      <c r="D11" s="101" t="s">
        <v>134</v>
      </c>
      <c r="E11" s="102" t="str">
        <f t="shared" si="0"/>
        <v>Other</v>
      </c>
    </row>
    <row r="12" spans="2:5" ht="15" x14ac:dyDescent="0.25">
      <c r="B12" s="103" t="s">
        <v>112</v>
      </c>
      <c r="C12" s="101" t="s">
        <v>113</v>
      </c>
      <c r="D12" s="101" t="s">
        <v>114</v>
      </c>
      <c r="E12" s="102" t="str">
        <f t="shared" si="0"/>
        <v>Calcs</v>
      </c>
    </row>
    <row r="13" spans="2:5" ht="15" x14ac:dyDescent="0.25">
      <c r="B13" s="104" t="s">
        <v>115</v>
      </c>
      <c r="C13" s="101" t="s">
        <v>116</v>
      </c>
      <c r="D13" s="101" t="s">
        <v>117</v>
      </c>
      <c r="E13" s="102" t="str">
        <f t="shared" si="0"/>
        <v>Check</v>
      </c>
    </row>
    <row r="14" spans="2:5" ht="15" x14ac:dyDescent="0.25">
      <c r="B14" s="105" t="s">
        <v>118</v>
      </c>
      <c r="C14" s="101" t="s">
        <v>119</v>
      </c>
      <c r="D14" s="101" t="s">
        <v>120</v>
      </c>
      <c r="E14" s="102" t="str">
        <f t="shared" si="0"/>
        <v>Summary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 tint="0.59999389629810485"/>
  </sheetPr>
  <dimension ref="A1:H12"/>
  <sheetViews>
    <sheetView workbookViewId="0">
      <selection activeCell="I9" sqref="I9"/>
    </sheetView>
  </sheetViews>
  <sheetFormatPr defaultRowHeight="12.75" x14ac:dyDescent="0.2"/>
  <cols>
    <col min="1" max="1" width="17.28515625" bestFit="1" customWidth="1"/>
    <col min="2" max="2" width="23.85546875" bestFit="1" customWidth="1"/>
    <col min="3" max="3" width="4.7109375" customWidth="1"/>
    <col min="4" max="4" width="9" customWidth="1"/>
    <col min="6" max="6" width="14.140625" bestFit="1" customWidth="1"/>
    <col min="7" max="7" width="4.7109375" customWidth="1"/>
    <col min="8" max="8" width="11.85546875" bestFit="1" customWidth="1"/>
  </cols>
  <sheetData>
    <row r="1" spans="1:8" x14ac:dyDescent="0.2">
      <c r="A1" s="73" t="s">
        <v>96</v>
      </c>
      <c r="B1" s="73" t="s">
        <v>64</v>
      </c>
      <c r="C1" s="2"/>
      <c r="D1" s="73" t="s">
        <v>122</v>
      </c>
      <c r="E1" s="73" t="s">
        <v>22</v>
      </c>
      <c r="F1" s="73" t="s">
        <v>33</v>
      </c>
      <c r="G1" s="2"/>
      <c r="H1" s="73" t="s">
        <v>137</v>
      </c>
    </row>
    <row r="2" spans="1:8" x14ac:dyDescent="0.2">
      <c r="A2" s="2" t="s">
        <v>23</v>
      </c>
      <c r="B2" s="1">
        <f>Summary!B5</f>
        <v>3</v>
      </c>
      <c r="D2" s="5" t="s">
        <v>18</v>
      </c>
      <c r="E2" s="5" t="s">
        <v>20</v>
      </c>
      <c r="F2" s="5" t="s">
        <v>17</v>
      </c>
      <c r="H2" s="5" t="s">
        <v>138</v>
      </c>
    </row>
    <row r="3" spans="1:8" x14ac:dyDescent="0.2">
      <c r="A3" s="2" t="s">
        <v>24</v>
      </c>
      <c r="B3" s="1" t="s">
        <v>10</v>
      </c>
      <c r="D3" s="5" t="s">
        <v>19</v>
      </c>
      <c r="E3" s="5" t="s">
        <v>21</v>
      </c>
      <c r="F3" s="5" t="s">
        <v>28</v>
      </c>
      <c r="H3" s="5" t="s">
        <v>139</v>
      </c>
    </row>
    <row r="4" spans="1:8" x14ac:dyDescent="0.2">
      <c r="A4" s="5" t="s">
        <v>34</v>
      </c>
      <c r="B4" s="1">
        <v>2</v>
      </c>
      <c r="D4" s="5" t="s">
        <v>20</v>
      </c>
      <c r="E4" s="5" t="s">
        <v>25</v>
      </c>
      <c r="F4" s="5" t="s">
        <v>29</v>
      </c>
    </row>
    <row r="5" spans="1:8" x14ac:dyDescent="0.2">
      <c r="A5" s="5" t="s">
        <v>35</v>
      </c>
      <c r="B5" s="15" t="str">
        <f ca="1">OFFSET(F1,B4,0,1,1)</f>
        <v>Scotland</v>
      </c>
      <c r="D5" s="5" t="s">
        <v>21</v>
      </c>
      <c r="E5" s="5" t="s">
        <v>26</v>
      </c>
      <c r="F5" s="5" t="s">
        <v>30</v>
      </c>
    </row>
    <row r="6" spans="1:8" x14ac:dyDescent="0.2">
      <c r="D6" s="5" t="s">
        <v>25</v>
      </c>
      <c r="E6" s="5" t="s">
        <v>27</v>
      </c>
    </row>
    <row r="7" spans="1:8" x14ac:dyDescent="0.2">
      <c r="D7" s="5" t="s">
        <v>26</v>
      </c>
      <c r="E7" s="5" t="s">
        <v>98</v>
      </c>
    </row>
    <row r="8" spans="1:8" x14ac:dyDescent="0.2">
      <c r="D8" s="5" t="s">
        <v>27</v>
      </c>
      <c r="E8" s="5" t="s">
        <v>99</v>
      </c>
    </row>
    <row r="9" spans="1:8" x14ac:dyDescent="0.2">
      <c r="D9" s="5" t="s">
        <v>98</v>
      </c>
      <c r="E9" s="5" t="s">
        <v>100</v>
      </c>
    </row>
    <row r="10" spans="1:8" x14ac:dyDescent="0.2">
      <c r="D10" s="5" t="s">
        <v>99</v>
      </c>
      <c r="E10" s="5" t="s">
        <v>101</v>
      </c>
    </row>
    <row r="11" spans="1:8" x14ac:dyDescent="0.2">
      <c r="D11" s="5" t="s">
        <v>100</v>
      </c>
      <c r="E11" s="5"/>
    </row>
    <row r="12" spans="1:8" x14ac:dyDescent="0.2">
      <c r="D12" s="5" t="s">
        <v>101</v>
      </c>
      <c r="E12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4" tint="-0.249977111117893"/>
  </sheetPr>
  <dimension ref="A1:U187"/>
  <sheetViews>
    <sheetView zoomScaleNormal="100" workbookViewId="0">
      <pane ySplit="1" topLeftCell="A2" activePane="bottomLeft" state="frozen"/>
      <selection activeCell="B52" sqref="B52"/>
      <selection pane="bottomLeft" activeCell="E53" sqref="E53"/>
    </sheetView>
  </sheetViews>
  <sheetFormatPr defaultRowHeight="12.75" x14ac:dyDescent="0.2"/>
  <cols>
    <col min="1" max="1" width="15.28515625" style="1" customWidth="1"/>
    <col min="2" max="2" width="33.28515625" style="1" bestFit="1" customWidth="1"/>
    <col min="3" max="3" width="10.85546875" bestFit="1" customWidth="1"/>
    <col min="4" max="4" width="10.28515625" bestFit="1" customWidth="1"/>
    <col min="5" max="6" width="9.7109375" bestFit="1" customWidth="1"/>
    <col min="7" max="7" width="10.42578125" bestFit="1" customWidth="1"/>
    <col min="8" max="8" width="9.7109375" bestFit="1" customWidth="1"/>
    <col min="9" max="9" width="11.42578125" bestFit="1" customWidth="1"/>
    <col min="10" max="10" width="9.7109375" bestFit="1" customWidth="1"/>
    <col min="11" max="11" width="12.28515625" customWidth="1"/>
    <col min="12" max="12" width="12.28515625" bestFit="1" customWidth="1"/>
    <col min="20" max="20" width="10.28515625" bestFit="1" customWidth="1"/>
  </cols>
  <sheetData>
    <row r="1" spans="1:14" x14ac:dyDescent="0.2">
      <c r="A1" s="73" t="s">
        <v>35</v>
      </c>
      <c r="B1" s="73" t="s">
        <v>61</v>
      </c>
      <c r="C1" s="75" t="str">
        <f ca="1">OFFSET(Lists!$E$1,COLUMN()-2,0,1,1)</f>
        <v>FY 12</v>
      </c>
      <c r="D1" s="75" t="str">
        <f ca="1">OFFSET(Lists!$E$1,COLUMN()-2,0,1,1)</f>
        <v>FY 13</v>
      </c>
      <c r="E1" s="75" t="str">
        <f ca="1">OFFSET(Lists!$E$1,COLUMN()-2,0,1,1)</f>
        <v>FY 14</v>
      </c>
      <c r="F1" s="75" t="str">
        <f ca="1">OFFSET(Lists!$E$1,COLUMN()-2,0,1,1)</f>
        <v>FY 15</v>
      </c>
      <c r="G1" s="75" t="str">
        <f ca="1">OFFSET(Lists!$E$1,COLUMN()-2,0,1,1)</f>
        <v>FY 16</v>
      </c>
      <c r="H1" s="75" t="str">
        <f ca="1">OFFSET(Lists!$E$1,COLUMN()-2,0,1,1)</f>
        <v>FY 17</v>
      </c>
      <c r="I1" s="75" t="str">
        <f ca="1">OFFSET(Lists!$E$1,COLUMN()-2,0,1,1)</f>
        <v>FY 18</v>
      </c>
      <c r="J1" s="75" t="str">
        <f ca="1">OFFSET(Lists!$E$1,COLUMN()-2,0,1,1)</f>
        <v>FY 19</v>
      </c>
      <c r="K1" s="75" t="str">
        <f ca="1">OFFSET(Lists!$E$1,COLUMN()-2,0,1,1)</f>
        <v>FY 20</v>
      </c>
    </row>
    <row r="2" spans="1:14" x14ac:dyDescent="0.2">
      <c r="A2" s="13" t="s">
        <v>17</v>
      </c>
      <c r="B2" s="13" t="s">
        <v>0</v>
      </c>
      <c r="C2" s="77">
        <v>7400</v>
      </c>
      <c r="D2" s="77">
        <v>8100</v>
      </c>
      <c r="E2" s="77">
        <v>8300</v>
      </c>
      <c r="F2" s="77">
        <v>9600</v>
      </c>
      <c r="G2" s="77">
        <v>10200</v>
      </c>
      <c r="H2" s="77">
        <v>10000</v>
      </c>
      <c r="I2" s="77">
        <v>10200</v>
      </c>
      <c r="J2" s="77">
        <v>10600</v>
      </c>
      <c r="K2" s="77">
        <v>10300</v>
      </c>
    </row>
    <row r="3" spans="1:14" x14ac:dyDescent="0.2">
      <c r="A3" s="13" t="s">
        <v>17</v>
      </c>
      <c r="B3" s="13" t="s">
        <v>1</v>
      </c>
      <c r="C3" s="77">
        <v>28900</v>
      </c>
      <c r="D3" s="77">
        <v>33569</v>
      </c>
      <c r="E3" s="77">
        <v>34511</v>
      </c>
      <c r="F3" s="77">
        <v>35678</v>
      </c>
      <c r="G3" s="77">
        <v>38976</v>
      </c>
      <c r="H3" s="77">
        <v>40014</v>
      </c>
      <c r="I3" s="77">
        <v>41017.5</v>
      </c>
      <c r="J3" s="77">
        <v>42521.875</v>
      </c>
      <c r="K3" s="77">
        <v>48152.34375</v>
      </c>
      <c r="L3" s="4"/>
      <c r="M3" s="4"/>
      <c r="N3" s="4"/>
    </row>
    <row r="4" spans="1:14" x14ac:dyDescent="0.2">
      <c r="A4" s="13" t="s">
        <v>17</v>
      </c>
      <c r="B4" s="13" t="s">
        <v>2</v>
      </c>
      <c r="C4" s="78">
        <v>3.1</v>
      </c>
      <c r="D4" s="78">
        <v>3.2</v>
      </c>
      <c r="E4" s="78">
        <v>3.35</v>
      </c>
      <c r="F4" s="78">
        <v>3.4</v>
      </c>
      <c r="G4" s="78">
        <v>3.45</v>
      </c>
      <c r="H4" s="78">
        <v>3.6</v>
      </c>
      <c r="I4" s="78">
        <v>4.5</v>
      </c>
      <c r="J4" s="78">
        <v>5.625</v>
      </c>
      <c r="K4" s="78">
        <v>7.03125</v>
      </c>
      <c r="L4" s="4"/>
      <c r="M4" s="4"/>
      <c r="N4" s="4"/>
    </row>
    <row r="5" spans="1:14" x14ac:dyDescent="0.2">
      <c r="A5" s="13" t="s">
        <v>17</v>
      </c>
      <c r="B5" s="13" t="s">
        <v>3</v>
      </c>
      <c r="C5" s="78">
        <v>0.97</v>
      </c>
      <c r="D5" s="78">
        <v>1.05</v>
      </c>
      <c r="E5" s="78">
        <v>1.1100000000000001</v>
      </c>
      <c r="F5" s="78">
        <v>1.2</v>
      </c>
      <c r="G5" s="78">
        <v>1.23</v>
      </c>
      <c r="H5" s="78">
        <v>1.28</v>
      </c>
      <c r="I5" s="78">
        <v>1.6</v>
      </c>
      <c r="J5" s="78">
        <v>2</v>
      </c>
      <c r="K5" s="78">
        <v>2.5</v>
      </c>
      <c r="L5" s="4"/>
      <c r="M5" s="4"/>
      <c r="N5" s="4"/>
    </row>
    <row r="6" spans="1:14" x14ac:dyDescent="0.2">
      <c r="A6" s="13" t="s">
        <v>17</v>
      </c>
      <c r="B6" s="13" t="s">
        <v>4</v>
      </c>
      <c r="C6" s="79">
        <v>2.6</v>
      </c>
      <c r="D6" s="79">
        <v>2.4</v>
      </c>
      <c r="E6" s="79">
        <v>2.6</v>
      </c>
      <c r="F6" s="79">
        <v>2.5</v>
      </c>
      <c r="G6" s="79">
        <v>2.5</v>
      </c>
      <c r="H6" s="79">
        <v>2.6</v>
      </c>
      <c r="I6" s="79">
        <v>3.25</v>
      </c>
      <c r="J6" s="79">
        <v>4.0625</v>
      </c>
      <c r="K6" s="79">
        <v>5.078125</v>
      </c>
      <c r="L6" s="4"/>
      <c r="M6" s="4"/>
      <c r="N6" s="4"/>
    </row>
    <row r="7" spans="1:14" x14ac:dyDescent="0.2">
      <c r="A7" s="13" t="s">
        <v>17</v>
      </c>
      <c r="B7" s="13" t="s">
        <v>5</v>
      </c>
      <c r="C7" s="79">
        <v>23.4</v>
      </c>
      <c r="D7" s="79">
        <v>22.7</v>
      </c>
      <c r="E7" s="79">
        <v>26.8</v>
      </c>
      <c r="F7" s="79">
        <v>25.7</v>
      </c>
      <c r="G7" s="79">
        <v>27.6</v>
      </c>
      <c r="H7" s="79">
        <v>28.6</v>
      </c>
      <c r="I7" s="79">
        <v>30.75</v>
      </c>
      <c r="J7" s="79">
        <v>25.6875</v>
      </c>
      <c r="K7" s="79">
        <v>22.859375</v>
      </c>
      <c r="L7" s="4"/>
      <c r="M7" s="4"/>
      <c r="N7" s="4"/>
    </row>
    <row r="8" spans="1:14" x14ac:dyDescent="0.2">
      <c r="A8" s="13" t="s">
        <v>17</v>
      </c>
      <c r="B8" s="13" t="s">
        <v>6</v>
      </c>
      <c r="C8" s="79">
        <v>7.5</v>
      </c>
      <c r="D8" s="79">
        <v>7.8</v>
      </c>
      <c r="E8" s="79">
        <v>8.3000000000000007</v>
      </c>
      <c r="F8" s="79">
        <v>8.3000000000000007</v>
      </c>
      <c r="G8" s="79">
        <v>8.4</v>
      </c>
      <c r="H8" s="79">
        <v>8.6999999999999993</v>
      </c>
      <c r="I8" s="79">
        <v>8.875</v>
      </c>
      <c r="J8" s="79">
        <v>9</v>
      </c>
      <c r="K8" s="79">
        <v>8.6999999999999993</v>
      </c>
      <c r="L8" s="4"/>
      <c r="M8" s="4"/>
      <c r="N8" s="4"/>
    </row>
    <row r="9" spans="1:14" x14ac:dyDescent="0.2">
      <c r="A9" s="13" t="s">
        <v>17</v>
      </c>
      <c r="B9" s="13" t="s">
        <v>7</v>
      </c>
      <c r="C9" s="78">
        <v>0.84</v>
      </c>
      <c r="D9" s="78">
        <v>0.9</v>
      </c>
      <c r="E9" s="78">
        <v>0.85</v>
      </c>
      <c r="F9" s="78">
        <v>0.87</v>
      </c>
      <c r="G9" s="78">
        <v>0.84</v>
      </c>
      <c r="H9" s="78">
        <v>0.88</v>
      </c>
      <c r="I9" s="78">
        <v>1.1000000000000001</v>
      </c>
      <c r="J9" s="78">
        <v>1.375</v>
      </c>
      <c r="K9" s="78">
        <v>1.71875</v>
      </c>
      <c r="L9" s="4"/>
      <c r="M9" s="4"/>
      <c r="N9" s="4"/>
    </row>
    <row r="10" spans="1:14" x14ac:dyDescent="0.2">
      <c r="A10" s="13" t="s">
        <v>17</v>
      </c>
      <c r="B10" s="13" t="s">
        <v>8</v>
      </c>
      <c r="C10" s="77">
        <v>440000</v>
      </c>
      <c r="D10" s="77">
        <v>465000</v>
      </c>
      <c r="E10" s="77">
        <v>480000</v>
      </c>
      <c r="F10" s="77">
        <v>520000</v>
      </c>
      <c r="G10" s="77">
        <v>550000</v>
      </c>
      <c r="H10" s="77">
        <v>620000</v>
      </c>
      <c r="I10" s="77">
        <v>675000</v>
      </c>
      <c r="J10" s="77">
        <v>698750</v>
      </c>
      <c r="K10" s="77">
        <v>668750</v>
      </c>
      <c r="L10" s="4"/>
      <c r="M10" s="4"/>
      <c r="N10" s="4"/>
    </row>
    <row r="11" spans="1:14" x14ac:dyDescent="0.2">
      <c r="A11" s="13" t="s">
        <v>17</v>
      </c>
      <c r="B11" s="13" t="s">
        <v>9</v>
      </c>
      <c r="C11" s="77">
        <v>255923</v>
      </c>
      <c r="D11" s="77">
        <v>267900</v>
      </c>
      <c r="E11" s="77">
        <v>278900</v>
      </c>
      <c r="F11" s="77">
        <v>298765</v>
      </c>
      <c r="G11" s="77">
        <v>312900</v>
      </c>
      <c r="H11" s="77">
        <v>320984</v>
      </c>
      <c r="I11" s="77">
        <v>301230</v>
      </c>
      <c r="J11" s="77">
        <v>298765</v>
      </c>
      <c r="K11" s="77">
        <v>326921.875</v>
      </c>
      <c r="L11" s="4"/>
      <c r="M11" s="4"/>
      <c r="N11" s="4"/>
    </row>
    <row r="12" spans="1:14" x14ac:dyDescent="0.2">
      <c r="A12" s="13" t="s">
        <v>17</v>
      </c>
      <c r="B12" s="13" t="s">
        <v>10</v>
      </c>
      <c r="C12" s="77">
        <v>253651</v>
      </c>
      <c r="D12" s="77">
        <v>262890</v>
      </c>
      <c r="E12" s="77">
        <v>268931</v>
      </c>
      <c r="F12" s="77">
        <v>274900</v>
      </c>
      <c r="G12" s="77">
        <v>289150</v>
      </c>
      <c r="H12" s="77">
        <v>305918</v>
      </c>
      <c r="I12" s="77">
        <v>315918</v>
      </c>
      <c r="J12" s="77">
        <v>307123</v>
      </c>
      <c r="K12" s="77">
        <v>335918</v>
      </c>
    </row>
    <row r="13" spans="1:14" x14ac:dyDescent="0.2">
      <c r="A13" s="13" t="s">
        <v>17</v>
      </c>
      <c r="B13" s="13" t="s">
        <v>11</v>
      </c>
      <c r="C13" s="77">
        <v>28750</v>
      </c>
      <c r="D13" s="77">
        <v>30800</v>
      </c>
      <c r="E13" s="77">
        <v>31540</v>
      </c>
      <c r="F13" s="77">
        <v>32700</v>
      </c>
      <c r="G13" s="77">
        <v>33870</v>
      </c>
      <c r="H13" s="77">
        <v>34900</v>
      </c>
      <c r="I13" s="77">
        <v>35900</v>
      </c>
      <c r="J13" s="77">
        <v>36900</v>
      </c>
      <c r="K13" s="77">
        <v>37900</v>
      </c>
      <c r="L13" s="3"/>
      <c r="M13" s="3"/>
      <c r="N13" s="3"/>
    </row>
    <row r="14" spans="1:14" x14ac:dyDescent="0.2">
      <c r="A14" s="13" t="s">
        <v>17</v>
      </c>
      <c r="B14" s="13" t="s">
        <v>12</v>
      </c>
      <c r="C14" s="79">
        <v>1.7</v>
      </c>
      <c r="D14" s="80">
        <v>1.5</v>
      </c>
      <c r="E14" s="80">
        <v>1.5</v>
      </c>
      <c r="F14" s="80">
        <v>1.4</v>
      </c>
      <c r="G14" s="80">
        <v>1.2</v>
      </c>
      <c r="H14" s="80">
        <v>1.3</v>
      </c>
      <c r="I14" s="79">
        <v>1.7</v>
      </c>
      <c r="J14" s="80">
        <v>1.5</v>
      </c>
      <c r="K14" s="80">
        <v>1.3</v>
      </c>
    </row>
    <row r="15" spans="1:14" x14ac:dyDescent="0.2">
      <c r="A15" s="13" t="s">
        <v>17</v>
      </c>
      <c r="B15" s="13" t="s">
        <v>13</v>
      </c>
      <c r="C15" s="80">
        <v>2.9</v>
      </c>
      <c r="D15" s="80">
        <v>2.9</v>
      </c>
      <c r="E15" s="80">
        <v>3</v>
      </c>
      <c r="F15" s="80">
        <v>3</v>
      </c>
      <c r="G15" s="80">
        <v>3.1</v>
      </c>
      <c r="H15" s="80">
        <v>3.2</v>
      </c>
      <c r="I15" s="80">
        <v>2.9</v>
      </c>
      <c r="J15" s="80">
        <v>2.9</v>
      </c>
      <c r="K15" s="80">
        <v>3</v>
      </c>
    </row>
    <row r="16" spans="1:14" x14ac:dyDescent="0.2">
      <c r="A16" s="14" t="s">
        <v>17</v>
      </c>
      <c r="B16" s="14" t="s">
        <v>14</v>
      </c>
      <c r="C16" s="80">
        <v>3.45</v>
      </c>
      <c r="D16" s="80">
        <v>3.6</v>
      </c>
      <c r="E16" s="80">
        <v>3.55</v>
      </c>
      <c r="F16" s="80">
        <v>3.65</v>
      </c>
      <c r="G16" s="80">
        <v>3.7</v>
      </c>
      <c r="H16" s="80">
        <v>3.9</v>
      </c>
      <c r="I16" s="80">
        <v>3.9</v>
      </c>
      <c r="J16" s="80">
        <v>3.6</v>
      </c>
      <c r="K16" s="80">
        <v>3.9</v>
      </c>
    </row>
    <row r="17" spans="1:21" x14ac:dyDescent="0.2">
      <c r="A17" s="14" t="s">
        <v>17</v>
      </c>
      <c r="B17" s="14" t="s">
        <v>15</v>
      </c>
      <c r="C17" s="80">
        <v>1.7</v>
      </c>
      <c r="D17" s="80">
        <v>1.4</v>
      </c>
      <c r="E17" s="80">
        <v>1.6</v>
      </c>
      <c r="F17" s="80">
        <v>1.6</v>
      </c>
      <c r="G17" s="80">
        <v>1.5</v>
      </c>
      <c r="H17" s="80">
        <v>1.4</v>
      </c>
      <c r="I17" s="80">
        <v>1.3</v>
      </c>
      <c r="J17" s="80">
        <v>1.6</v>
      </c>
      <c r="K17" s="80">
        <v>1.5</v>
      </c>
    </row>
    <row r="18" spans="1:21" x14ac:dyDescent="0.2">
      <c r="A18" s="70"/>
      <c r="B18" s="70"/>
      <c r="C18" s="81"/>
      <c r="D18" s="81"/>
      <c r="E18" s="81"/>
      <c r="F18" s="81"/>
      <c r="G18" s="81"/>
      <c r="H18" s="81"/>
      <c r="I18" s="81"/>
      <c r="J18" s="81"/>
      <c r="K18" s="81"/>
    </row>
    <row r="19" spans="1:21" x14ac:dyDescent="0.2">
      <c r="A19" s="13" t="s">
        <v>28</v>
      </c>
      <c r="B19" s="13" t="s">
        <v>0</v>
      </c>
      <c r="C19" s="77">
        <v>3330</v>
      </c>
      <c r="D19" s="77">
        <v>3685.5</v>
      </c>
      <c r="E19" s="77">
        <v>3818</v>
      </c>
      <c r="F19" s="77">
        <v>4464</v>
      </c>
      <c r="G19" s="77">
        <v>4794</v>
      </c>
      <c r="H19" s="77">
        <v>5225</v>
      </c>
      <c r="I19" s="77">
        <v>5376</v>
      </c>
      <c r="J19" s="77">
        <v>4794</v>
      </c>
      <c r="K19" s="77">
        <v>5225</v>
      </c>
      <c r="L19" s="6"/>
      <c r="M19" s="6"/>
      <c r="N19" s="6"/>
      <c r="O19" s="6"/>
      <c r="P19" s="6"/>
      <c r="Q19" s="6"/>
      <c r="R19" s="6"/>
    </row>
    <row r="20" spans="1:21" x14ac:dyDescent="0.2">
      <c r="A20" s="13" t="s">
        <v>28</v>
      </c>
      <c r="B20" s="13" t="s">
        <v>1</v>
      </c>
      <c r="C20" s="77">
        <v>13005</v>
      </c>
      <c r="D20" s="77">
        <v>15273.895</v>
      </c>
      <c r="E20" s="77">
        <v>15875.060000000001</v>
      </c>
      <c r="F20" s="77">
        <v>16590.27</v>
      </c>
      <c r="G20" s="77">
        <v>18318.719999999998</v>
      </c>
      <c r="H20" s="77">
        <v>19006.649999999998</v>
      </c>
      <c r="I20" s="77">
        <v>24008.400000000001</v>
      </c>
      <c r="J20" s="77">
        <v>18318.719999999998</v>
      </c>
      <c r="K20" s="77">
        <v>19006.649999999998</v>
      </c>
      <c r="L20" s="6"/>
      <c r="M20" s="6"/>
      <c r="N20" s="6"/>
      <c r="O20" s="6"/>
      <c r="P20" s="6"/>
      <c r="Q20" s="6"/>
      <c r="R20" s="6"/>
    </row>
    <row r="21" spans="1:21" x14ac:dyDescent="0.2">
      <c r="A21" s="13" t="s">
        <v>28</v>
      </c>
      <c r="B21" s="13" t="s">
        <v>2</v>
      </c>
      <c r="C21" s="78">
        <v>2.1</v>
      </c>
      <c r="D21" s="78">
        <v>2.2000000000000002</v>
      </c>
      <c r="E21" s="78">
        <v>2.35</v>
      </c>
      <c r="F21" s="78">
        <v>2.4</v>
      </c>
      <c r="G21" s="78">
        <v>2.4500000000000002</v>
      </c>
      <c r="H21" s="78">
        <v>3.2</v>
      </c>
      <c r="I21" s="78">
        <v>4.5</v>
      </c>
      <c r="J21" s="78">
        <v>5.625</v>
      </c>
      <c r="K21" s="78">
        <v>3.6</v>
      </c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">
      <c r="A22" s="13" t="s">
        <v>28</v>
      </c>
      <c r="B22" s="13" t="s">
        <v>3</v>
      </c>
      <c r="C22" s="78">
        <v>0.67</v>
      </c>
      <c r="D22" s="78">
        <f>C22+0.1</f>
        <v>0.77</v>
      </c>
      <c r="E22" s="78">
        <f t="shared" ref="E22:K22" si="0">D22+0.1</f>
        <v>0.87</v>
      </c>
      <c r="F22" s="78">
        <f t="shared" si="0"/>
        <v>0.97</v>
      </c>
      <c r="G22" s="78">
        <v>0.67</v>
      </c>
      <c r="H22" s="78">
        <f t="shared" si="0"/>
        <v>0.77</v>
      </c>
      <c r="I22" s="78">
        <f t="shared" si="0"/>
        <v>0.87</v>
      </c>
      <c r="J22" s="78">
        <f t="shared" si="0"/>
        <v>0.97</v>
      </c>
      <c r="K22" s="78">
        <f t="shared" si="0"/>
        <v>1.07</v>
      </c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">
      <c r="A23" s="13" t="s">
        <v>28</v>
      </c>
      <c r="B23" s="13" t="s">
        <v>4</v>
      </c>
      <c r="C23" s="79">
        <v>1.6</v>
      </c>
      <c r="D23" s="78">
        <f t="shared" ref="D23:D34" si="1">C23+0.1</f>
        <v>1.7000000000000002</v>
      </c>
      <c r="E23" s="79">
        <v>1.6</v>
      </c>
      <c r="F23" s="79">
        <v>1.5</v>
      </c>
      <c r="G23" s="79">
        <v>3.5</v>
      </c>
      <c r="H23" s="79">
        <v>3.6</v>
      </c>
      <c r="I23" s="79">
        <v>4.25</v>
      </c>
      <c r="J23" s="79">
        <v>5.0625</v>
      </c>
      <c r="K23" s="79">
        <v>6.078125</v>
      </c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">
      <c r="A24" s="13" t="s">
        <v>28</v>
      </c>
      <c r="B24" s="13" t="s">
        <v>5</v>
      </c>
      <c r="C24" s="79">
        <v>22.4</v>
      </c>
      <c r="D24" s="78">
        <f t="shared" si="1"/>
        <v>22.5</v>
      </c>
      <c r="E24" s="79">
        <v>25.8</v>
      </c>
      <c r="F24" s="79">
        <v>24.7</v>
      </c>
      <c r="G24" s="79">
        <v>28.6</v>
      </c>
      <c r="H24" s="79">
        <v>29.6</v>
      </c>
      <c r="I24" s="79">
        <v>31.75</v>
      </c>
      <c r="J24" s="79">
        <v>26.6875</v>
      </c>
      <c r="K24" s="79">
        <v>23.859375</v>
      </c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">
      <c r="A25" s="13" t="s">
        <v>28</v>
      </c>
      <c r="B25" s="13" t="s">
        <v>6</v>
      </c>
      <c r="C25" s="79">
        <v>6.5</v>
      </c>
      <c r="D25" s="78">
        <f t="shared" si="1"/>
        <v>6.6</v>
      </c>
      <c r="E25" s="79">
        <v>7.3000000000000007</v>
      </c>
      <c r="F25" s="79">
        <v>7.3000000000000007</v>
      </c>
      <c r="G25" s="79">
        <v>9.4</v>
      </c>
      <c r="H25" s="79">
        <v>9.6999999999999993</v>
      </c>
      <c r="I25" s="79">
        <v>9.875</v>
      </c>
      <c r="J25" s="79">
        <v>10</v>
      </c>
      <c r="K25" s="79">
        <v>9.6999999999999993</v>
      </c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">
      <c r="A26" s="13" t="s">
        <v>28</v>
      </c>
      <c r="B26" s="13" t="s">
        <v>7</v>
      </c>
      <c r="C26" s="78">
        <v>1.64</v>
      </c>
      <c r="D26" s="78">
        <v>1.74</v>
      </c>
      <c r="E26" s="78">
        <v>1.8399999999999999</v>
      </c>
      <c r="F26" s="78">
        <v>1.94</v>
      </c>
      <c r="G26" s="78">
        <v>1.8740000000000001</v>
      </c>
      <c r="H26" s="78">
        <v>1.88</v>
      </c>
      <c r="I26" s="78">
        <v>2.1</v>
      </c>
      <c r="J26" s="78">
        <v>2.375</v>
      </c>
      <c r="K26" s="78">
        <v>2.21875</v>
      </c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">
      <c r="A27" s="13" t="s">
        <v>28</v>
      </c>
      <c r="B27" s="13" t="s">
        <v>8</v>
      </c>
      <c r="C27" s="82">
        <v>270000</v>
      </c>
      <c r="D27" s="78">
        <f t="shared" si="1"/>
        <v>270000.09999999998</v>
      </c>
      <c r="E27" s="82">
        <v>240000</v>
      </c>
      <c r="F27" s="82">
        <v>200000</v>
      </c>
      <c r="G27" s="82">
        <v>295000</v>
      </c>
      <c r="H27" s="82">
        <v>340000</v>
      </c>
      <c r="I27" s="82">
        <v>387500</v>
      </c>
      <c r="J27" s="82">
        <v>484375</v>
      </c>
      <c r="K27" s="82">
        <v>605468.75</v>
      </c>
    </row>
    <row r="28" spans="1:21" x14ac:dyDescent="0.2">
      <c r="A28" s="13" t="s">
        <v>28</v>
      </c>
      <c r="B28" s="13" t="s">
        <v>9</v>
      </c>
      <c r="C28" s="82">
        <v>157961.5</v>
      </c>
      <c r="D28" s="78">
        <f t="shared" si="1"/>
        <v>157961.60000000001</v>
      </c>
      <c r="E28" s="82">
        <v>129450</v>
      </c>
      <c r="F28" s="82">
        <v>169382.5</v>
      </c>
      <c r="G28" s="82">
        <v>176450</v>
      </c>
      <c r="H28" s="82">
        <v>160492</v>
      </c>
      <c r="I28" s="82">
        <v>200615</v>
      </c>
      <c r="J28" s="82">
        <v>250768.75</v>
      </c>
      <c r="K28" s="82">
        <v>313460.9375</v>
      </c>
    </row>
    <row r="29" spans="1:21" x14ac:dyDescent="0.2">
      <c r="A29" s="13" t="s">
        <v>28</v>
      </c>
      <c r="B29" s="13" t="s">
        <v>10</v>
      </c>
      <c r="C29" s="82">
        <v>146825.5</v>
      </c>
      <c r="D29" s="78">
        <f t="shared" si="1"/>
        <v>146825.60000000001</v>
      </c>
      <c r="E29" s="82">
        <v>154465.5</v>
      </c>
      <c r="F29" s="82">
        <v>137450</v>
      </c>
      <c r="G29" s="82">
        <v>164575</v>
      </c>
      <c r="H29" s="82">
        <v>152959</v>
      </c>
      <c r="I29" s="82">
        <v>147959</v>
      </c>
      <c r="J29" s="82">
        <v>153561.5</v>
      </c>
      <c r="K29" s="82">
        <v>147959</v>
      </c>
    </row>
    <row r="30" spans="1:21" x14ac:dyDescent="0.2">
      <c r="A30" s="13" t="s">
        <v>28</v>
      </c>
      <c r="B30" s="13" t="s">
        <v>11</v>
      </c>
      <c r="C30" s="82">
        <v>14375</v>
      </c>
      <c r="D30" s="78">
        <f t="shared" si="1"/>
        <v>14375.1</v>
      </c>
      <c r="E30" s="82">
        <v>15770</v>
      </c>
      <c r="F30" s="82">
        <v>16350</v>
      </c>
      <c r="G30" s="82">
        <v>16935</v>
      </c>
      <c r="H30" s="82">
        <v>17450</v>
      </c>
      <c r="I30" s="82">
        <v>17950</v>
      </c>
      <c r="J30" s="82">
        <v>18450</v>
      </c>
      <c r="K30" s="82">
        <v>18950</v>
      </c>
    </row>
    <row r="31" spans="1:21" x14ac:dyDescent="0.2">
      <c r="A31" s="13" t="s">
        <v>28</v>
      </c>
      <c r="B31" s="13" t="s">
        <v>12</v>
      </c>
      <c r="C31" s="79">
        <v>0.7</v>
      </c>
      <c r="D31" s="78">
        <f t="shared" si="1"/>
        <v>0.79999999999999993</v>
      </c>
      <c r="E31" s="80">
        <v>0.5</v>
      </c>
      <c r="F31" s="80">
        <v>0.39999999999999991</v>
      </c>
      <c r="G31" s="80">
        <v>2.2000000000000002</v>
      </c>
      <c r="H31" s="80">
        <v>2.2999999999999998</v>
      </c>
      <c r="I31" s="79">
        <v>2.7</v>
      </c>
      <c r="J31" s="80">
        <v>2.5</v>
      </c>
      <c r="K31" s="80">
        <v>2.2999999999999998</v>
      </c>
      <c r="L31" s="7"/>
      <c r="M31" s="7"/>
      <c r="N31" s="7"/>
      <c r="O31" s="7"/>
      <c r="P31" s="7"/>
      <c r="Q31" s="7"/>
      <c r="R31" s="7"/>
      <c r="S31" s="7"/>
      <c r="T31" s="7"/>
    </row>
    <row r="32" spans="1:21" x14ac:dyDescent="0.2">
      <c r="A32" s="13" t="s">
        <v>28</v>
      </c>
      <c r="B32" s="13" t="s">
        <v>13</v>
      </c>
      <c r="C32" s="80">
        <v>1.9</v>
      </c>
      <c r="D32" s="78">
        <f t="shared" si="1"/>
        <v>2</v>
      </c>
      <c r="E32" s="80">
        <v>2</v>
      </c>
      <c r="F32" s="80">
        <v>2</v>
      </c>
      <c r="G32" s="80">
        <v>4.0999999999999996</v>
      </c>
      <c r="H32" s="80">
        <v>4.2</v>
      </c>
      <c r="I32" s="80">
        <v>3.9</v>
      </c>
      <c r="J32" s="80">
        <v>3.9</v>
      </c>
      <c r="K32" s="80">
        <v>4</v>
      </c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">
      <c r="A33" s="14" t="s">
        <v>28</v>
      </c>
      <c r="B33" s="14" t="s">
        <v>14</v>
      </c>
      <c r="C33" s="80">
        <v>2.4500000000000002</v>
      </c>
      <c r="D33" s="78">
        <f t="shared" si="1"/>
        <v>2.5500000000000003</v>
      </c>
      <c r="E33" s="80">
        <v>2.5499999999999998</v>
      </c>
      <c r="F33" s="80">
        <v>2.65</v>
      </c>
      <c r="G33" s="80">
        <v>4.7</v>
      </c>
      <c r="H33" s="80">
        <v>4.9000000000000004</v>
      </c>
      <c r="I33" s="80">
        <v>4.9000000000000004</v>
      </c>
      <c r="J33" s="80">
        <v>4.5999999999999996</v>
      </c>
      <c r="K33" s="80">
        <v>4.9000000000000004</v>
      </c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">
      <c r="A34" s="14" t="s">
        <v>28</v>
      </c>
      <c r="B34" s="14" t="s">
        <v>15</v>
      </c>
      <c r="C34" s="80">
        <v>0.7</v>
      </c>
      <c r="D34" s="78">
        <f t="shared" si="1"/>
        <v>0.79999999999999993</v>
      </c>
      <c r="E34" s="80">
        <v>0.60000000000000009</v>
      </c>
      <c r="F34" s="80">
        <v>0.60000000000000009</v>
      </c>
      <c r="G34" s="80">
        <v>2.5</v>
      </c>
      <c r="H34" s="80">
        <v>2.4</v>
      </c>
      <c r="I34" s="80">
        <v>2.2999999999999998</v>
      </c>
      <c r="J34" s="80">
        <v>2.6</v>
      </c>
      <c r="K34" s="80">
        <v>2.5</v>
      </c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">
      <c r="A35" s="70"/>
      <c r="B35" s="70"/>
      <c r="C35" s="81"/>
      <c r="D35" s="81"/>
      <c r="E35" s="81"/>
      <c r="F35" s="81"/>
      <c r="G35" s="81"/>
      <c r="H35" s="81"/>
      <c r="I35" s="81"/>
      <c r="J35" s="81"/>
      <c r="K35" s="81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">
      <c r="A36" s="13" t="s">
        <v>29</v>
      </c>
      <c r="B36" s="13" t="s">
        <v>0</v>
      </c>
      <c r="C36" s="77">
        <v>8140.0000000000009</v>
      </c>
      <c r="D36" s="77">
        <v>8910</v>
      </c>
      <c r="E36" s="77">
        <v>9130</v>
      </c>
      <c r="F36" s="77">
        <v>16560</v>
      </c>
      <c r="G36" s="77">
        <v>11220</v>
      </c>
      <c r="H36" s="77">
        <v>12100.000000000002</v>
      </c>
      <c r="I36" s="77">
        <v>12320.000000000002</v>
      </c>
      <c r="J36" s="77">
        <v>12760.000000000002</v>
      </c>
      <c r="K36" s="77">
        <v>13530.000000000002</v>
      </c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">
      <c r="A37" s="13" t="s">
        <v>29</v>
      </c>
      <c r="B37" s="13" t="s">
        <v>1</v>
      </c>
      <c r="C37" s="77">
        <v>31790.000000000004</v>
      </c>
      <c r="D37" s="77">
        <v>36925.9</v>
      </c>
      <c r="E37" s="77">
        <v>37962.100000000006</v>
      </c>
      <c r="F37" s="77">
        <v>39245.800000000003</v>
      </c>
      <c r="G37" s="77">
        <v>42873.600000000006</v>
      </c>
      <c r="H37" s="77">
        <v>55015.4</v>
      </c>
      <c r="I37" s="77">
        <v>55019.250000000007</v>
      </c>
      <c r="J37" s="77">
        <v>61774.0625</v>
      </c>
      <c r="K37" s="77">
        <v>85967.578125</v>
      </c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">
      <c r="A38" s="13" t="s">
        <v>29</v>
      </c>
      <c r="B38" s="13" t="s">
        <v>2</v>
      </c>
      <c r="C38" s="78">
        <v>4.0999999999999996</v>
      </c>
      <c r="D38" s="78">
        <v>4.2</v>
      </c>
      <c r="E38" s="78">
        <v>4.3499999999999996</v>
      </c>
      <c r="F38" s="78">
        <v>4.4000000000000004</v>
      </c>
      <c r="G38" s="78">
        <v>4.45</v>
      </c>
      <c r="H38" s="78">
        <v>4.5999999999999996</v>
      </c>
      <c r="I38" s="78">
        <v>5.5</v>
      </c>
      <c r="J38" s="78">
        <v>6.625</v>
      </c>
      <c r="K38" s="78">
        <v>8.03125</v>
      </c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">
      <c r="A39" s="13" t="s">
        <v>29</v>
      </c>
      <c r="B39" s="13" t="s">
        <v>3</v>
      </c>
      <c r="C39" s="78">
        <v>1.97</v>
      </c>
      <c r="D39" s="78">
        <v>2.0499999999999998</v>
      </c>
      <c r="E39" s="78">
        <v>2.1800000000000002</v>
      </c>
      <c r="F39" s="78">
        <v>2.5</v>
      </c>
      <c r="G39" s="78">
        <v>2.23</v>
      </c>
      <c r="H39" s="78">
        <v>2.2800000000000002</v>
      </c>
      <c r="I39" s="78">
        <v>2.6</v>
      </c>
      <c r="J39" s="78">
        <v>3</v>
      </c>
      <c r="K39" s="78">
        <v>3.5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">
      <c r="A40" s="13" t="s">
        <v>29</v>
      </c>
      <c r="B40" s="13" t="s">
        <v>4</v>
      </c>
      <c r="C40" s="79">
        <v>3.6</v>
      </c>
      <c r="D40" s="79">
        <v>3.4</v>
      </c>
      <c r="E40" s="79">
        <v>3.6</v>
      </c>
      <c r="F40" s="79">
        <v>3.5</v>
      </c>
      <c r="G40" s="79">
        <v>3.5</v>
      </c>
      <c r="H40" s="79">
        <v>3.6</v>
      </c>
      <c r="I40" s="79">
        <v>4.25</v>
      </c>
      <c r="J40" s="79">
        <v>5.0625</v>
      </c>
      <c r="K40" s="79">
        <v>6.078125</v>
      </c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">
      <c r="A41" s="13" t="s">
        <v>29</v>
      </c>
      <c r="B41" s="13" t="s">
        <v>5</v>
      </c>
      <c r="C41" s="79">
        <v>24.4</v>
      </c>
      <c r="D41" s="79">
        <v>23.7</v>
      </c>
      <c r="E41" s="79">
        <v>27.8</v>
      </c>
      <c r="F41" s="79">
        <v>26.7</v>
      </c>
      <c r="G41" s="79">
        <v>28.6</v>
      </c>
      <c r="H41" s="79">
        <v>29.6</v>
      </c>
      <c r="I41" s="79">
        <v>31.75</v>
      </c>
      <c r="J41" s="79">
        <v>26.6875</v>
      </c>
      <c r="K41" s="79">
        <v>23.859375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">
      <c r="A42" s="13" t="s">
        <v>29</v>
      </c>
      <c r="B42" s="13" t="s">
        <v>6</v>
      </c>
      <c r="C42" s="79">
        <v>8.5</v>
      </c>
      <c r="D42" s="79">
        <v>8.8000000000000007</v>
      </c>
      <c r="E42" s="79">
        <v>9.3000000000000007</v>
      </c>
      <c r="F42" s="79">
        <v>9.3000000000000007</v>
      </c>
      <c r="G42" s="79">
        <v>9.4</v>
      </c>
      <c r="H42" s="79">
        <v>9.6999999999999993</v>
      </c>
      <c r="I42" s="79">
        <v>9.875</v>
      </c>
      <c r="J42" s="79">
        <v>10</v>
      </c>
      <c r="K42" s="79">
        <v>9.6999999999999993</v>
      </c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">
      <c r="A43" s="13" t="s">
        <v>29</v>
      </c>
      <c r="B43" s="13" t="s">
        <v>7</v>
      </c>
      <c r="C43" s="78">
        <v>1.8399999999999999</v>
      </c>
      <c r="D43" s="78">
        <v>1.9</v>
      </c>
      <c r="E43" s="78">
        <v>1.85</v>
      </c>
      <c r="F43" s="78">
        <v>1.87</v>
      </c>
      <c r="G43" s="78">
        <v>1.8399999999999999</v>
      </c>
      <c r="H43" s="78">
        <v>1.88</v>
      </c>
      <c r="I43" s="78">
        <v>2.1</v>
      </c>
      <c r="J43" s="78">
        <v>2.375</v>
      </c>
      <c r="K43" s="78">
        <v>2.71875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">
      <c r="A44" s="13" t="s">
        <v>29</v>
      </c>
      <c r="B44" s="13" t="s">
        <v>8</v>
      </c>
      <c r="C44" s="77">
        <v>396000</v>
      </c>
      <c r="D44" s="77">
        <v>418500</v>
      </c>
      <c r="E44" s="77">
        <v>432000</v>
      </c>
      <c r="F44" s="77">
        <v>468000</v>
      </c>
      <c r="G44" s="77">
        <v>495000</v>
      </c>
      <c r="H44" s="77">
        <v>558000</v>
      </c>
      <c r="I44" s="77">
        <v>697500</v>
      </c>
      <c r="J44" s="77">
        <v>871875</v>
      </c>
      <c r="K44" s="77">
        <v>1089843.75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">
      <c r="A45" s="13" t="s">
        <v>29</v>
      </c>
      <c r="B45" s="13" t="s">
        <v>9</v>
      </c>
      <c r="C45" s="77">
        <v>230330.7</v>
      </c>
      <c r="D45" s="77">
        <v>241110</v>
      </c>
      <c r="E45" s="77">
        <v>251010</v>
      </c>
      <c r="F45" s="77">
        <v>251010</v>
      </c>
      <c r="G45" s="77">
        <v>251010</v>
      </c>
      <c r="H45" s="77">
        <v>288885.60000000003</v>
      </c>
      <c r="I45" s="77">
        <v>361107</v>
      </c>
      <c r="J45" s="77">
        <v>451383.75</v>
      </c>
      <c r="K45" s="77">
        <v>564229.6875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">
      <c r="A46" s="13" t="s">
        <v>29</v>
      </c>
      <c r="B46" s="13" t="s">
        <v>10</v>
      </c>
      <c r="C46" s="77">
        <v>228285.9</v>
      </c>
      <c r="D46" s="77">
        <v>236601</v>
      </c>
      <c r="E46" s="77">
        <v>242037.9</v>
      </c>
      <c r="F46" s="77">
        <v>247410</v>
      </c>
      <c r="G46" s="77">
        <v>247410</v>
      </c>
      <c r="H46" s="77">
        <v>247410</v>
      </c>
      <c r="I46" s="77">
        <v>284326.2</v>
      </c>
      <c r="J46" s="77">
        <v>276410.7</v>
      </c>
      <c r="K46" s="77">
        <v>302326.2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">
      <c r="A47" s="13" t="s">
        <v>29</v>
      </c>
      <c r="B47" s="13" t="s">
        <v>11</v>
      </c>
      <c r="C47" s="77">
        <v>25875</v>
      </c>
      <c r="D47" s="77">
        <v>21720</v>
      </c>
      <c r="E47" s="77">
        <v>28386</v>
      </c>
      <c r="F47" s="77">
        <v>29430</v>
      </c>
      <c r="G47" s="77">
        <v>20483</v>
      </c>
      <c r="H47" s="77">
        <v>21410</v>
      </c>
      <c r="I47" s="77">
        <v>32310</v>
      </c>
      <c r="J47" s="77">
        <v>33210</v>
      </c>
      <c r="K47" s="77">
        <v>34110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">
      <c r="A48" s="13" t="s">
        <v>29</v>
      </c>
      <c r="B48" s="13" t="s">
        <v>12</v>
      </c>
      <c r="C48" s="79">
        <v>0.7</v>
      </c>
      <c r="D48" s="80">
        <v>0.5</v>
      </c>
      <c r="E48" s="80">
        <v>0.5</v>
      </c>
      <c r="F48" s="80">
        <v>0.39999999999999991</v>
      </c>
      <c r="G48" s="80">
        <v>0.19999999999999996</v>
      </c>
      <c r="H48" s="80">
        <v>0.30000000000000004</v>
      </c>
      <c r="I48" s="79">
        <v>0.7</v>
      </c>
      <c r="J48" s="80">
        <v>0.5</v>
      </c>
      <c r="K48" s="80">
        <v>0.30000000000000004</v>
      </c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3" t="s">
        <v>29</v>
      </c>
      <c r="B49" s="13" t="s">
        <v>13</v>
      </c>
      <c r="C49" s="80">
        <v>1.9</v>
      </c>
      <c r="D49" s="80">
        <v>1.9</v>
      </c>
      <c r="E49" s="80">
        <v>2.5</v>
      </c>
      <c r="F49" s="80">
        <v>3</v>
      </c>
      <c r="G49" s="80">
        <v>2.1</v>
      </c>
      <c r="H49" s="80">
        <v>2.2000000000000002</v>
      </c>
      <c r="I49" s="80">
        <v>1.9</v>
      </c>
      <c r="J49" s="80">
        <v>1.9</v>
      </c>
      <c r="K49" s="80">
        <v>2</v>
      </c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">
      <c r="A50" s="14" t="s">
        <v>29</v>
      </c>
      <c r="B50" s="14" t="s">
        <v>14</v>
      </c>
      <c r="C50" s="80">
        <v>2.4500000000000002</v>
      </c>
      <c r="D50" s="80">
        <v>2.6</v>
      </c>
      <c r="E50" s="80">
        <v>3</v>
      </c>
      <c r="F50" s="80">
        <v>3</v>
      </c>
      <c r="G50" s="80">
        <v>3</v>
      </c>
      <c r="H50" s="80">
        <v>2.9</v>
      </c>
      <c r="I50" s="80">
        <v>2.9</v>
      </c>
      <c r="J50" s="80">
        <v>2.6</v>
      </c>
      <c r="K50" s="80">
        <v>2.9</v>
      </c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">
      <c r="A51" s="14" t="s">
        <v>29</v>
      </c>
      <c r="B51" s="14" t="s">
        <v>15</v>
      </c>
      <c r="C51" s="80">
        <v>0.7</v>
      </c>
      <c r="D51" s="80">
        <v>0.39999999999999991</v>
      </c>
      <c r="E51" s="80">
        <v>1</v>
      </c>
      <c r="F51" s="80">
        <v>1.1000000000000001</v>
      </c>
      <c r="G51" s="80">
        <v>2</v>
      </c>
      <c r="H51" s="80">
        <v>0.39999999999999991</v>
      </c>
      <c r="I51" s="80">
        <v>0.30000000000000004</v>
      </c>
      <c r="J51" s="80">
        <v>0.60000000000000009</v>
      </c>
      <c r="K51" s="80">
        <v>0.5</v>
      </c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">
      <c r="C52" s="83"/>
      <c r="D52" s="83"/>
      <c r="E52" s="83"/>
      <c r="F52" s="83"/>
      <c r="G52" s="83"/>
      <c r="H52" s="83"/>
      <c r="I52" s="83"/>
      <c r="J52" s="83"/>
      <c r="K52" s="83"/>
    </row>
    <row r="53" spans="1:20" x14ac:dyDescent="0.2">
      <c r="A53" s="13" t="s">
        <v>30</v>
      </c>
      <c r="B53" s="13" t="s">
        <v>0</v>
      </c>
      <c r="C53" s="77">
        <v>7400</v>
      </c>
      <c r="D53" s="77">
        <v>8100</v>
      </c>
      <c r="E53" s="77">
        <v>8300</v>
      </c>
      <c r="F53" s="77">
        <v>9600</v>
      </c>
      <c r="G53" s="77">
        <v>10200</v>
      </c>
      <c r="H53" s="77">
        <v>11000</v>
      </c>
      <c r="I53" s="77">
        <v>11200</v>
      </c>
      <c r="J53" s="77">
        <v>11600</v>
      </c>
      <c r="K53" s="77">
        <v>12300</v>
      </c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">
      <c r="A54" s="13" t="s">
        <v>30</v>
      </c>
      <c r="B54" s="13" t="s">
        <v>1</v>
      </c>
      <c r="C54" s="77">
        <v>28900</v>
      </c>
      <c r="D54" s="77">
        <v>33569</v>
      </c>
      <c r="E54" s="77">
        <v>34511</v>
      </c>
      <c r="F54" s="77">
        <v>35678</v>
      </c>
      <c r="G54" s="77">
        <v>38976</v>
      </c>
      <c r="H54" s="77">
        <v>40014</v>
      </c>
      <c r="I54" s="77">
        <v>50017.5</v>
      </c>
      <c r="J54" s="77">
        <v>62521.875</v>
      </c>
      <c r="K54" s="77">
        <v>78152.34375</v>
      </c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">
      <c r="A55" s="13" t="s">
        <v>30</v>
      </c>
      <c r="B55" s="13" t="s">
        <v>2</v>
      </c>
      <c r="C55" s="78">
        <v>2.1</v>
      </c>
      <c r="D55" s="78">
        <v>2.2000000000000002</v>
      </c>
      <c r="E55" s="78">
        <v>2.35</v>
      </c>
      <c r="F55" s="78">
        <v>2.4</v>
      </c>
      <c r="G55" s="78">
        <v>2.4500000000000002</v>
      </c>
      <c r="H55" s="78">
        <v>2.6</v>
      </c>
      <c r="I55" s="78">
        <v>3.5</v>
      </c>
      <c r="J55" s="78">
        <v>4.625</v>
      </c>
      <c r="K55" s="78">
        <v>6.03125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13" t="s">
        <v>30</v>
      </c>
      <c r="B56" s="13" t="s">
        <v>3</v>
      </c>
      <c r="C56" s="78">
        <v>1</v>
      </c>
      <c r="D56" s="78">
        <v>0.5</v>
      </c>
      <c r="E56" s="78">
        <v>0.5</v>
      </c>
      <c r="F56" s="78">
        <v>0.5</v>
      </c>
      <c r="G56" s="78">
        <v>0.5</v>
      </c>
      <c r="H56" s="78">
        <v>0.28000000000000003</v>
      </c>
      <c r="I56" s="78">
        <v>0.60000000000000009</v>
      </c>
      <c r="J56" s="78">
        <v>1</v>
      </c>
      <c r="K56" s="78">
        <v>1.5</v>
      </c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13" t="s">
        <v>30</v>
      </c>
      <c r="B57" s="13" t="s">
        <v>4</v>
      </c>
      <c r="C57" s="79">
        <v>1.6</v>
      </c>
      <c r="D57" s="79">
        <v>1.4</v>
      </c>
      <c r="E57" s="79">
        <v>1.6</v>
      </c>
      <c r="F57" s="79">
        <v>1.5</v>
      </c>
      <c r="G57" s="79">
        <v>1.5</v>
      </c>
      <c r="H57" s="79">
        <v>1.6</v>
      </c>
      <c r="I57" s="79">
        <v>2.25</v>
      </c>
      <c r="J57" s="79">
        <v>3.0625</v>
      </c>
      <c r="K57" s="79">
        <v>4.078125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13" t="s">
        <v>30</v>
      </c>
      <c r="B58" s="13" t="s">
        <v>5</v>
      </c>
      <c r="C58" s="79">
        <v>22.4</v>
      </c>
      <c r="D58" s="79">
        <v>21.7</v>
      </c>
      <c r="E58" s="79">
        <v>25.8</v>
      </c>
      <c r="F58" s="79">
        <v>29.7</v>
      </c>
      <c r="G58" s="79">
        <v>29.7</v>
      </c>
      <c r="H58" s="79">
        <v>29.7</v>
      </c>
      <c r="I58" s="79">
        <v>29.75</v>
      </c>
      <c r="J58" s="79">
        <v>24.6875</v>
      </c>
      <c r="K58" s="79">
        <v>21.859375</v>
      </c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13" t="s">
        <v>30</v>
      </c>
      <c r="B59" s="13" t="s">
        <v>6</v>
      </c>
      <c r="C59" s="79">
        <v>6.5</v>
      </c>
      <c r="D59" s="79">
        <v>6.8</v>
      </c>
      <c r="E59" s="79">
        <v>7.3000000000000007</v>
      </c>
      <c r="F59" s="79">
        <v>7.3000000000000007</v>
      </c>
      <c r="G59" s="79">
        <v>7.4</v>
      </c>
      <c r="H59" s="79">
        <v>7.6999999999999993</v>
      </c>
      <c r="I59" s="79">
        <v>7.875</v>
      </c>
      <c r="J59" s="79">
        <v>8</v>
      </c>
      <c r="K59" s="79">
        <v>7.6999999999999993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13" t="s">
        <v>30</v>
      </c>
      <c r="B60" s="13" t="s">
        <v>7</v>
      </c>
      <c r="C60" s="78">
        <v>0.84</v>
      </c>
      <c r="D60" s="78">
        <v>0.9</v>
      </c>
      <c r="E60" s="78">
        <v>0.85</v>
      </c>
      <c r="F60" s="78">
        <v>0.87</v>
      </c>
      <c r="G60" s="78">
        <v>0.84</v>
      </c>
      <c r="H60" s="78">
        <v>0.88</v>
      </c>
      <c r="I60" s="78">
        <v>1.1000000000000001</v>
      </c>
      <c r="J60" s="78">
        <v>1.375</v>
      </c>
      <c r="K60" s="78">
        <v>1.71875</v>
      </c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13" t="s">
        <v>30</v>
      </c>
      <c r="B61" s="13" t="s">
        <v>8</v>
      </c>
      <c r="C61" s="77">
        <v>118800</v>
      </c>
      <c r="D61" s="77">
        <v>126945</v>
      </c>
      <c r="E61" s="77">
        <v>132480</v>
      </c>
      <c r="F61" s="77">
        <v>238079.99999999997</v>
      </c>
      <c r="G61" s="77">
        <v>155100</v>
      </c>
      <c r="H61" s="77">
        <v>176700</v>
      </c>
      <c r="I61" s="77">
        <v>223200.00000000003</v>
      </c>
      <c r="J61" s="77">
        <v>281906.25</v>
      </c>
      <c r="K61" s="77">
        <v>356015.62500000006</v>
      </c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">
      <c r="A62" s="13" t="s">
        <v>30</v>
      </c>
      <c r="B62" s="13" t="s">
        <v>9</v>
      </c>
      <c r="C62" s="77">
        <v>76776.899999999994</v>
      </c>
      <c r="D62" s="77">
        <v>80370</v>
      </c>
      <c r="E62" s="77">
        <v>83670</v>
      </c>
      <c r="F62" s="77">
        <v>80629.5</v>
      </c>
      <c r="G62" s="77">
        <v>93870</v>
      </c>
      <c r="H62" s="77">
        <v>96295.2</v>
      </c>
      <c r="I62" s="77">
        <v>120369</v>
      </c>
      <c r="J62" s="77">
        <v>150461.25</v>
      </c>
      <c r="K62" s="77">
        <v>188076.5625</v>
      </c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">
      <c r="A63" s="13" t="s">
        <v>30</v>
      </c>
      <c r="B63" s="13" t="s">
        <v>10</v>
      </c>
      <c r="C63" s="77">
        <v>228285.9</v>
      </c>
      <c r="D63" s="77">
        <v>236601</v>
      </c>
      <c r="E63" s="77">
        <v>242037.9</v>
      </c>
      <c r="F63" s="77">
        <v>247410</v>
      </c>
      <c r="G63" s="77">
        <v>247410</v>
      </c>
      <c r="H63" s="77">
        <v>247410</v>
      </c>
      <c r="I63" s="77">
        <v>284326.2</v>
      </c>
      <c r="J63" s="77">
        <v>276410.7</v>
      </c>
      <c r="K63" s="77">
        <v>302326.2</v>
      </c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">
      <c r="A64" s="13" t="s">
        <v>30</v>
      </c>
      <c r="B64" s="13" t="s">
        <v>11</v>
      </c>
      <c r="C64" s="77">
        <v>8625</v>
      </c>
      <c r="D64" s="77">
        <v>9240</v>
      </c>
      <c r="E64" s="77">
        <v>9462</v>
      </c>
      <c r="F64" s="77">
        <v>9810</v>
      </c>
      <c r="G64" s="77">
        <v>10161</v>
      </c>
      <c r="H64" s="77">
        <v>10470</v>
      </c>
      <c r="I64" s="77">
        <v>10770</v>
      </c>
      <c r="J64" s="77">
        <v>11070</v>
      </c>
      <c r="K64" s="77">
        <v>11370</v>
      </c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">
      <c r="A65" s="13" t="s">
        <v>30</v>
      </c>
      <c r="B65" s="13" t="s">
        <v>12</v>
      </c>
      <c r="C65" s="79">
        <v>0.7</v>
      </c>
      <c r="D65" s="80">
        <v>0.5</v>
      </c>
      <c r="E65" s="80">
        <v>0.5</v>
      </c>
      <c r="F65" s="80">
        <v>0.39999999999999991</v>
      </c>
      <c r="G65" s="80">
        <v>0.19999999999999996</v>
      </c>
      <c r="H65" s="80">
        <v>0.30000000000000004</v>
      </c>
      <c r="I65" s="79">
        <v>0.7</v>
      </c>
      <c r="J65" s="80">
        <v>0.5</v>
      </c>
      <c r="K65" s="80">
        <v>0.30000000000000004</v>
      </c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">
      <c r="A66" s="13" t="s">
        <v>30</v>
      </c>
      <c r="B66" s="13" t="s">
        <v>13</v>
      </c>
      <c r="C66" s="80">
        <v>1.9</v>
      </c>
      <c r="D66" s="80">
        <v>1.9</v>
      </c>
      <c r="E66" s="80">
        <v>2</v>
      </c>
      <c r="F66" s="80">
        <v>2</v>
      </c>
      <c r="G66" s="80">
        <v>2.1</v>
      </c>
      <c r="H66" s="80">
        <v>2.2000000000000002</v>
      </c>
      <c r="I66" s="80">
        <v>1.9</v>
      </c>
      <c r="J66" s="80">
        <v>1.9</v>
      </c>
      <c r="K66" s="80">
        <v>2</v>
      </c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">
      <c r="A67" s="14" t="s">
        <v>30</v>
      </c>
      <c r="B67" s="14" t="s">
        <v>14</v>
      </c>
      <c r="C67" s="80">
        <v>2.4500000000000002</v>
      </c>
      <c r="D67" s="80">
        <v>2.6</v>
      </c>
      <c r="E67" s="80">
        <v>2.5499999999999998</v>
      </c>
      <c r="F67" s="80">
        <v>2.65</v>
      </c>
      <c r="G67" s="80">
        <v>2.7</v>
      </c>
      <c r="H67" s="80">
        <v>2.9</v>
      </c>
      <c r="I67" s="80">
        <v>2.9</v>
      </c>
      <c r="J67" s="80">
        <v>2.6</v>
      </c>
      <c r="K67" s="80">
        <v>2.9</v>
      </c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">
      <c r="A68" s="14" t="s">
        <v>30</v>
      </c>
      <c r="B68" s="14" t="s">
        <v>15</v>
      </c>
      <c r="C68" s="80">
        <v>2</v>
      </c>
      <c r="D68" s="80">
        <v>1.4</v>
      </c>
      <c r="E68" s="80">
        <v>3</v>
      </c>
      <c r="F68" s="80">
        <v>2</v>
      </c>
      <c r="G68" s="80">
        <v>3</v>
      </c>
      <c r="H68" s="80">
        <v>2</v>
      </c>
      <c r="I68" s="80">
        <v>2.5</v>
      </c>
      <c r="J68" s="80">
        <v>1.6</v>
      </c>
      <c r="K68" s="80">
        <v>1.5</v>
      </c>
    </row>
    <row r="69" spans="1:20" x14ac:dyDescent="0.2">
      <c r="C69" s="50"/>
      <c r="D69" s="50"/>
      <c r="E69" s="50"/>
      <c r="F69" s="50"/>
      <c r="G69" s="50"/>
      <c r="H69" s="50"/>
      <c r="I69" s="50"/>
      <c r="J69" s="50"/>
      <c r="K69" s="50"/>
    </row>
    <row r="70" spans="1:20" x14ac:dyDescent="0.2">
      <c r="G70" s="51"/>
      <c r="H70" s="51"/>
      <c r="I70" s="51"/>
      <c r="J70" s="51"/>
      <c r="K70" s="51"/>
    </row>
    <row r="71" spans="1:20" x14ac:dyDescent="0.2">
      <c r="G71" s="50"/>
      <c r="H71" s="50"/>
      <c r="I71" s="50"/>
      <c r="J71" s="50"/>
      <c r="K71" s="50"/>
    </row>
    <row r="72" spans="1:20" x14ac:dyDescent="0.2">
      <c r="G72" s="50"/>
      <c r="H72" s="50"/>
      <c r="I72" s="50"/>
      <c r="J72" s="50"/>
      <c r="K72" s="50"/>
    </row>
    <row r="73" spans="1:20" x14ac:dyDescent="0.2">
      <c r="G73" s="50"/>
      <c r="H73" s="50"/>
      <c r="I73" s="50"/>
      <c r="J73" s="50"/>
      <c r="K73" s="50"/>
    </row>
    <row r="74" spans="1:20" x14ac:dyDescent="0.2">
      <c r="G74" s="50"/>
      <c r="H74" s="50"/>
      <c r="I74" s="50"/>
      <c r="J74" s="50"/>
      <c r="K74" s="50"/>
    </row>
    <row r="75" spans="1:20" x14ac:dyDescent="0.2">
      <c r="G75" s="50"/>
      <c r="H75" s="50"/>
      <c r="I75" s="50"/>
      <c r="J75" s="50"/>
      <c r="K75" s="50"/>
    </row>
    <row r="76" spans="1:20" x14ac:dyDescent="0.2">
      <c r="G76" s="50"/>
      <c r="H76" s="50"/>
      <c r="I76" s="50"/>
      <c r="J76" s="50"/>
      <c r="K76" s="50"/>
    </row>
    <row r="77" spans="1:20" x14ac:dyDescent="0.2">
      <c r="G77" s="50"/>
      <c r="H77" s="50"/>
      <c r="I77" s="50"/>
      <c r="J77" s="50"/>
      <c r="K77" s="50"/>
    </row>
    <row r="78" spans="1:20" x14ac:dyDescent="0.2">
      <c r="G78" s="50"/>
      <c r="H78" s="50"/>
      <c r="I78" s="50"/>
      <c r="J78" s="50"/>
      <c r="K78" s="50"/>
    </row>
    <row r="79" spans="1:20" x14ac:dyDescent="0.2">
      <c r="G79" s="50"/>
      <c r="H79" s="50"/>
      <c r="I79" s="50"/>
      <c r="J79" s="50"/>
      <c r="K79" s="50"/>
    </row>
    <row r="80" spans="1:20" x14ac:dyDescent="0.2">
      <c r="G80" s="50"/>
      <c r="H80" s="50"/>
      <c r="I80" s="50"/>
      <c r="J80" s="50"/>
      <c r="K80" s="50"/>
    </row>
    <row r="81" spans="7:11" x14ac:dyDescent="0.2">
      <c r="G81" s="50"/>
      <c r="H81" s="50"/>
      <c r="I81" s="50"/>
      <c r="J81" s="50"/>
      <c r="K81" s="50"/>
    </row>
    <row r="82" spans="7:11" x14ac:dyDescent="0.2">
      <c r="G82" s="50"/>
      <c r="H82" s="50"/>
      <c r="I82" s="50"/>
      <c r="J82" s="50"/>
      <c r="K82" s="50"/>
    </row>
    <row r="83" spans="7:11" x14ac:dyDescent="0.2">
      <c r="G83" s="50"/>
      <c r="H83" s="50"/>
      <c r="I83" s="50"/>
      <c r="J83" s="50"/>
      <c r="K83" s="50"/>
    </row>
    <row r="84" spans="7:11" x14ac:dyDescent="0.2">
      <c r="G84" s="50"/>
      <c r="H84" s="50"/>
      <c r="I84" s="50"/>
      <c r="J84" s="50"/>
      <c r="K84" s="50"/>
    </row>
    <row r="85" spans="7:11" x14ac:dyDescent="0.2">
      <c r="G85" s="50"/>
      <c r="H85" s="50"/>
      <c r="I85" s="50"/>
      <c r="J85" s="50"/>
      <c r="K85" s="50"/>
    </row>
    <row r="86" spans="7:11" x14ac:dyDescent="0.2">
      <c r="G86" s="50"/>
      <c r="H86" s="50"/>
      <c r="I86" s="50"/>
      <c r="J86" s="50"/>
      <c r="K86" s="50"/>
    </row>
    <row r="87" spans="7:11" x14ac:dyDescent="0.2">
      <c r="G87" s="50"/>
      <c r="H87" s="50"/>
      <c r="I87" s="50"/>
      <c r="J87" s="50"/>
      <c r="K87" s="50"/>
    </row>
    <row r="88" spans="7:11" x14ac:dyDescent="0.2">
      <c r="G88" s="50"/>
      <c r="H88" s="50"/>
      <c r="I88" s="50"/>
      <c r="J88" s="50"/>
      <c r="K88" s="50"/>
    </row>
    <row r="89" spans="7:11" x14ac:dyDescent="0.2">
      <c r="G89" s="50"/>
      <c r="H89" s="50"/>
      <c r="I89" s="50"/>
      <c r="J89" s="50"/>
      <c r="K89" s="50"/>
    </row>
    <row r="90" spans="7:11" x14ac:dyDescent="0.2">
      <c r="G90" s="50"/>
      <c r="H90" s="50"/>
      <c r="I90" s="50"/>
      <c r="J90" s="50"/>
      <c r="K90" s="50"/>
    </row>
    <row r="91" spans="7:11" x14ac:dyDescent="0.2">
      <c r="G91" s="50"/>
      <c r="H91" s="50"/>
      <c r="I91" s="50"/>
      <c r="J91" s="50"/>
      <c r="K91" s="50"/>
    </row>
    <row r="92" spans="7:11" x14ac:dyDescent="0.2">
      <c r="G92" s="50"/>
      <c r="H92" s="50"/>
      <c r="I92" s="50"/>
      <c r="J92" s="50"/>
      <c r="K92" s="50"/>
    </row>
    <row r="93" spans="7:11" x14ac:dyDescent="0.2">
      <c r="G93" s="50"/>
      <c r="H93" s="50"/>
      <c r="I93" s="50"/>
      <c r="J93" s="50"/>
      <c r="K93" s="50"/>
    </row>
    <row r="94" spans="7:11" x14ac:dyDescent="0.2">
      <c r="G94" s="50"/>
      <c r="H94" s="50"/>
      <c r="I94" s="50"/>
      <c r="J94" s="50"/>
      <c r="K94" s="50"/>
    </row>
    <row r="95" spans="7:11" x14ac:dyDescent="0.2">
      <c r="G95" s="50"/>
      <c r="H95" s="50"/>
      <c r="I95" s="50"/>
      <c r="J95" s="50"/>
      <c r="K95" s="50"/>
    </row>
    <row r="96" spans="7:11" x14ac:dyDescent="0.2">
      <c r="G96" s="50"/>
      <c r="H96" s="50"/>
      <c r="I96" s="50"/>
      <c r="J96" s="50"/>
      <c r="K96" s="50"/>
    </row>
    <row r="97" spans="7:11" x14ac:dyDescent="0.2">
      <c r="G97" s="50"/>
      <c r="H97" s="50"/>
      <c r="I97" s="50"/>
      <c r="J97" s="50"/>
      <c r="K97" s="50"/>
    </row>
    <row r="98" spans="7:11" x14ac:dyDescent="0.2">
      <c r="G98" s="50"/>
      <c r="H98" s="50"/>
      <c r="I98" s="50"/>
      <c r="J98" s="50"/>
      <c r="K98" s="50"/>
    </row>
    <row r="99" spans="7:11" x14ac:dyDescent="0.2">
      <c r="G99" s="50"/>
      <c r="H99" s="50"/>
      <c r="I99" s="50"/>
      <c r="J99" s="50"/>
      <c r="K99" s="50"/>
    </row>
    <row r="100" spans="7:11" x14ac:dyDescent="0.2">
      <c r="G100" s="50"/>
      <c r="H100" s="50"/>
      <c r="I100" s="50"/>
      <c r="J100" s="50"/>
      <c r="K100" s="50"/>
    </row>
    <row r="101" spans="7:11" x14ac:dyDescent="0.2">
      <c r="G101" s="50"/>
      <c r="H101" s="50"/>
      <c r="I101" s="50"/>
      <c r="J101" s="50"/>
      <c r="K101" s="50"/>
    </row>
    <row r="102" spans="7:11" x14ac:dyDescent="0.2">
      <c r="G102" s="50"/>
      <c r="H102" s="50"/>
      <c r="I102" s="50"/>
      <c r="J102" s="50"/>
      <c r="K102" s="50"/>
    </row>
    <row r="103" spans="7:11" x14ac:dyDescent="0.2">
      <c r="G103" s="50"/>
      <c r="H103" s="50"/>
      <c r="I103" s="50"/>
      <c r="J103" s="50"/>
      <c r="K103" s="50"/>
    </row>
    <row r="104" spans="7:11" x14ac:dyDescent="0.2">
      <c r="G104" s="50"/>
      <c r="H104" s="50"/>
      <c r="I104" s="50"/>
      <c r="J104" s="50"/>
      <c r="K104" s="50"/>
    </row>
    <row r="105" spans="7:11" x14ac:dyDescent="0.2">
      <c r="G105" s="50"/>
      <c r="H105" s="50"/>
      <c r="I105" s="50"/>
      <c r="J105" s="50"/>
      <c r="K105" s="50"/>
    </row>
    <row r="106" spans="7:11" x14ac:dyDescent="0.2">
      <c r="G106" s="50"/>
      <c r="H106" s="50"/>
      <c r="I106" s="50"/>
      <c r="J106" s="50"/>
      <c r="K106" s="50"/>
    </row>
    <row r="107" spans="7:11" x14ac:dyDescent="0.2">
      <c r="G107" s="50"/>
      <c r="H107" s="50"/>
      <c r="I107" s="50"/>
      <c r="J107" s="50"/>
      <c r="K107" s="50"/>
    </row>
    <row r="108" spans="7:11" x14ac:dyDescent="0.2">
      <c r="G108" s="50"/>
      <c r="H108" s="50"/>
      <c r="I108" s="50"/>
      <c r="J108" s="50"/>
      <c r="K108" s="50"/>
    </row>
    <row r="109" spans="7:11" x14ac:dyDescent="0.2">
      <c r="G109" s="50"/>
      <c r="H109" s="50"/>
      <c r="I109" s="50"/>
      <c r="J109" s="50"/>
      <c r="K109" s="50"/>
    </row>
    <row r="119" spans="7:7" x14ac:dyDescent="0.2">
      <c r="G119" s="9"/>
    </row>
    <row r="120" spans="7:7" x14ac:dyDescent="0.2">
      <c r="G120" s="9"/>
    </row>
    <row r="121" spans="7:7" x14ac:dyDescent="0.2">
      <c r="G121" s="9"/>
    </row>
    <row r="122" spans="7:7" x14ac:dyDescent="0.2">
      <c r="G122" s="9"/>
    </row>
    <row r="123" spans="7:7" x14ac:dyDescent="0.2">
      <c r="G123" s="9"/>
    </row>
    <row r="125" spans="7:7" x14ac:dyDescent="0.2">
      <c r="G125" s="9"/>
    </row>
    <row r="126" spans="7:7" x14ac:dyDescent="0.2">
      <c r="G126" s="9"/>
    </row>
    <row r="127" spans="7:7" x14ac:dyDescent="0.2">
      <c r="G127" s="9"/>
    </row>
    <row r="128" spans="7:7" x14ac:dyDescent="0.2">
      <c r="G128" s="9"/>
    </row>
    <row r="129" spans="7:7" x14ac:dyDescent="0.2">
      <c r="G129" s="9"/>
    </row>
    <row r="131" spans="7:7" x14ac:dyDescent="0.2">
      <c r="G131" s="8"/>
    </row>
    <row r="132" spans="7:7" x14ac:dyDescent="0.2">
      <c r="G132" s="8"/>
    </row>
    <row r="133" spans="7:7" x14ac:dyDescent="0.2">
      <c r="G133" s="8"/>
    </row>
    <row r="134" spans="7:7" x14ac:dyDescent="0.2">
      <c r="G134" s="8"/>
    </row>
    <row r="135" spans="7:7" x14ac:dyDescent="0.2">
      <c r="G135" s="8"/>
    </row>
    <row r="179" spans="3:3" x14ac:dyDescent="0.2">
      <c r="C179" s="76"/>
    </row>
    <row r="180" spans="3:3" x14ac:dyDescent="0.2">
      <c r="C180" s="76"/>
    </row>
    <row r="181" spans="3:3" x14ac:dyDescent="0.2">
      <c r="C181" s="76"/>
    </row>
    <row r="182" spans="3:3" x14ac:dyDescent="0.2">
      <c r="C182" s="76"/>
    </row>
    <row r="183" spans="3:3" x14ac:dyDescent="0.2">
      <c r="C183" s="76"/>
    </row>
    <row r="184" spans="3:3" x14ac:dyDescent="0.2">
      <c r="C184" s="76"/>
    </row>
    <row r="185" spans="3:3" x14ac:dyDescent="0.2">
      <c r="C185" s="76"/>
    </row>
    <row r="186" spans="3:3" x14ac:dyDescent="0.2">
      <c r="C186" s="76"/>
    </row>
    <row r="187" spans="3:3" x14ac:dyDescent="0.2">
      <c r="C187" s="76"/>
    </row>
  </sheetData>
  <conditionalFormatting sqref="C2:H17 I3:K17">
    <cfRule type="expression" dxfId="20" priority="9" stopIfTrue="1">
      <formula>IF(#REF!=#REF!,1,0)</formula>
    </cfRule>
  </conditionalFormatting>
  <conditionalFormatting sqref="I2:K2">
    <cfRule type="expression" dxfId="19" priority="7" stopIfTrue="1">
      <formula>IF(#REF!=#REF!,1,0)</formula>
    </cfRule>
  </conditionalFormatting>
  <conditionalFormatting sqref="C19:K34">
    <cfRule type="expression" dxfId="18" priority="6" stopIfTrue="1">
      <formula>IF(#REF!=#REF!,1,0)</formula>
    </cfRule>
  </conditionalFormatting>
  <conditionalFormatting sqref="I37:K51 C36:H51">
    <cfRule type="expression" dxfId="17" priority="4" stopIfTrue="1">
      <formula>IF(#REF!=#REF!,1,0)</formula>
    </cfRule>
  </conditionalFormatting>
  <conditionalFormatting sqref="I36:K36">
    <cfRule type="expression" dxfId="16" priority="3" stopIfTrue="1">
      <formula>IF(#REF!=#REF!,1,0)</formula>
    </cfRule>
  </conditionalFormatting>
  <conditionalFormatting sqref="I54:K68 C53:H68">
    <cfRule type="expression" dxfId="15" priority="2" stopIfTrue="1">
      <formula>IF(#REF!=#REF!,1,0)</formula>
    </cfRule>
  </conditionalFormatting>
  <conditionalFormatting sqref="I53:K53">
    <cfRule type="expression" dxfId="14" priority="1" stopIfTrue="1">
      <formula>IF(#REF!=#REF!,1,0)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-0.249977111117893"/>
  </sheetPr>
  <dimension ref="A1:AI187"/>
  <sheetViews>
    <sheetView zoomScaleNormal="100" workbookViewId="0">
      <pane ySplit="1" topLeftCell="A5" activePane="bottomLeft" state="frozen"/>
      <selection activeCell="B52" sqref="B52"/>
      <selection pane="bottomLeft" activeCell="L1" sqref="A1:L1"/>
    </sheetView>
  </sheetViews>
  <sheetFormatPr defaultRowHeight="12.75" x14ac:dyDescent="0.2"/>
  <cols>
    <col min="1" max="1" width="15.28515625" style="1" customWidth="1"/>
    <col min="2" max="2" width="33.28515625" style="1" bestFit="1" customWidth="1"/>
    <col min="3" max="3" width="10.85546875" bestFit="1" customWidth="1"/>
    <col min="4" max="4" width="10.28515625" bestFit="1" customWidth="1"/>
    <col min="5" max="6" width="9.7109375" bestFit="1" customWidth="1"/>
    <col min="7" max="7" width="10.42578125" bestFit="1" customWidth="1"/>
    <col min="8" max="8" width="9.7109375" bestFit="1" customWidth="1"/>
    <col min="9" max="9" width="11.42578125" bestFit="1" customWidth="1"/>
    <col min="10" max="10" width="9.7109375" bestFit="1" customWidth="1"/>
    <col min="11" max="11" width="12.28515625" customWidth="1"/>
    <col min="12" max="12" width="12.28515625" bestFit="1" customWidth="1"/>
    <col min="20" max="20" width="10.28515625" bestFit="1" customWidth="1"/>
    <col min="24" max="24" width="12.5703125" bestFit="1" customWidth="1"/>
  </cols>
  <sheetData>
    <row r="1" spans="1:35" x14ac:dyDescent="0.2">
      <c r="A1" s="73" t="s">
        <v>35</v>
      </c>
      <c r="B1" s="73" t="s">
        <v>61</v>
      </c>
      <c r="C1" s="75" t="str">
        <f ca="1">OFFSET(Lists!$E$1,COLUMN()-2,0,1,1)</f>
        <v>FY 12</v>
      </c>
      <c r="D1" s="75" t="str">
        <f ca="1">OFFSET(Lists!$E$1,COLUMN()-2,0,1,1)</f>
        <v>FY 13</v>
      </c>
      <c r="E1" s="75" t="str">
        <f ca="1">OFFSET(Lists!$E$1,COLUMN()-2,0,1,1)</f>
        <v>FY 14</v>
      </c>
      <c r="F1" s="75" t="str">
        <f ca="1">OFFSET(Lists!$E$1,COLUMN()-2,0,1,1)</f>
        <v>FY 15</v>
      </c>
      <c r="G1" s="75" t="str">
        <f ca="1">OFFSET(Lists!$E$1,COLUMN()-2,0,1,1)</f>
        <v>FY 16</v>
      </c>
      <c r="H1" s="75" t="str">
        <f ca="1">OFFSET(Lists!$E$1,COLUMN()-2,0,1,1)</f>
        <v>FY 17</v>
      </c>
      <c r="I1" s="75" t="str">
        <f ca="1">OFFSET(Lists!$E$1,COLUMN()-2,0,1,1)</f>
        <v>FY 18</v>
      </c>
      <c r="J1" s="75" t="str">
        <f ca="1">OFFSET(Lists!$E$1,COLUMN()-2,0,1,1)</f>
        <v>FY 19</v>
      </c>
      <c r="K1" s="75" t="str">
        <f ca="1">OFFSET(Lists!$E$1,COLUMN()-2,0,1,1)</f>
        <v>FY 20</v>
      </c>
    </row>
    <row r="2" spans="1:35" x14ac:dyDescent="0.2">
      <c r="A2" s="13" t="s">
        <v>17</v>
      </c>
      <c r="B2" s="13" t="s">
        <v>0</v>
      </c>
      <c r="C2" s="77">
        <v>7759.64</v>
      </c>
      <c r="D2" s="77">
        <v>8164.8</v>
      </c>
      <c r="E2" s="77">
        <v>8784.7200000000012</v>
      </c>
      <c r="F2" s="77">
        <v>9940.8000000000011</v>
      </c>
      <c r="G2" s="77">
        <v>10395.84</v>
      </c>
      <c r="H2" s="77">
        <v>9595</v>
      </c>
      <c r="I2" s="77">
        <v>10659</v>
      </c>
      <c r="J2" s="77">
        <v>10674.2</v>
      </c>
      <c r="K2" s="77">
        <v>10090.91</v>
      </c>
      <c r="X2" s="4"/>
    </row>
    <row r="3" spans="1:35" x14ac:dyDescent="0.2">
      <c r="A3" s="13" t="s">
        <v>17</v>
      </c>
      <c r="B3" s="13" t="s">
        <v>1</v>
      </c>
      <c r="C3" s="77">
        <v>28322</v>
      </c>
      <c r="D3" s="77">
        <v>32561.93</v>
      </c>
      <c r="E3" s="77">
        <v>32785.449999999997</v>
      </c>
      <c r="F3" s="77">
        <v>34607.660000000003</v>
      </c>
      <c r="G3" s="77">
        <v>37806.720000000001</v>
      </c>
      <c r="H3" s="77">
        <v>39213.72</v>
      </c>
      <c r="I3" s="77">
        <v>40197.15</v>
      </c>
      <c r="J3" s="77">
        <v>41671.4375</v>
      </c>
      <c r="K3" s="77">
        <v>46707.7734375</v>
      </c>
      <c r="L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13" t="s">
        <v>17</v>
      </c>
      <c r="B4" s="13" t="s">
        <v>2</v>
      </c>
      <c r="C4" s="78">
        <v>2.9449999999999998</v>
      </c>
      <c r="D4" s="78">
        <v>3.0720000000000005</v>
      </c>
      <c r="E4" s="78">
        <v>3.1825000000000001</v>
      </c>
      <c r="F4" s="78">
        <v>3.2639999999999998</v>
      </c>
      <c r="G4" s="78">
        <v>3.3120000000000003</v>
      </c>
      <c r="H4" s="78">
        <v>3.528</v>
      </c>
      <c r="I4" s="78">
        <v>4.32</v>
      </c>
      <c r="J4" s="78">
        <v>5.5125000000000002</v>
      </c>
      <c r="K4" s="78">
        <v>6.6796875</v>
      </c>
      <c r="L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">
      <c r="A5" s="13" t="s">
        <v>17</v>
      </c>
      <c r="B5" s="13" t="s">
        <v>3</v>
      </c>
      <c r="C5" s="78">
        <v>0.96030000000000004</v>
      </c>
      <c r="D5" s="78">
        <v>0.99750000000000005</v>
      </c>
      <c r="E5" s="78">
        <v>1.0656000000000001</v>
      </c>
      <c r="F5" s="78">
        <v>1.1759999999999999</v>
      </c>
      <c r="G5" s="78">
        <v>1.2054</v>
      </c>
      <c r="H5" s="78">
        <v>1.2416</v>
      </c>
      <c r="I5" s="78">
        <v>1.5680000000000001</v>
      </c>
      <c r="J5" s="78">
        <v>1.98</v>
      </c>
      <c r="K5" s="78">
        <v>2.4</v>
      </c>
      <c r="L5" s="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">
      <c r="A6" s="13" t="s">
        <v>17</v>
      </c>
      <c r="B6" s="13" t="s">
        <v>4</v>
      </c>
      <c r="C6" s="79">
        <v>2.8028000000000004</v>
      </c>
      <c r="D6" s="79">
        <v>2.5113599999999998</v>
      </c>
      <c r="E6" s="79">
        <v>2.5441000000000003</v>
      </c>
      <c r="F6" s="79">
        <v>2.5887500000000001</v>
      </c>
      <c r="G6" s="79">
        <v>2.5725000000000002</v>
      </c>
      <c r="H6" s="79">
        <v>2.7541800000000003</v>
      </c>
      <c r="I6" s="79">
        <v>3.3345000000000002</v>
      </c>
      <c r="J6" s="79">
        <v>4.0210625000000002</v>
      </c>
      <c r="K6" s="79">
        <v>5.4244531250000003</v>
      </c>
      <c r="L6" s="4"/>
    </row>
    <row r="7" spans="1:35" x14ac:dyDescent="0.2">
      <c r="A7" s="13" t="s">
        <v>17</v>
      </c>
      <c r="B7" s="13" t="s">
        <v>5</v>
      </c>
      <c r="C7" s="79">
        <v>23.166</v>
      </c>
      <c r="D7" s="79">
        <v>21.565000000000001</v>
      </c>
      <c r="E7" s="79">
        <v>26.532000000000004</v>
      </c>
      <c r="F7" s="79">
        <v>25.442999999999998</v>
      </c>
      <c r="G7" s="79">
        <v>27.324000000000002</v>
      </c>
      <c r="H7" s="79">
        <v>27.456000000000003</v>
      </c>
      <c r="I7" s="79">
        <v>30.135000000000002</v>
      </c>
      <c r="J7" s="79">
        <v>25.430624999999999</v>
      </c>
      <c r="K7" s="79">
        <v>22.4021875</v>
      </c>
      <c r="L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">
      <c r="A8" s="13" t="s">
        <v>17</v>
      </c>
      <c r="B8" s="13" t="s">
        <v>6</v>
      </c>
      <c r="C8" s="79">
        <v>7.125</v>
      </c>
      <c r="D8" s="79">
        <v>7.6440000000000001</v>
      </c>
      <c r="E8" s="79">
        <v>7.9680000000000009</v>
      </c>
      <c r="F8" s="79">
        <v>8.0510000000000002</v>
      </c>
      <c r="G8" s="79">
        <v>8.3160000000000007</v>
      </c>
      <c r="H8" s="79">
        <v>8.6129999999999995</v>
      </c>
      <c r="I8" s="79">
        <v>8.7862500000000008</v>
      </c>
      <c r="J8" s="79">
        <v>8.64</v>
      </c>
      <c r="K8" s="79">
        <v>8.3519999999999985</v>
      </c>
      <c r="L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">
      <c r="A9" s="13" t="s">
        <v>17</v>
      </c>
      <c r="B9" s="13" t="s">
        <v>7</v>
      </c>
      <c r="C9" s="78">
        <v>0.83160000000000001</v>
      </c>
      <c r="D9" s="78">
        <v>0.8640000000000001</v>
      </c>
      <c r="E9" s="78">
        <v>0.84149999999999991</v>
      </c>
      <c r="F9" s="78">
        <v>0.82650000000000001</v>
      </c>
      <c r="G9" s="78">
        <v>0.82319999999999993</v>
      </c>
      <c r="H9" s="78">
        <v>0.83599999999999997</v>
      </c>
      <c r="I9" s="78">
        <v>1.0669999999999999</v>
      </c>
      <c r="J9" s="78">
        <v>1.33375</v>
      </c>
      <c r="K9" s="78">
        <v>1.65</v>
      </c>
      <c r="L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">
      <c r="A10" s="13" t="s">
        <v>17</v>
      </c>
      <c r="B10" s="13" t="s">
        <v>8</v>
      </c>
      <c r="C10" s="77">
        <v>466092</v>
      </c>
      <c r="D10" s="77">
        <v>506385.00000000006</v>
      </c>
      <c r="E10" s="77">
        <v>512160.00000000006</v>
      </c>
      <c r="F10" s="77">
        <v>539136</v>
      </c>
      <c r="G10" s="77">
        <v>564300</v>
      </c>
      <c r="H10" s="77">
        <v>619938</v>
      </c>
      <c r="I10" s="77">
        <v>661297.5</v>
      </c>
      <c r="J10" s="77">
        <v>704899</v>
      </c>
      <c r="K10" s="77">
        <v>648420</v>
      </c>
      <c r="L10" s="4"/>
    </row>
    <row r="11" spans="1:35" x14ac:dyDescent="0.2">
      <c r="A11" s="13" t="s">
        <v>17</v>
      </c>
      <c r="B11" s="13" t="s">
        <v>9</v>
      </c>
      <c r="C11" s="77">
        <v>253363.77</v>
      </c>
      <c r="D11" s="77">
        <v>259863</v>
      </c>
      <c r="E11" s="77">
        <v>267744</v>
      </c>
      <c r="F11" s="77">
        <v>289802.05</v>
      </c>
      <c r="G11" s="77">
        <v>300384</v>
      </c>
      <c r="H11" s="77">
        <v>304934.8</v>
      </c>
      <c r="I11" s="77">
        <v>286168.5</v>
      </c>
      <c r="J11" s="77">
        <v>283826.75</v>
      </c>
      <c r="K11" s="77">
        <v>320383.4375</v>
      </c>
      <c r="L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A12" s="13" t="s">
        <v>17</v>
      </c>
      <c r="B12" s="13" t="s">
        <v>10</v>
      </c>
      <c r="C12" s="77">
        <v>243504.96</v>
      </c>
      <c r="D12" s="77">
        <v>260261.1</v>
      </c>
      <c r="E12" s="77">
        <v>266241.69</v>
      </c>
      <c r="F12" s="77">
        <v>272151</v>
      </c>
      <c r="G12" s="77">
        <v>280475.5</v>
      </c>
      <c r="H12" s="77">
        <v>299799.64</v>
      </c>
      <c r="I12" s="77">
        <v>306440.46000000002</v>
      </c>
      <c r="J12" s="77">
        <v>291766.84999999998</v>
      </c>
      <c r="K12" s="77">
        <v>322481.28000000003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">
      <c r="A13" s="13" t="s">
        <v>17</v>
      </c>
      <c r="B13" s="13" t="s">
        <v>11</v>
      </c>
      <c r="C13" s="77">
        <v>27312.5</v>
      </c>
      <c r="D13" s="77">
        <v>30492</v>
      </c>
      <c r="E13" s="77">
        <v>31224.6</v>
      </c>
      <c r="F13" s="77">
        <v>32373</v>
      </c>
      <c r="G13" s="77">
        <v>32853.9</v>
      </c>
      <c r="H13" s="77">
        <v>34202</v>
      </c>
      <c r="I13" s="77">
        <v>35182</v>
      </c>
      <c r="J13" s="77">
        <v>35424</v>
      </c>
      <c r="K13" s="77">
        <v>36005</v>
      </c>
      <c r="L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">
      <c r="A14" s="13" t="s">
        <v>17</v>
      </c>
      <c r="B14" s="13" t="s">
        <v>12</v>
      </c>
      <c r="C14" s="79">
        <v>1.6829999999999998</v>
      </c>
      <c r="D14" s="80">
        <v>1.425</v>
      </c>
      <c r="E14" s="80">
        <v>1.44</v>
      </c>
      <c r="F14" s="80">
        <v>1.3859999999999999</v>
      </c>
      <c r="G14" s="80">
        <v>1.1399999999999999</v>
      </c>
      <c r="H14" s="80">
        <v>1.274</v>
      </c>
      <c r="I14" s="79">
        <v>1.615</v>
      </c>
      <c r="J14" s="80">
        <v>1.47</v>
      </c>
      <c r="K14" s="80">
        <v>1.2480000000000002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">
      <c r="A15" s="13" t="s">
        <v>17</v>
      </c>
      <c r="B15" s="13" t="s">
        <v>13</v>
      </c>
      <c r="C15" s="80">
        <v>2.8709999999999996</v>
      </c>
      <c r="D15" s="80">
        <v>2.8709999999999996</v>
      </c>
      <c r="E15" s="80">
        <v>2.94</v>
      </c>
      <c r="F15" s="80">
        <v>2.94</v>
      </c>
      <c r="G15" s="80">
        <v>3.0690000000000004</v>
      </c>
      <c r="H15" s="80">
        <v>3.04</v>
      </c>
      <c r="I15" s="80">
        <v>2.8130000000000002</v>
      </c>
      <c r="J15" s="80">
        <v>2.8709999999999996</v>
      </c>
      <c r="K15" s="80">
        <v>2.88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">
      <c r="A16" s="14" t="s">
        <v>17</v>
      </c>
      <c r="B16" s="14" t="s">
        <v>14</v>
      </c>
      <c r="C16" s="80">
        <v>3.7228950000000003</v>
      </c>
      <c r="D16" s="80">
        <v>3.5568</v>
      </c>
      <c r="E16" s="80">
        <v>3.5123699999999998</v>
      </c>
      <c r="F16" s="80">
        <v>3.7558500000000001</v>
      </c>
      <c r="G16" s="80">
        <v>3.7651200000000009</v>
      </c>
      <c r="H16" s="80">
        <v>4.0895400000000004</v>
      </c>
      <c r="I16" s="80">
        <v>4.0154399999999999</v>
      </c>
      <c r="J16" s="80">
        <v>3.5910000000000002</v>
      </c>
      <c r="K16" s="80">
        <v>4.04352</v>
      </c>
    </row>
    <row r="17" spans="1:35" x14ac:dyDescent="0.2">
      <c r="A17" s="14" t="s">
        <v>17</v>
      </c>
      <c r="B17" s="14" t="s">
        <v>15</v>
      </c>
      <c r="C17" s="80">
        <v>1.615</v>
      </c>
      <c r="D17" s="80">
        <v>1.3719999999999999</v>
      </c>
      <c r="E17" s="80">
        <v>1.52</v>
      </c>
      <c r="F17" s="80">
        <v>1.5520000000000003</v>
      </c>
      <c r="G17" s="80">
        <v>1.425</v>
      </c>
      <c r="H17" s="80">
        <v>1.33</v>
      </c>
      <c r="I17" s="80">
        <v>1.2870000000000001</v>
      </c>
      <c r="J17" s="80">
        <v>1.52</v>
      </c>
      <c r="K17" s="80">
        <v>1.4850000000000001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">
      <c r="A18" s="70"/>
      <c r="B18" s="70"/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">
      <c r="A19" s="13" t="s">
        <v>28</v>
      </c>
      <c r="B19" s="13" t="s">
        <v>0</v>
      </c>
      <c r="C19" s="77">
        <v>3296.7</v>
      </c>
      <c r="D19" s="77">
        <v>3574.9349999999999</v>
      </c>
      <c r="E19" s="77">
        <v>3779.82</v>
      </c>
      <c r="F19" s="77">
        <v>4330.08</v>
      </c>
      <c r="G19" s="77">
        <v>4554.3</v>
      </c>
      <c r="H19" s="77">
        <v>5068.25</v>
      </c>
      <c r="I19" s="77">
        <v>5107.2</v>
      </c>
      <c r="J19" s="77">
        <v>4602.24</v>
      </c>
      <c r="K19" s="77">
        <v>5068.25</v>
      </c>
      <c r="L19" s="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">
      <c r="A20" s="13" t="s">
        <v>28</v>
      </c>
      <c r="B20" s="13" t="s">
        <v>1</v>
      </c>
      <c r="C20" s="77">
        <v>12984.191999999999</v>
      </c>
      <c r="D20" s="77">
        <v>16179.636973500001</v>
      </c>
      <c r="E20" s="77">
        <v>16802.163504</v>
      </c>
      <c r="F20" s="77">
        <v>17409.829338</v>
      </c>
      <c r="G20" s="77">
        <v>19405.020095999997</v>
      </c>
      <c r="H20" s="77">
        <v>19358.273024999999</v>
      </c>
      <c r="I20" s="77">
        <v>23763.514320000002</v>
      </c>
      <c r="J20" s="77">
        <v>17924.867519999996</v>
      </c>
      <c r="K20" s="77">
        <v>19185.312509999996</v>
      </c>
      <c r="L20" s="6"/>
    </row>
    <row r="21" spans="1:35" x14ac:dyDescent="0.2">
      <c r="A21" s="13" t="s">
        <v>28</v>
      </c>
      <c r="B21" s="13" t="s">
        <v>2</v>
      </c>
      <c r="C21" s="78">
        <v>2.0790000000000002</v>
      </c>
      <c r="D21" s="78">
        <v>2.0900000000000003</v>
      </c>
      <c r="E21" s="78">
        <v>2.2560000000000002</v>
      </c>
      <c r="F21" s="78">
        <v>2.3039999999999998</v>
      </c>
      <c r="G21" s="78">
        <v>2.4010000000000002</v>
      </c>
      <c r="H21" s="78">
        <v>3.04</v>
      </c>
      <c r="I21" s="78">
        <v>4.4550000000000001</v>
      </c>
      <c r="J21" s="78">
        <v>5.5687499999999996</v>
      </c>
      <c r="K21" s="78">
        <v>3.528</v>
      </c>
      <c r="L21" s="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">
      <c r="A22" s="13" t="s">
        <v>28</v>
      </c>
      <c r="B22" s="13" t="s">
        <v>3</v>
      </c>
      <c r="C22" s="78">
        <v>0.66939700000000013</v>
      </c>
      <c r="D22" s="78">
        <v>0.76930700000000007</v>
      </c>
      <c r="E22" s="78">
        <v>0.86965200000000009</v>
      </c>
      <c r="F22" s="78">
        <v>0.97678999999999994</v>
      </c>
      <c r="G22" s="78">
        <v>0.66249600000000008</v>
      </c>
      <c r="H22" s="78">
        <v>0.76930700000000007</v>
      </c>
      <c r="I22" s="78">
        <v>0.91228200000000004</v>
      </c>
      <c r="J22" s="78">
        <v>0.9591360000000001</v>
      </c>
      <c r="K22" s="78">
        <v>1.087655</v>
      </c>
      <c r="L22" s="7"/>
    </row>
    <row r="23" spans="1:35" x14ac:dyDescent="0.2">
      <c r="A23" s="13" t="s">
        <v>28</v>
      </c>
      <c r="B23" s="13" t="s">
        <v>4</v>
      </c>
      <c r="C23" s="79">
        <v>1.5840000000000001</v>
      </c>
      <c r="D23" s="78">
        <v>1.6830000000000001</v>
      </c>
      <c r="E23" s="79">
        <v>1.52</v>
      </c>
      <c r="F23" s="79">
        <v>1.4850000000000001</v>
      </c>
      <c r="G23" s="79">
        <v>3.36</v>
      </c>
      <c r="H23" s="79">
        <v>3.4560000000000004</v>
      </c>
      <c r="I23" s="79">
        <v>4.1224999999999996</v>
      </c>
      <c r="J23" s="79">
        <v>4.8600000000000003</v>
      </c>
      <c r="K23" s="79">
        <v>5.7742187500000002</v>
      </c>
      <c r="L23" s="7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">
      <c r="A24" s="13" t="s">
        <v>28</v>
      </c>
      <c r="B24" s="13" t="s">
        <v>5</v>
      </c>
      <c r="C24" s="79">
        <v>21.503999999999998</v>
      </c>
      <c r="D24" s="78">
        <v>21.6</v>
      </c>
      <c r="E24" s="79">
        <v>25.026</v>
      </c>
      <c r="F24" s="79">
        <v>23.959</v>
      </c>
      <c r="G24" s="79">
        <v>28.314</v>
      </c>
      <c r="H24" s="79">
        <v>28.712000000000003</v>
      </c>
      <c r="I24" s="79">
        <v>31.432500000000001</v>
      </c>
      <c r="J24" s="79">
        <v>25.886875</v>
      </c>
      <c r="K24" s="79">
        <v>22.666406250000001</v>
      </c>
      <c r="L24" s="7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">
      <c r="A25" s="13" t="s">
        <v>28</v>
      </c>
      <c r="B25" s="13" t="s">
        <v>6</v>
      </c>
      <c r="C25" s="79">
        <v>6.4349999999999996</v>
      </c>
      <c r="D25" s="78">
        <v>6.5339999999999998</v>
      </c>
      <c r="E25" s="79">
        <v>6.9350000000000014</v>
      </c>
      <c r="F25" s="79">
        <v>7.2270000000000003</v>
      </c>
      <c r="G25" s="79">
        <v>9.3060000000000009</v>
      </c>
      <c r="H25" s="79">
        <v>9.4089999999999989</v>
      </c>
      <c r="I25" s="79">
        <v>9.48</v>
      </c>
      <c r="J25" s="79">
        <v>9.5</v>
      </c>
      <c r="K25" s="79">
        <v>9.4089999999999989</v>
      </c>
      <c r="L25" s="7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">
      <c r="A26" s="13" t="s">
        <v>28</v>
      </c>
      <c r="B26" s="13" t="s">
        <v>7</v>
      </c>
      <c r="C26" s="78">
        <v>1.5579999999999998</v>
      </c>
      <c r="D26" s="78">
        <v>1.6878</v>
      </c>
      <c r="E26" s="78">
        <v>1.7847999999999999</v>
      </c>
      <c r="F26" s="78">
        <v>1.8818000000000001</v>
      </c>
      <c r="G26" s="78">
        <v>1.8177800000000002</v>
      </c>
      <c r="H26" s="78">
        <v>1.8235999999999999</v>
      </c>
      <c r="I26" s="78">
        <v>2.016</v>
      </c>
      <c r="J26" s="78">
        <v>2.3275000000000001</v>
      </c>
      <c r="K26" s="78">
        <v>2.1521875000000001</v>
      </c>
      <c r="L26" s="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">
      <c r="A27" s="13" t="s">
        <v>28</v>
      </c>
      <c r="B27" s="13" t="s">
        <v>8</v>
      </c>
      <c r="C27" s="82">
        <v>261900</v>
      </c>
      <c r="D27" s="78">
        <v>264600.098</v>
      </c>
      <c r="E27" s="82">
        <v>230400</v>
      </c>
      <c r="F27" s="82">
        <v>194000</v>
      </c>
      <c r="G27" s="82">
        <v>286150</v>
      </c>
      <c r="H27" s="82">
        <v>333200</v>
      </c>
      <c r="I27" s="82">
        <v>372000</v>
      </c>
      <c r="J27" s="82">
        <v>479531.25</v>
      </c>
      <c r="K27" s="82">
        <v>599414.0625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">
      <c r="A28" s="13" t="s">
        <v>28</v>
      </c>
      <c r="B28" s="13" t="s">
        <v>9</v>
      </c>
      <c r="C28" s="82">
        <v>156381.88500000001</v>
      </c>
      <c r="D28" s="78">
        <v>153222.75200000001</v>
      </c>
      <c r="E28" s="82">
        <v>128155.5</v>
      </c>
      <c r="F28" s="82">
        <v>160913.375</v>
      </c>
      <c r="G28" s="82">
        <v>167627.5</v>
      </c>
      <c r="H28" s="82">
        <v>157282.16</v>
      </c>
      <c r="I28" s="82">
        <v>190584.25</v>
      </c>
      <c r="J28" s="82">
        <v>238230.3125</v>
      </c>
      <c r="K28" s="82">
        <v>297787.890625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">
      <c r="A29" s="13" t="s">
        <v>28</v>
      </c>
      <c r="B29" s="13" t="s">
        <v>10</v>
      </c>
      <c r="C29" s="82">
        <v>156662.80849999998</v>
      </c>
      <c r="D29" s="78">
        <v>146590.67904000002</v>
      </c>
      <c r="E29" s="82">
        <v>158481.603</v>
      </c>
      <c r="F29" s="82">
        <v>148171.1</v>
      </c>
      <c r="G29" s="82">
        <v>168853.95</v>
      </c>
      <c r="H29" s="82">
        <v>155895.81280000001</v>
      </c>
      <c r="I29" s="82">
        <v>147944.2041</v>
      </c>
      <c r="J29" s="82">
        <v>153500.0754</v>
      </c>
      <c r="K29" s="82">
        <v>156599.80560000002</v>
      </c>
    </row>
    <row r="30" spans="1:35" x14ac:dyDescent="0.2">
      <c r="A30" s="13" t="s">
        <v>28</v>
      </c>
      <c r="B30" s="13" t="s">
        <v>11</v>
      </c>
      <c r="C30" s="82">
        <v>13943.75</v>
      </c>
      <c r="D30" s="78">
        <v>13800.096000000001</v>
      </c>
      <c r="E30" s="82">
        <v>15612.3</v>
      </c>
      <c r="F30" s="82">
        <v>16186.5</v>
      </c>
      <c r="G30" s="82">
        <v>16257.6</v>
      </c>
      <c r="H30" s="82">
        <v>16752</v>
      </c>
      <c r="I30" s="82">
        <v>17770.5</v>
      </c>
      <c r="J30" s="82">
        <v>17527.5</v>
      </c>
      <c r="K30" s="82">
        <v>18002.5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">
      <c r="A31" s="13" t="s">
        <v>28</v>
      </c>
      <c r="B31" s="13" t="s">
        <v>12</v>
      </c>
      <c r="C31" s="79">
        <v>0.67899999999999994</v>
      </c>
      <c r="D31" s="78">
        <v>0.76</v>
      </c>
      <c r="E31" s="80">
        <v>0.47499999999999998</v>
      </c>
      <c r="F31" s="80">
        <v>0.3879999999999999</v>
      </c>
      <c r="G31" s="80">
        <v>2.1560000000000001</v>
      </c>
      <c r="H31" s="80">
        <v>2.2769999999999997</v>
      </c>
      <c r="I31" s="79">
        <v>2.5920000000000005</v>
      </c>
      <c r="J31" s="80">
        <v>2.4500000000000002</v>
      </c>
      <c r="K31" s="80">
        <v>2.2079999999999997</v>
      </c>
      <c r="L31" s="7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">
      <c r="A32" s="13" t="s">
        <v>28</v>
      </c>
      <c r="B32" s="13" t="s">
        <v>13</v>
      </c>
      <c r="C32" s="80">
        <v>1.8619999999999999</v>
      </c>
      <c r="D32" s="78">
        <v>1.96</v>
      </c>
      <c r="E32" s="80">
        <v>1.92</v>
      </c>
      <c r="F32" s="80">
        <v>1.98</v>
      </c>
      <c r="G32" s="80">
        <v>3.9769999999999999</v>
      </c>
      <c r="H32" s="80">
        <v>4.1160000000000005</v>
      </c>
      <c r="I32" s="80">
        <v>3.8609999999999998</v>
      </c>
      <c r="J32" s="80">
        <v>3.7439999999999998</v>
      </c>
      <c r="K32" s="80">
        <v>3.92</v>
      </c>
      <c r="L32" s="7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">
      <c r="A33" s="14" t="s">
        <v>28</v>
      </c>
      <c r="B33" s="14" t="s">
        <v>14</v>
      </c>
      <c r="C33" s="80">
        <v>2.3990400000000003</v>
      </c>
      <c r="D33" s="78">
        <v>2.5214400000000001</v>
      </c>
      <c r="E33" s="80">
        <v>2.6162999999999998</v>
      </c>
      <c r="F33" s="80">
        <v>2.7787900000000003</v>
      </c>
      <c r="G33" s="80">
        <v>4.8325400000000007</v>
      </c>
      <c r="H33" s="80">
        <v>5.1332400000000007</v>
      </c>
      <c r="I33" s="80">
        <v>5.0421000000000005</v>
      </c>
      <c r="J33" s="80">
        <v>4.5447999999999995</v>
      </c>
      <c r="K33" s="80">
        <v>4.7015500000000001</v>
      </c>
      <c r="L33" s="7"/>
    </row>
    <row r="34" spans="1:35" x14ac:dyDescent="0.2">
      <c r="A34" s="14" t="s">
        <v>28</v>
      </c>
      <c r="B34" s="14" t="s">
        <v>15</v>
      </c>
      <c r="C34" s="80">
        <v>0.68599999999999994</v>
      </c>
      <c r="D34" s="78">
        <v>0.79199999999999993</v>
      </c>
      <c r="E34" s="80">
        <v>0.57000000000000006</v>
      </c>
      <c r="F34" s="80">
        <v>0.57600000000000007</v>
      </c>
      <c r="G34" s="80">
        <v>2.4</v>
      </c>
      <c r="H34" s="80">
        <v>2.3279999999999998</v>
      </c>
      <c r="I34" s="80">
        <v>2.2309999999999999</v>
      </c>
      <c r="J34" s="80">
        <v>2.5220000000000002</v>
      </c>
      <c r="K34" s="80">
        <v>2.4500000000000002</v>
      </c>
      <c r="L34" s="7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">
      <c r="A35" s="70"/>
      <c r="B35" s="70"/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0</v>
      </c>
      <c r="K35" s="81">
        <v>0</v>
      </c>
      <c r="L35" s="7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">
      <c r="A36" s="13" t="s">
        <v>29</v>
      </c>
      <c r="B36" s="13" t="s">
        <v>0</v>
      </c>
      <c r="C36" s="77">
        <v>8058.6000000000013</v>
      </c>
      <c r="D36" s="77">
        <v>8642.7000000000007</v>
      </c>
      <c r="E36" s="77">
        <v>8856.1</v>
      </c>
      <c r="F36" s="77">
        <v>16063.2</v>
      </c>
      <c r="G36" s="77">
        <v>10883.4</v>
      </c>
      <c r="H36" s="77">
        <v>11858.000000000002</v>
      </c>
      <c r="I36" s="77">
        <v>11950.400000000001</v>
      </c>
      <c r="J36" s="77">
        <v>12122.000000000002</v>
      </c>
      <c r="K36" s="77">
        <v>12853.500000000002</v>
      </c>
      <c r="L36" s="7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">
      <c r="A37" s="13" t="s">
        <v>29</v>
      </c>
      <c r="B37" s="13" t="s">
        <v>1</v>
      </c>
      <c r="C37" s="77">
        <v>30836.300000000003</v>
      </c>
      <c r="D37" s="77">
        <v>35079.605000000003</v>
      </c>
      <c r="E37" s="77">
        <v>36823.237000000008</v>
      </c>
      <c r="F37" s="77">
        <v>38460.884000000005</v>
      </c>
      <c r="G37" s="77">
        <v>42016.128000000004</v>
      </c>
      <c r="H37" s="77">
        <v>52264.63</v>
      </c>
      <c r="I37" s="77">
        <v>52818.48000000001</v>
      </c>
      <c r="J37" s="77">
        <v>59303.1</v>
      </c>
      <c r="K37" s="77">
        <v>83388.55078125</v>
      </c>
      <c r="L37" s="7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">
      <c r="A38" s="13" t="s">
        <v>29</v>
      </c>
      <c r="B38" s="13" t="s">
        <v>2</v>
      </c>
      <c r="C38" s="78">
        <v>4.0179999999999998</v>
      </c>
      <c r="D38" s="78">
        <v>4.0740000000000007</v>
      </c>
      <c r="E38" s="78">
        <v>4.2629999999999999</v>
      </c>
      <c r="F38" s="78">
        <v>4.1800000000000006</v>
      </c>
      <c r="G38" s="78">
        <v>4.4055</v>
      </c>
      <c r="H38" s="78">
        <v>4.3699999999999992</v>
      </c>
      <c r="I38" s="78">
        <v>5.39</v>
      </c>
      <c r="J38" s="78">
        <v>6.5587499999999999</v>
      </c>
      <c r="K38" s="78">
        <v>7.71</v>
      </c>
      <c r="L38" s="9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">
      <c r="A39" s="13" t="s">
        <v>29</v>
      </c>
      <c r="B39" s="13" t="s">
        <v>3</v>
      </c>
      <c r="C39" s="78">
        <v>1.9499060000000001</v>
      </c>
      <c r="D39" s="78">
        <v>2.0253999999999999</v>
      </c>
      <c r="E39" s="78">
        <v>2.2876920000000003</v>
      </c>
      <c r="F39" s="78">
        <v>2.448</v>
      </c>
      <c r="G39" s="78">
        <v>2.3145170000000004</v>
      </c>
      <c r="H39" s="78">
        <v>2.3664120000000004</v>
      </c>
      <c r="I39" s="78">
        <v>2.6208000000000005</v>
      </c>
      <c r="J39" s="78">
        <v>3.0555000000000003</v>
      </c>
      <c r="K39" s="78">
        <v>3.7075499999999999</v>
      </c>
      <c r="L39" s="9"/>
    </row>
    <row r="40" spans="1:35" x14ac:dyDescent="0.2">
      <c r="A40" s="13" t="s">
        <v>29</v>
      </c>
      <c r="B40" s="13" t="s">
        <v>4</v>
      </c>
      <c r="C40" s="79">
        <v>3.4560000000000004</v>
      </c>
      <c r="D40" s="79">
        <v>3.3319999999999999</v>
      </c>
      <c r="E40" s="79">
        <v>3.42</v>
      </c>
      <c r="F40" s="79">
        <v>3.395</v>
      </c>
      <c r="G40" s="79">
        <v>3.36</v>
      </c>
      <c r="H40" s="79">
        <v>3.492</v>
      </c>
      <c r="I40" s="79">
        <v>4.1224999999999996</v>
      </c>
      <c r="J40" s="79">
        <v>4.8600000000000003</v>
      </c>
      <c r="K40" s="79">
        <v>5.8957812499999998</v>
      </c>
      <c r="L40" s="9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">
      <c r="A41" s="13" t="s">
        <v>29</v>
      </c>
      <c r="B41" s="13" t="s">
        <v>5</v>
      </c>
      <c r="C41" s="79">
        <v>23.18</v>
      </c>
      <c r="D41" s="79">
        <v>22.751999999999999</v>
      </c>
      <c r="E41" s="79">
        <v>26.965999999999998</v>
      </c>
      <c r="F41" s="79">
        <v>26.432999999999996</v>
      </c>
      <c r="G41" s="79">
        <v>28.028000000000002</v>
      </c>
      <c r="H41" s="79">
        <v>29.008000000000003</v>
      </c>
      <c r="I41" s="79">
        <v>30.797499999999999</v>
      </c>
      <c r="J41" s="79">
        <v>25.353124999999999</v>
      </c>
      <c r="K41" s="79">
        <v>22.905000000000001</v>
      </c>
      <c r="L41" s="9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">
      <c r="A42" s="13" t="s">
        <v>29</v>
      </c>
      <c r="B42" s="13" t="s">
        <v>6</v>
      </c>
      <c r="C42" s="79">
        <v>9.0694999999999997</v>
      </c>
      <c r="D42" s="79">
        <v>8.5324799999999996</v>
      </c>
      <c r="E42" s="79">
        <v>9.2962800000000012</v>
      </c>
      <c r="F42" s="79">
        <v>9.3818400000000004</v>
      </c>
      <c r="G42" s="79">
        <v>9.926400000000001</v>
      </c>
      <c r="H42" s="79">
        <v>9.5835999999999988</v>
      </c>
      <c r="I42" s="79">
        <v>10.143600000000001</v>
      </c>
      <c r="J42" s="79">
        <v>10.67</v>
      </c>
      <c r="K42" s="79">
        <v>9.4051200000000001</v>
      </c>
      <c r="L42" s="9"/>
    </row>
    <row r="43" spans="1:35" x14ac:dyDescent="0.2">
      <c r="A43" s="13" t="s">
        <v>29</v>
      </c>
      <c r="B43" s="13" t="s">
        <v>7</v>
      </c>
      <c r="C43" s="78">
        <v>1.7664</v>
      </c>
      <c r="D43" s="78">
        <v>1.8619999999999999</v>
      </c>
      <c r="E43" s="78">
        <v>1.8315000000000001</v>
      </c>
      <c r="F43" s="78">
        <v>1.7952000000000001</v>
      </c>
      <c r="G43" s="78">
        <v>1.8031999999999999</v>
      </c>
      <c r="H43" s="78">
        <v>1.8611999999999997</v>
      </c>
      <c r="I43" s="78">
        <v>2.0790000000000002</v>
      </c>
      <c r="J43" s="78">
        <v>2.3512499999999998</v>
      </c>
      <c r="K43" s="78">
        <v>2.6643750000000002</v>
      </c>
      <c r="L43" s="9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">
      <c r="A44" s="13" t="s">
        <v>29</v>
      </c>
      <c r="B44" s="13" t="s">
        <v>8</v>
      </c>
      <c r="C44" s="77">
        <v>376200</v>
      </c>
      <c r="D44" s="77">
        <v>410130</v>
      </c>
      <c r="E44" s="77">
        <v>410400</v>
      </c>
      <c r="F44" s="77">
        <v>449280</v>
      </c>
      <c r="G44" s="77">
        <v>480150</v>
      </c>
      <c r="H44" s="77">
        <v>541260</v>
      </c>
      <c r="I44" s="77">
        <v>676575</v>
      </c>
      <c r="J44" s="77">
        <v>845718.75</v>
      </c>
      <c r="K44" s="77">
        <v>1035351.5625</v>
      </c>
      <c r="L44" s="10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">
      <c r="A45" s="13" t="s">
        <v>29</v>
      </c>
      <c r="B45" s="13" t="s">
        <v>9</v>
      </c>
      <c r="C45" s="77">
        <v>223420.77900000001</v>
      </c>
      <c r="D45" s="77">
        <v>236287.8</v>
      </c>
      <c r="E45" s="77">
        <v>240969.60000000001</v>
      </c>
      <c r="F45" s="77">
        <v>245989.8</v>
      </c>
      <c r="G45" s="77">
        <v>248499.9</v>
      </c>
      <c r="H45" s="77">
        <v>285996.74400000001</v>
      </c>
      <c r="I45" s="77">
        <v>353884.86</v>
      </c>
      <c r="J45" s="77">
        <v>446869.91249999998</v>
      </c>
      <c r="K45" s="77">
        <v>536018.203125</v>
      </c>
      <c r="L45" s="10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">
      <c r="A46" s="13" t="s">
        <v>29</v>
      </c>
      <c r="B46" s="13" t="s">
        <v>10</v>
      </c>
      <c r="C46" s="77">
        <v>223720.182</v>
      </c>
      <c r="D46" s="77">
        <v>234234.99</v>
      </c>
      <c r="E46" s="77">
        <v>229936.005</v>
      </c>
      <c r="F46" s="77">
        <v>244935.9</v>
      </c>
      <c r="G46" s="77">
        <v>235039.5</v>
      </c>
      <c r="H46" s="77">
        <v>242461.8</v>
      </c>
      <c r="I46" s="77">
        <v>272953.152</v>
      </c>
      <c r="J46" s="77">
        <v>262590.16499999998</v>
      </c>
      <c r="K46" s="77">
        <v>293256.41400000005</v>
      </c>
      <c r="L46" s="10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">
      <c r="A47" s="13" t="s">
        <v>29</v>
      </c>
      <c r="B47" s="13" t="s">
        <v>11</v>
      </c>
      <c r="C47" s="77">
        <v>26640.9</v>
      </c>
      <c r="D47" s="77">
        <v>21279.084000000003</v>
      </c>
      <c r="E47" s="77">
        <v>30631.332600000002</v>
      </c>
      <c r="F47" s="77">
        <v>30259.925999999999</v>
      </c>
      <c r="G47" s="77">
        <v>20843.500800000002</v>
      </c>
      <c r="H47" s="77">
        <v>22679.613000000001</v>
      </c>
      <c r="I47" s="77">
        <v>34196.904000000002</v>
      </c>
      <c r="J47" s="77">
        <v>32857.974000000002</v>
      </c>
      <c r="K47" s="77">
        <v>35795.034000000007</v>
      </c>
      <c r="L47" s="10"/>
    </row>
    <row r="48" spans="1:35" x14ac:dyDescent="0.2">
      <c r="A48" s="13" t="s">
        <v>29</v>
      </c>
      <c r="B48" s="13" t="s">
        <v>12</v>
      </c>
      <c r="C48" s="79">
        <v>0.66500000000000004</v>
      </c>
      <c r="D48" s="80">
        <v>0.47499999999999998</v>
      </c>
      <c r="E48" s="80">
        <v>0.48499999999999999</v>
      </c>
      <c r="F48" s="80">
        <v>0.3839999999999999</v>
      </c>
      <c r="G48" s="80">
        <v>0.18999999999999997</v>
      </c>
      <c r="H48" s="80">
        <v>0.28500000000000003</v>
      </c>
      <c r="I48" s="79">
        <v>0.66500000000000004</v>
      </c>
      <c r="J48" s="80">
        <v>0.48</v>
      </c>
      <c r="K48" s="80">
        <v>0.29700000000000004</v>
      </c>
      <c r="L48" s="12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">
      <c r="A49" s="13" t="s">
        <v>29</v>
      </c>
      <c r="B49" s="13" t="s">
        <v>13</v>
      </c>
      <c r="C49" s="80">
        <v>1.881</v>
      </c>
      <c r="D49" s="80">
        <v>1.8239999999999998</v>
      </c>
      <c r="E49" s="80">
        <v>2.375</v>
      </c>
      <c r="F49" s="80">
        <v>2.97</v>
      </c>
      <c r="G49" s="80">
        <v>2.016</v>
      </c>
      <c r="H49" s="80">
        <v>2.1560000000000001</v>
      </c>
      <c r="I49" s="80">
        <v>1.8239999999999998</v>
      </c>
      <c r="J49" s="80">
        <v>1.8239999999999998</v>
      </c>
      <c r="K49" s="80">
        <v>1.98</v>
      </c>
      <c r="L49" s="12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">
      <c r="A50" s="14" t="s">
        <v>29</v>
      </c>
      <c r="B50" s="14" t="s">
        <v>14</v>
      </c>
      <c r="C50" s="80">
        <v>2.3520000000000003</v>
      </c>
      <c r="D50" s="80">
        <v>2.548</v>
      </c>
      <c r="E50" s="80">
        <v>2.91</v>
      </c>
      <c r="F50" s="80">
        <v>2.88</v>
      </c>
      <c r="G50" s="80">
        <v>2.85</v>
      </c>
      <c r="H50" s="80">
        <v>2.7549999999999999</v>
      </c>
      <c r="I50" s="80">
        <v>2.8420000000000001</v>
      </c>
      <c r="J50" s="80">
        <v>2.4960000000000004</v>
      </c>
      <c r="K50" s="80">
        <v>2.8709999999999996</v>
      </c>
      <c r="L50" s="12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">
      <c r="A51" s="14" t="s">
        <v>29</v>
      </c>
      <c r="B51" s="14" t="s">
        <v>15</v>
      </c>
      <c r="C51" s="80">
        <v>0.66500000000000004</v>
      </c>
      <c r="D51" s="80">
        <v>0.3839999999999999</v>
      </c>
      <c r="E51" s="80">
        <v>0.97</v>
      </c>
      <c r="F51" s="80">
        <v>1.0669999999999999</v>
      </c>
      <c r="G51" s="80">
        <v>1.98</v>
      </c>
      <c r="H51" s="80">
        <v>0.3919999999999999</v>
      </c>
      <c r="I51" s="80">
        <v>0.28500000000000003</v>
      </c>
      <c r="J51" s="80">
        <v>0.57600000000000007</v>
      </c>
      <c r="K51" s="80">
        <v>0.48499999999999999</v>
      </c>
      <c r="L51" s="12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">
      <c r="C52" s="83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">
      <c r="A53" s="13" t="s">
        <v>30</v>
      </c>
      <c r="B53" s="13" t="s">
        <v>0</v>
      </c>
      <c r="C53" s="77">
        <v>7252</v>
      </c>
      <c r="D53" s="77">
        <v>7695</v>
      </c>
      <c r="E53" s="77">
        <v>7885</v>
      </c>
      <c r="F53" s="77">
        <v>9120</v>
      </c>
      <c r="G53" s="77">
        <v>10098</v>
      </c>
      <c r="H53" s="77">
        <v>10890</v>
      </c>
      <c r="I53" s="77">
        <v>10752</v>
      </c>
      <c r="J53" s="77">
        <v>11020</v>
      </c>
      <c r="K53" s="77">
        <v>11931</v>
      </c>
      <c r="L53" s="10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">
      <c r="A54" s="13" t="s">
        <v>30</v>
      </c>
      <c r="B54" s="13" t="s">
        <v>1</v>
      </c>
      <c r="C54" s="77">
        <v>28033</v>
      </c>
      <c r="D54" s="77">
        <v>33233.31</v>
      </c>
      <c r="E54" s="77">
        <v>33475.67</v>
      </c>
      <c r="F54" s="77">
        <v>34250.879999999997</v>
      </c>
      <c r="G54" s="77">
        <v>38196.480000000003</v>
      </c>
      <c r="H54" s="77">
        <v>39613.86</v>
      </c>
      <c r="I54" s="77">
        <v>49017.15</v>
      </c>
      <c r="J54" s="77">
        <v>61271.4375</v>
      </c>
      <c r="K54" s="77">
        <v>75026.25</v>
      </c>
      <c r="L54" s="10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">
      <c r="A55" s="13" t="s">
        <v>30</v>
      </c>
      <c r="B55" s="13" t="s">
        <v>2</v>
      </c>
      <c r="C55" s="78">
        <v>2.2245300000000001</v>
      </c>
      <c r="D55" s="78">
        <v>2.2206800000000002</v>
      </c>
      <c r="E55" s="78">
        <v>2.302295</v>
      </c>
      <c r="F55" s="78">
        <v>2.4443999999999999</v>
      </c>
      <c r="G55" s="78">
        <v>2.5710299999999999</v>
      </c>
      <c r="H55" s="78">
        <v>2.5209600000000005</v>
      </c>
      <c r="I55" s="78">
        <v>3.7345000000000002</v>
      </c>
      <c r="J55" s="78">
        <v>4.5778249999999998</v>
      </c>
      <c r="K55" s="78">
        <v>6.0288374999999998</v>
      </c>
      <c r="L55" s="9"/>
    </row>
    <row r="56" spans="1:35" x14ac:dyDescent="0.2">
      <c r="A56" s="13" t="s">
        <v>30</v>
      </c>
      <c r="B56" s="13" t="s">
        <v>3</v>
      </c>
      <c r="C56" s="78">
        <v>0.96</v>
      </c>
      <c r="D56" s="78">
        <v>0.49</v>
      </c>
      <c r="E56" s="78">
        <v>0.48499999999999999</v>
      </c>
      <c r="F56" s="78">
        <v>0.49</v>
      </c>
      <c r="G56" s="78">
        <v>0.495</v>
      </c>
      <c r="H56" s="78">
        <v>0.27160000000000006</v>
      </c>
      <c r="I56" s="78">
        <v>0.59400000000000008</v>
      </c>
      <c r="J56" s="78">
        <v>0.96</v>
      </c>
      <c r="K56" s="78">
        <v>1.47</v>
      </c>
      <c r="L56" s="9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">
      <c r="A57" s="13" t="s">
        <v>30</v>
      </c>
      <c r="B57" s="13" t="s">
        <v>4</v>
      </c>
      <c r="C57" s="79">
        <v>1.5680000000000001</v>
      </c>
      <c r="D57" s="79">
        <v>1.3439999999999999</v>
      </c>
      <c r="E57" s="79">
        <v>1.5520000000000003</v>
      </c>
      <c r="F57" s="79">
        <v>1.47</v>
      </c>
      <c r="G57" s="79">
        <v>1.425</v>
      </c>
      <c r="H57" s="79">
        <v>1.52</v>
      </c>
      <c r="I57" s="79">
        <v>2.2050000000000001</v>
      </c>
      <c r="J57" s="79">
        <v>2.9093749999999998</v>
      </c>
      <c r="K57" s="79">
        <v>4.0373437499999998</v>
      </c>
      <c r="L57" s="9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">
      <c r="A58" s="13" t="s">
        <v>30</v>
      </c>
      <c r="B58" s="13" t="s">
        <v>5</v>
      </c>
      <c r="C58" s="79">
        <v>21.28</v>
      </c>
      <c r="D58" s="79">
        <v>20.614999999999998</v>
      </c>
      <c r="E58" s="79">
        <v>25.542000000000002</v>
      </c>
      <c r="F58" s="79">
        <v>29.105999999999998</v>
      </c>
      <c r="G58" s="79">
        <v>28.215</v>
      </c>
      <c r="H58" s="79">
        <v>28.809000000000001</v>
      </c>
      <c r="I58" s="79">
        <v>28.262499999999999</v>
      </c>
      <c r="J58" s="79">
        <v>23.946874999999999</v>
      </c>
      <c r="K58" s="79">
        <v>21.20359375</v>
      </c>
      <c r="L58" s="9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">
      <c r="A59" s="13" t="s">
        <v>30</v>
      </c>
      <c r="B59" s="13" t="s">
        <v>6</v>
      </c>
      <c r="C59" s="79">
        <v>6.3049999999999997</v>
      </c>
      <c r="D59" s="79">
        <v>6.5960000000000001</v>
      </c>
      <c r="E59" s="79">
        <v>6.9350000000000014</v>
      </c>
      <c r="F59" s="79">
        <v>7.0810000000000004</v>
      </c>
      <c r="G59" s="79">
        <v>7.03</v>
      </c>
      <c r="H59" s="79">
        <v>7.5459999999999994</v>
      </c>
      <c r="I59" s="79">
        <v>7.7175000000000002</v>
      </c>
      <c r="J59" s="79">
        <v>7.68</v>
      </c>
      <c r="K59" s="79">
        <v>7.6229999999999993</v>
      </c>
      <c r="L59" s="9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">
      <c r="A60" s="13" t="s">
        <v>30</v>
      </c>
      <c r="B60" s="13" t="s">
        <v>7</v>
      </c>
      <c r="C60" s="78">
        <v>0.81480000000000008</v>
      </c>
      <c r="D60" s="78">
        <v>0.88200000000000001</v>
      </c>
      <c r="E60" s="78">
        <v>0.81599999999999995</v>
      </c>
      <c r="F60" s="78">
        <v>0.83519999999999994</v>
      </c>
      <c r="G60" s="78">
        <v>0.79799999999999993</v>
      </c>
      <c r="H60" s="78">
        <v>0.8448</v>
      </c>
      <c r="I60" s="78">
        <v>1.0780000000000001</v>
      </c>
      <c r="J60" s="78">
        <v>1.3474999999999999</v>
      </c>
      <c r="K60" s="78">
        <v>1.684375</v>
      </c>
      <c r="L60" s="9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">
      <c r="A61" s="13" t="s">
        <v>30</v>
      </c>
      <c r="B61" s="13" t="s">
        <v>8</v>
      </c>
      <c r="C61" s="77">
        <v>120760.20000000001</v>
      </c>
      <c r="D61" s="77">
        <v>132657.52500000002</v>
      </c>
      <c r="E61" s="77">
        <v>136083.45600000001</v>
      </c>
      <c r="F61" s="77">
        <v>259269.11999999997</v>
      </c>
      <c r="G61" s="77">
        <v>156185.70000000001</v>
      </c>
      <c r="H61" s="77">
        <v>176417.28</v>
      </c>
      <c r="I61" s="77">
        <v>226882.80000000005</v>
      </c>
      <c r="J61" s="77">
        <v>281201.484375</v>
      </c>
      <c r="K61" s="77">
        <v>359148.56250000006</v>
      </c>
      <c r="L61" s="10"/>
    </row>
    <row r="62" spans="1:35" x14ac:dyDescent="0.2">
      <c r="A62" s="13" t="s">
        <v>30</v>
      </c>
      <c r="B62" s="13" t="s">
        <v>9</v>
      </c>
      <c r="C62" s="77">
        <v>73705.823999999993</v>
      </c>
      <c r="D62" s="77">
        <v>78762.600000000006</v>
      </c>
      <c r="E62" s="77">
        <v>82833.3</v>
      </c>
      <c r="F62" s="77">
        <v>77404.320000000007</v>
      </c>
      <c r="G62" s="77">
        <v>91992.6</v>
      </c>
      <c r="H62" s="77">
        <v>95332.247999999992</v>
      </c>
      <c r="I62" s="77">
        <v>114350.55</v>
      </c>
      <c r="J62" s="77">
        <v>147452.02499999999</v>
      </c>
      <c r="K62" s="77">
        <v>186195.796875</v>
      </c>
      <c r="L62" s="10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">
      <c r="A63" s="13" t="s">
        <v>30</v>
      </c>
      <c r="B63" s="13" t="s">
        <v>10</v>
      </c>
      <c r="C63" s="77">
        <v>216871.60500000001</v>
      </c>
      <c r="D63" s="77">
        <v>227136.96</v>
      </c>
      <c r="E63" s="77">
        <v>237197.14199999999</v>
      </c>
      <c r="F63" s="77">
        <v>237513.60000000001</v>
      </c>
      <c r="G63" s="77">
        <v>242461.8</v>
      </c>
      <c r="H63" s="77">
        <v>237513.60000000001</v>
      </c>
      <c r="I63" s="77">
        <v>270109.89</v>
      </c>
      <c r="J63" s="77">
        <v>273646.59299999999</v>
      </c>
      <c r="K63" s="77">
        <v>299302.93800000002</v>
      </c>
      <c r="L63" s="10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">
      <c r="A64" s="13" t="s">
        <v>30</v>
      </c>
      <c r="B64" s="13" t="s">
        <v>11</v>
      </c>
      <c r="C64" s="77">
        <v>8193.75</v>
      </c>
      <c r="D64" s="77">
        <v>9147.6</v>
      </c>
      <c r="E64" s="77">
        <v>9367.3799999999992</v>
      </c>
      <c r="F64" s="77">
        <v>9711.9</v>
      </c>
      <c r="G64" s="77">
        <v>9754.56</v>
      </c>
      <c r="H64" s="77">
        <v>10051.200000000001</v>
      </c>
      <c r="I64" s="77">
        <v>10231.5</v>
      </c>
      <c r="J64" s="77">
        <v>10627.2</v>
      </c>
      <c r="K64" s="77">
        <v>10801.5</v>
      </c>
      <c r="L64" s="10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">
      <c r="A65" s="13" t="s">
        <v>30</v>
      </c>
      <c r="B65" s="13" t="s">
        <v>12</v>
      </c>
      <c r="C65" s="79">
        <v>0.66500000000000004</v>
      </c>
      <c r="D65" s="80">
        <v>0.49</v>
      </c>
      <c r="E65" s="80">
        <v>0.47499999999999998</v>
      </c>
      <c r="F65" s="80">
        <v>0.3839999999999999</v>
      </c>
      <c r="G65" s="80">
        <v>0.19599999999999995</v>
      </c>
      <c r="H65" s="80">
        <v>0.28500000000000003</v>
      </c>
      <c r="I65" s="79">
        <v>0.67899999999999994</v>
      </c>
      <c r="J65" s="80">
        <v>0.49</v>
      </c>
      <c r="K65" s="80">
        <v>0.29100000000000004</v>
      </c>
      <c r="L65" s="11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">
      <c r="A66" s="13" t="s">
        <v>30</v>
      </c>
      <c r="B66" s="13" t="s">
        <v>13</v>
      </c>
      <c r="C66" s="80">
        <v>1.9674500000000001</v>
      </c>
      <c r="D66" s="80">
        <v>2.0502899999999999</v>
      </c>
      <c r="E66" s="80">
        <v>1.9992000000000001</v>
      </c>
      <c r="F66" s="80">
        <v>2.1384000000000003</v>
      </c>
      <c r="G66" s="80">
        <v>2.2203300000000006</v>
      </c>
      <c r="H66" s="80">
        <v>2.2215599999999998</v>
      </c>
      <c r="I66" s="80">
        <v>1.8422399999999999</v>
      </c>
      <c r="J66" s="80">
        <v>1.8798599999999999</v>
      </c>
      <c r="K66" s="80">
        <v>2.016</v>
      </c>
      <c r="L66" s="11"/>
    </row>
    <row r="67" spans="1:35" x14ac:dyDescent="0.2">
      <c r="A67" s="14" t="s">
        <v>30</v>
      </c>
      <c r="B67" s="14" t="s">
        <v>14</v>
      </c>
      <c r="C67" s="80">
        <v>2.3765000000000001</v>
      </c>
      <c r="D67" s="80">
        <v>2.4960000000000004</v>
      </c>
      <c r="E67" s="80">
        <v>2.4989999999999997</v>
      </c>
      <c r="F67" s="80">
        <v>2.5175000000000001</v>
      </c>
      <c r="G67" s="80">
        <v>2.6190000000000002</v>
      </c>
      <c r="H67" s="80">
        <v>2.8420000000000001</v>
      </c>
      <c r="I67" s="80">
        <v>2.8420000000000001</v>
      </c>
      <c r="J67" s="80">
        <v>2.4700000000000002</v>
      </c>
      <c r="K67" s="80">
        <v>2.8420000000000001</v>
      </c>
      <c r="L67" s="11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">
      <c r="A68" s="14" t="s">
        <v>30</v>
      </c>
      <c r="B68" s="14" t="s">
        <v>15</v>
      </c>
      <c r="C68" s="80">
        <v>1.94</v>
      </c>
      <c r="D68" s="80">
        <v>1.33</v>
      </c>
      <c r="E68" s="80">
        <v>2.85</v>
      </c>
      <c r="F68" s="80">
        <v>1.92</v>
      </c>
      <c r="G68" s="80">
        <v>2.97</v>
      </c>
      <c r="H68" s="80">
        <v>1.98</v>
      </c>
      <c r="I68" s="80">
        <v>2.4</v>
      </c>
      <c r="J68" s="80">
        <v>1.5520000000000003</v>
      </c>
      <c r="K68" s="80">
        <v>1.44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">
      <c r="C69" s="50"/>
      <c r="D69" s="50"/>
      <c r="E69" s="50"/>
      <c r="F69" s="50"/>
      <c r="G69" s="50"/>
      <c r="H69" s="50"/>
      <c r="I69" s="50"/>
      <c r="J69" s="50"/>
      <c r="K69" s="50"/>
    </row>
    <row r="70" spans="1:35" x14ac:dyDescent="0.2">
      <c r="G70" s="51"/>
      <c r="H70" s="51"/>
      <c r="I70" s="51"/>
      <c r="J70" s="51"/>
      <c r="K70" s="51"/>
    </row>
    <row r="71" spans="1:35" x14ac:dyDescent="0.2">
      <c r="G71" s="50"/>
      <c r="H71" s="50"/>
      <c r="I71" s="50"/>
      <c r="J71" s="50"/>
      <c r="K71" s="50"/>
    </row>
    <row r="72" spans="1:35" x14ac:dyDescent="0.2">
      <c r="G72" s="50"/>
      <c r="H72" s="50"/>
      <c r="I72" s="50"/>
      <c r="J72" s="50"/>
      <c r="K72" s="50"/>
    </row>
    <row r="73" spans="1:35" x14ac:dyDescent="0.2">
      <c r="G73" s="50"/>
      <c r="H73" s="50"/>
      <c r="I73" s="50"/>
      <c r="J73" s="50"/>
      <c r="K73" s="50"/>
    </row>
    <row r="74" spans="1:35" x14ac:dyDescent="0.2">
      <c r="G74" s="50"/>
      <c r="H74" s="50"/>
      <c r="I74" s="50"/>
      <c r="J74" s="50"/>
      <c r="K74" s="50"/>
    </row>
    <row r="75" spans="1:35" x14ac:dyDescent="0.2">
      <c r="G75" s="50"/>
      <c r="H75" s="50"/>
      <c r="I75" s="50"/>
      <c r="J75" s="50"/>
      <c r="K75" s="50"/>
    </row>
    <row r="76" spans="1:35" x14ac:dyDescent="0.2">
      <c r="G76" s="50"/>
      <c r="H76" s="50"/>
      <c r="I76" s="50"/>
      <c r="J76" s="50"/>
      <c r="K76" s="50"/>
    </row>
    <row r="77" spans="1:35" x14ac:dyDescent="0.2">
      <c r="G77" s="50"/>
      <c r="H77" s="50"/>
      <c r="I77" s="50"/>
      <c r="J77" s="50"/>
      <c r="K77" s="50"/>
    </row>
    <row r="78" spans="1:35" x14ac:dyDescent="0.2">
      <c r="G78" s="50"/>
      <c r="H78" s="50"/>
      <c r="I78" s="50"/>
      <c r="J78" s="50"/>
      <c r="K78" s="50"/>
    </row>
    <row r="79" spans="1:35" x14ac:dyDescent="0.2">
      <c r="G79" s="50"/>
      <c r="H79" s="50"/>
      <c r="I79" s="50"/>
      <c r="J79" s="50"/>
      <c r="K79" s="50"/>
    </row>
    <row r="80" spans="1:35" x14ac:dyDescent="0.2">
      <c r="G80" s="50"/>
      <c r="H80" s="50"/>
      <c r="I80" s="50"/>
      <c r="J80" s="50"/>
      <c r="K80" s="50"/>
    </row>
    <row r="81" spans="7:11" x14ac:dyDescent="0.2">
      <c r="G81" s="50"/>
      <c r="H81" s="50"/>
      <c r="I81" s="50"/>
      <c r="J81" s="50"/>
      <c r="K81" s="50"/>
    </row>
    <row r="82" spans="7:11" x14ac:dyDescent="0.2">
      <c r="G82" s="50"/>
      <c r="H82" s="50"/>
      <c r="I82" s="50"/>
      <c r="J82" s="50"/>
      <c r="K82" s="50"/>
    </row>
    <row r="83" spans="7:11" x14ac:dyDescent="0.2">
      <c r="G83" s="50"/>
      <c r="H83" s="50"/>
      <c r="I83" s="50"/>
      <c r="J83" s="50"/>
      <c r="K83" s="50"/>
    </row>
    <row r="84" spans="7:11" x14ac:dyDescent="0.2">
      <c r="G84" s="50"/>
      <c r="H84" s="50"/>
      <c r="I84" s="50"/>
      <c r="J84" s="50"/>
      <c r="K84" s="50"/>
    </row>
    <row r="85" spans="7:11" x14ac:dyDescent="0.2">
      <c r="G85" s="50"/>
      <c r="H85" s="50"/>
      <c r="I85" s="50"/>
      <c r="J85" s="50"/>
      <c r="K85" s="50"/>
    </row>
    <row r="86" spans="7:11" x14ac:dyDescent="0.2">
      <c r="G86" s="50"/>
      <c r="H86" s="50"/>
      <c r="I86" s="50"/>
      <c r="J86" s="50"/>
      <c r="K86" s="50"/>
    </row>
    <row r="87" spans="7:11" x14ac:dyDescent="0.2">
      <c r="G87" s="50"/>
      <c r="H87" s="50"/>
      <c r="I87" s="50"/>
      <c r="J87" s="50"/>
      <c r="K87" s="50"/>
    </row>
    <row r="88" spans="7:11" x14ac:dyDescent="0.2">
      <c r="G88" s="50"/>
      <c r="H88" s="50"/>
      <c r="I88" s="50"/>
      <c r="J88" s="50"/>
      <c r="K88" s="50"/>
    </row>
    <row r="89" spans="7:11" x14ac:dyDescent="0.2">
      <c r="G89" s="50"/>
      <c r="H89" s="50"/>
      <c r="I89" s="50"/>
      <c r="J89" s="50"/>
      <c r="K89" s="50"/>
    </row>
    <row r="90" spans="7:11" x14ac:dyDescent="0.2">
      <c r="G90" s="50"/>
      <c r="H90" s="50"/>
      <c r="I90" s="50"/>
      <c r="J90" s="50"/>
      <c r="K90" s="50"/>
    </row>
    <row r="91" spans="7:11" x14ac:dyDescent="0.2">
      <c r="G91" s="50"/>
      <c r="H91" s="50"/>
      <c r="I91" s="50"/>
      <c r="J91" s="50"/>
      <c r="K91" s="50"/>
    </row>
    <row r="92" spans="7:11" x14ac:dyDescent="0.2">
      <c r="G92" s="50"/>
      <c r="H92" s="50"/>
      <c r="I92" s="50"/>
      <c r="J92" s="50"/>
      <c r="K92" s="50"/>
    </row>
    <row r="93" spans="7:11" x14ac:dyDescent="0.2">
      <c r="G93" s="50"/>
      <c r="H93" s="50"/>
      <c r="I93" s="50"/>
      <c r="J93" s="50"/>
      <c r="K93" s="50"/>
    </row>
    <row r="94" spans="7:11" x14ac:dyDescent="0.2">
      <c r="G94" s="50"/>
      <c r="H94" s="50"/>
      <c r="I94" s="50"/>
      <c r="J94" s="50"/>
      <c r="K94" s="50"/>
    </row>
    <row r="95" spans="7:11" x14ac:dyDescent="0.2">
      <c r="G95" s="50"/>
      <c r="H95" s="50"/>
      <c r="I95" s="50"/>
      <c r="J95" s="50"/>
      <c r="K95" s="50"/>
    </row>
    <row r="96" spans="7:11" x14ac:dyDescent="0.2">
      <c r="G96" s="50"/>
      <c r="H96" s="50"/>
      <c r="I96" s="50"/>
      <c r="J96" s="50"/>
      <c r="K96" s="50"/>
    </row>
    <row r="97" spans="7:11" x14ac:dyDescent="0.2">
      <c r="G97" s="50"/>
      <c r="H97" s="50"/>
      <c r="I97" s="50"/>
      <c r="J97" s="50"/>
      <c r="K97" s="50"/>
    </row>
    <row r="98" spans="7:11" x14ac:dyDescent="0.2">
      <c r="G98" s="50"/>
      <c r="H98" s="50"/>
      <c r="I98" s="50"/>
      <c r="J98" s="50"/>
      <c r="K98" s="50"/>
    </row>
    <row r="99" spans="7:11" x14ac:dyDescent="0.2">
      <c r="G99" s="50"/>
      <c r="H99" s="50"/>
      <c r="I99" s="50"/>
      <c r="J99" s="50"/>
      <c r="K99" s="50"/>
    </row>
    <row r="100" spans="7:11" x14ac:dyDescent="0.2">
      <c r="G100" s="50"/>
      <c r="H100" s="50"/>
      <c r="I100" s="50"/>
      <c r="J100" s="50"/>
      <c r="K100" s="50"/>
    </row>
    <row r="101" spans="7:11" x14ac:dyDescent="0.2">
      <c r="G101" s="50"/>
      <c r="H101" s="50"/>
      <c r="I101" s="50"/>
      <c r="J101" s="50"/>
      <c r="K101" s="50"/>
    </row>
    <row r="102" spans="7:11" x14ac:dyDescent="0.2">
      <c r="G102" s="50"/>
      <c r="H102" s="50"/>
      <c r="I102" s="50"/>
      <c r="J102" s="50"/>
      <c r="K102" s="50"/>
    </row>
    <row r="103" spans="7:11" x14ac:dyDescent="0.2">
      <c r="G103" s="50"/>
      <c r="H103" s="50"/>
      <c r="I103" s="50"/>
      <c r="J103" s="50"/>
      <c r="K103" s="50"/>
    </row>
    <row r="104" spans="7:11" x14ac:dyDescent="0.2">
      <c r="G104" s="50"/>
      <c r="H104" s="50"/>
      <c r="I104" s="50"/>
      <c r="J104" s="50"/>
      <c r="K104" s="50"/>
    </row>
    <row r="105" spans="7:11" x14ac:dyDescent="0.2">
      <c r="G105" s="50"/>
      <c r="H105" s="50"/>
      <c r="I105" s="50"/>
      <c r="J105" s="50"/>
      <c r="K105" s="50"/>
    </row>
    <row r="106" spans="7:11" x14ac:dyDescent="0.2">
      <c r="G106" s="50"/>
      <c r="H106" s="50"/>
      <c r="I106" s="50"/>
      <c r="J106" s="50"/>
      <c r="K106" s="50"/>
    </row>
    <row r="107" spans="7:11" x14ac:dyDescent="0.2">
      <c r="G107" s="50"/>
      <c r="H107" s="50"/>
      <c r="I107" s="50"/>
      <c r="J107" s="50"/>
      <c r="K107" s="50"/>
    </row>
    <row r="108" spans="7:11" x14ac:dyDescent="0.2">
      <c r="G108" s="50"/>
      <c r="H108" s="50"/>
      <c r="I108" s="50"/>
      <c r="J108" s="50"/>
      <c r="K108" s="50"/>
    </row>
    <row r="109" spans="7:11" x14ac:dyDescent="0.2">
      <c r="G109" s="50"/>
      <c r="H109" s="50"/>
      <c r="I109" s="50"/>
      <c r="J109" s="50"/>
      <c r="K109" s="50"/>
    </row>
    <row r="119" spans="7:7" x14ac:dyDescent="0.2">
      <c r="G119" s="9"/>
    </row>
    <row r="120" spans="7:7" x14ac:dyDescent="0.2">
      <c r="G120" s="9"/>
    </row>
    <row r="121" spans="7:7" x14ac:dyDescent="0.2">
      <c r="G121" s="9"/>
    </row>
    <row r="122" spans="7:7" x14ac:dyDescent="0.2">
      <c r="G122" s="9"/>
    </row>
    <row r="123" spans="7:7" x14ac:dyDescent="0.2">
      <c r="G123" s="9"/>
    </row>
    <row r="125" spans="7:7" x14ac:dyDescent="0.2">
      <c r="G125" s="9"/>
    </row>
    <row r="126" spans="7:7" x14ac:dyDescent="0.2">
      <c r="G126" s="9"/>
    </row>
    <row r="127" spans="7:7" x14ac:dyDescent="0.2">
      <c r="G127" s="9"/>
    </row>
    <row r="128" spans="7:7" x14ac:dyDescent="0.2">
      <c r="G128" s="9"/>
    </row>
    <row r="129" spans="7:7" x14ac:dyDescent="0.2">
      <c r="G129" s="9"/>
    </row>
    <row r="131" spans="7:7" x14ac:dyDescent="0.2">
      <c r="G131" s="8"/>
    </row>
    <row r="132" spans="7:7" x14ac:dyDescent="0.2">
      <c r="G132" s="8"/>
    </row>
    <row r="133" spans="7:7" x14ac:dyDescent="0.2">
      <c r="G133" s="8"/>
    </row>
    <row r="134" spans="7:7" x14ac:dyDescent="0.2">
      <c r="G134" s="8"/>
    </row>
    <row r="135" spans="7:7" x14ac:dyDescent="0.2">
      <c r="G135" s="8"/>
    </row>
    <row r="179" spans="3:3" x14ac:dyDescent="0.2">
      <c r="C179" s="76"/>
    </row>
    <row r="180" spans="3:3" x14ac:dyDescent="0.2">
      <c r="C180" s="76"/>
    </row>
    <row r="181" spans="3:3" x14ac:dyDescent="0.2">
      <c r="C181" s="76"/>
    </row>
    <row r="182" spans="3:3" x14ac:dyDescent="0.2">
      <c r="C182" s="76"/>
    </row>
    <row r="183" spans="3:3" x14ac:dyDescent="0.2">
      <c r="C183" s="76"/>
    </row>
    <row r="184" spans="3:3" x14ac:dyDescent="0.2">
      <c r="C184" s="76"/>
    </row>
    <row r="185" spans="3:3" x14ac:dyDescent="0.2">
      <c r="C185" s="76"/>
    </row>
    <row r="186" spans="3:3" x14ac:dyDescent="0.2">
      <c r="C186" s="76"/>
    </row>
    <row r="187" spans="3:3" x14ac:dyDescent="0.2">
      <c r="C187" s="76"/>
    </row>
  </sheetData>
  <conditionalFormatting sqref="C2:H17 I3:K17">
    <cfRule type="expression" dxfId="13" priority="7" stopIfTrue="1">
      <formula>IF(#REF!=#REF!,1,0)</formula>
    </cfRule>
  </conditionalFormatting>
  <conditionalFormatting sqref="I2:K2">
    <cfRule type="expression" dxfId="12" priority="6" stopIfTrue="1">
      <formula>IF(#REF!=#REF!,1,0)</formula>
    </cfRule>
  </conditionalFormatting>
  <conditionalFormatting sqref="C19:K34">
    <cfRule type="expression" dxfId="11" priority="5" stopIfTrue="1">
      <formula>IF(#REF!=#REF!,1,0)</formula>
    </cfRule>
  </conditionalFormatting>
  <conditionalFormatting sqref="I37:K51 C36:H51">
    <cfRule type="expression" dxfId="10" priority="4" stopIfTrue="1">
      <formula>IF(#REF!=#REF!,1,0)</formula>
    </cfRule>
  </conditionalFormatting>
  <conditionalFormatting sqref="I36:K36">
    <cfRule type="expression" dxfId="9" priority="3" stopIfTrue="1">
      <formula>IF(#REF!=#REF!,1,0)</formula>
    </cfRule>
  </conditionalFormatting>
  <conditionalFormatting sqref="I54:K68 C53:H68">
    <cfRule type="expression" dxfId="8" priority="2" stopIfTrue="1">
      <formula>IF(#REF!=#REF!,1,0)</formula>
    </cfRule>
  </conditionalFormatting>
  <conditionalFormatting sqref="I53:K53">
    <cfRule type="expression" dxfId="7" priority="1" stopIfTrue="1">
      <formula>IF(#REF!=#REF!,1,0)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4" tint="-0.249977111117893"/>
  </sheetPr>
  <dimension ref="A1:D5"/>
  <sheetViews>
    <sheetView workbookViewId="0">
      <selection activeCell="H17" sqref="H17"/>
    </sheetView>
  </sheetViews>
  <sheetFormatPr defaultRowHeight="12.75" x14ac:dyDescent="0.2"/>
  <sheetData>
    <row r="1" spans="1:4" x14ac:dyDescent="0.2">
      <c r="A1" s="96" t="s">
        <v>73</v>
      </c>
      <c r="B1" s="96" t="s">
        <v>69</v>
      </c>
      <c r="C1" s="75" t="s">
        <v>70</v>
      </c>
      <c r="D1" s="75" t="s">
        <v>71</v>
      </c>
    </row>
    <row r="2" spans="1:4" x14ac:dyDescent="0.2">
      <c r="A2" t="s">
        <v>72</v>
      </c>
      <c r="B2" s="71" t="s">
        <v>17</v>
      </c>
      <c r="C2">
        <v>0.87</v>
      </c>
      <c r="D2">
        <v>0.83</v>
      </c>
    </row>
    <row r="3" spans="1:4" x14ac:dyDescent="0.2">
      <c r="A3" t="s">
        <v>72</v>
      </c>
      <c r="B3" s="13" t="s">
        <v>28</v>
      </c>
      <c r="C3">
        <v>0.8</v>
      </c>
      <c r="D3">
        <v>0.85</v>
      </c>
    </row>
    <row r="4" spans="1:4" x14ac:dyDescent="0.2">
      <c r="A4" t="s">
        <v>72</v>
      </c>
      <c r="B4" s="13" t="s">
        <v>29</v>
      </c>
      <c r="C4">
        <v>0.88</v>
      </c>
      <c r="D4">
        <v>0.92</v>
      </c>
    </row>
    <row r="5" spans="1:4" x14ac:dyDescent="0.2">
      <c r="A5" t="s">
        <v>72</v>
      </c>
      <c r="B5" s="13" t="s">
        <v>30</v>
      </c>
      <c r="C5">
        <v>0.83</v>
      </c>
      <c r="D5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 tint="-0.249977111117893"/>
  </sheetPr>
  <dimension ref="A1:M9"/>
  <sheetViews>
    <sheetView workbookViewId="0">
      <selection activeCell="C1" sqref="C1:M1"/>
    </sheetView>
  </sheetViews>
  <sheetFormatPr defaultRowHeight="12.75" x14ac:dyDescent="0.2"/>
  <cols>
    <col min="1" max="1" width="10.5703125" bestFit="1" customWidth="1"/>
  </cols>
  <sheetData>
    <row r="1" spans="1:13" x14ac:dyDescent="0.2">
      <c r="A1" s="73" t="s">
        <v>67</v>
      </c>
      <c r="B1" s="73" t="s">
        <v>68</v>
      </c>
      <c r="C1" s="73" t="str">
        <f t="array" ref="C1:M1">TRANSPOSE(Lists!D2:D12)</f>
        <v>FY 10</v>
      </c>
      <c r="D1" s="73" t="str">
        <v>FY 11</v>
      </c>
      <c r="E1" s="75" t="str">
        <v>FY 12</v>
      </c>
      <c r="F1" s="75" t="str">
        <v>FY 13</v>
      </c>
      <c r="G1" s="75" t="str">
        <v>FY 14</v>
      </c>
      <c r="H1" s="75" t="str">
        <v>FY 15</v>
      </c>
      <c r="I1" s="75" t="str">
        <v>FY 16</v>
      </c>
      <c r="J1" s="75" t="str">
        <v>FY 17</v>
      </c>
      <c r="K1" s="75" t="str">
        <v>FY 18</v>
      </c>
      <c r="L1" s="75" t="str">
        <v>FY 19</v>
      </c>
      <c r="M1" s="75" t="str">
        <v>FY 20</v>
      </c>
    </row>
    <row r="2" spans="1:13" x14ac:dyDescent="0.2">
      <c r="A2" s="1" t="s">
        <v>65</v>
      </c>
      <c r="B2" s="13" t="s">
        <v>17</v>
      </c>
      <c r="C2" s="107">
        <v>-416.16</v>
      </c>
      <c r="D2" s="107">
        <v>-234.78</v>
      </c>
      <c r="E2">
        <v>-612</v>
      </c>
      <c r="F2">
        <v>-511</v>
      </c>
      <c r="G2">
        <v>-408</v>
      </c>
      <c r="H2">
        <v>-301</v>
      </c>
      <c r="I2">
        <v>-354</v>
      </c>
      <c r="J2">
        <v>-102</v>
      </c>
      <c r="K2">
        <v>-408</v>
      </c>
      <c r="L2">
        <v>-102</v>
      </c>
      <c r="M2">
        <v>-321</v>
      </c>
    </row>
    <row r="3" spans="1:13" x14ac:dyDescent="0.2">
      <c r="A3" t="s">
        <v>66</v>
      </c>
      <c r="B3" s="13" t="s">
        <v>17</v>
      </c>
      <c r="C3" s="107">
        <v>599.76</v>
      </c>
      <c r="D3" s="107">
        <v>264.47999999999996</v>
      </c>
      <c r="E3">
        <v>408</v>
      </c>
      <c r="F3">
        <v>514</v>
      </c>
      <c r="G3">
        <v>612</v>
      </c>
      <c r="H3">
        <v>232</v>
      </c>
      <c r="I3">
        <v>387</v>
      </c>
      <c r="J3">
        <v>418</v>
      </c>
      <c r="K3">
        <v>714</v>
      </c>
      <c r="L3">
        <v>517</v>
      </c>
      <c r="M3">
        <v>411</v>
      </c>
    </row>
    <row r="4" spans="1:13" x14ac:dyDescent="0.2">
      <c r="A4" t="s">
        <v>65</v>
      </c>
      <c r="B4" s="13" t="s">
        <v>28</v>
      </c>
      <c r="C4" s="107">
        <v>-313.04000000000002</v>
      </c>
      <c r="D4" s="107">
        <v>-189.72</v>
      </c>
      <c r="E4">
        <v>-816</v>
      </c>
      <c r="F4">
        <v>-301</v>
      </c>
      <c r="G4">
        <v>-301</v>
      </c>
      <c r="H4">
        <v>-204</v>
      </c>
      <c r="I4">
        <v>-354</v>
      </c>
      <c r="J4">
        <v>-204</v>
      </c>
      <c r="K4">
        <v>-612</v>
      </c>
      <c r="L4">
        <v>-102</v>
      </c>
      <c r="M4">
        <v>-102</v>
      </c>
    </row>
    <row r="5" spans="1:13" x14ac:dyDescent="0.2">
      <c r="A5" t="s">
        <v>66</v>
      </c>
      <c r="B5" s="13" t="s">
        <v>28</v>
      </c>
      <c r="C5" s="107">
        <v>278.88</v>
      </c>
      <c r="D5" s="107">
        <v>220.89999999999998</v>
      </c>
      <c r="E5">
        <v>612</v>
      </c>
      <c r="F5">
        <v>714</v>
      </c>
      <c r="G5">
        <v>332</v>
      </c>
      <c r="H5">
        <v>235</v>
      </c>
      <c r="I5">
        <v>519</v>
      </c>
      <c r="J5">
        <v>412</v>
      </c>
      <c r="K5">
        <v>1020</v>
      </c>
      <c r="L5">
        <v>1122</v>
      </c>
      <c r="M5">
        <v>714</v>
      </c>
    </row>
    <row r="6" spans="1:13" x14ac:dyDescent="0.2">
      <c r="A6" t="s">
        <v>65</v>
      </c>
      <c r="B6" s="13" t="s">
        <v>29</v>
      </c>
      <c r="C6" s="107">
        <v>-233.22</v>
      </c>
      <c r="D6" s="107">
        <v>-357.12</v>
      </c>
      <c r="E6">
        <v>-714</v>
      </c>
      <c r="F6">
        <v>-312</v>
      </c>
      <c r="G6">
        <v>-299</v>
      </c>
      <c r="H6">
        <v>-288</v>
      </c>
      <c r="I6">
        <v>-204</v>
      </c>
      <c r="J6">
        <v>-354</v>
      </c>
      <c r="K6">
        <v>-354</v>
      </c>
      <c r="L6">
        <v>-102</v>
      </c>
      <c r="M6">
        <v>-102</v>
      </c>
    </row>
    <row r="7" spans="1:13" x14ac:dyDescent="0.2">
      <c r="A7" t="s">
        <v>66</v>
      </c>
      <c r="B7" s="13" t="s">
        <v>29</v>
      </c>
      <c r="C7" s="107">
        <v>473.28</v>
      </c>
      <c r="D7" s="107">
        <v>705.18</v>
      </c>
      <c r="E7">
        <v>455</v>
      </c>
      <c r="F7">
        <v>1122</v>
      </c>
      <c r="G7">
        <v>408</v>
      </c>
      <c r="H7">
        <v>511</v>
      </c>
      <c r="I7">
        <v>432</v>
      </c>
      <c r="J7">
        <v>612</v>
      </c>
      <c r="K7">
        <v>918</v>
      </c>
      <c r="L7">
        <v>1428</v>
      </c>
      <c r="M7">
        <v>714</v>
      </c>
    </row>
    <row r="8" spans="1:13" x14ac:dyDescent="0.2">
      <c r="A8" t="s">
        <v>65</v>
      </c>
      <c r="B8" s="13" t="s">
        <v>30</v>
      </c>
      <c r="C8" s="107">
        <v>-534.48</v>
      </c>
      <c r="D8" s="107">
        <v>-240.8</v>
      </c>
      <c r="E8">
        <v>-408</v>
      </c>
      <c r="F8">
        <v>-301</v>
      </c>
      <c r="G8">
        <v>-408</v>
      </c>
      <c r="H8">
        <v>-301</v>
      </c>
      <c r="I8">
        <v>-298</v>
      </c>
      <c r="J8">
        <v>-300</v>
      </c>
      <c r="K8">
        <v>-204</v>
      </c>
      <c r="L8">
        <v>-102</v>
      </c>
      <c r="M8">
        <v>-204</v>
      </c>
    </row>
    <row r="9" spans="1:13" x14ac:dyDescent="0.2">
      <c r="A9" t="s">
        <v>66</v>
      </c>
      <c r="B9" s="13" t="s">
        <v>30</v>
      </c>
      <c r="C9" s="107">
        <v>369.74</v>
      </c>
      <c r="D9" s="107">
        <v>257.52000000000004</v>
      </c>
      <c r="E9">
        <v>408</v>
      </c>
      <c r="F9">
        <v>1122</v>
      </c>
      <c r="G9">
        <v>278</v>
      </c>
      <c r="H9">
        <v>232</v>
      </c>
      <c r="I9">
        <v>333</v>
      </c>
      <c r="J9">
        <v>816</v>
      </c>
      <c r="K9">
        <v>714</v>
      </c>
      <c r="L9">
        <v>530</v>
      </c>
      <c r="M9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249977111117893"/>
  </sheetPr>
  <dimension ref="A1:N10"/>
  <sheetViews>
    <sheetView workbookViewId="0">
      <selection activeCell="F41" sqref="F41"/>
    </sheetView>
  </sheetViews>
  <sheetFormatPr defaultRowHeight="12.75" x14ac:dyDescent="0.2"/>
  <sheetData>
    <row r="1" spans="1:14" x14ac:dyDescent="0.2">
      <c r="A1" s="96" t="s">
        <v>92</v>
      </c>
      <c r="B1" s="96" t="s">
        <v>91</v>
      </c>
      <c r="C1" s="75" t="s">
        <v>79</v>
      </c>
      <c r="D1" s="75" t="s">
        <v>80</v>
      </c>
      <c r="E1" s="75" t="s">
        <v>81</v>
      </c>
      <c r="F1" s="75" t="s">
        <v>82</v>
      </c>
      <c r="G1" s="75" t="s">
        <v>83</v>
      </c>
      <c r="H1" s="75" t="s">
        <v>84</v>
      </c>
      <c r="I1" s="75" t="s">
        <v>85</v>
      </c>
      <c r="J1" s="75" t="s">
        <v>86</v>
      </c>
      <c r="K1" s="75" t="s">
        <v>87</v>
      </c>
      <c r="L1" s="75" t="s">
        <v>88</v>
      </c>
      <c r="M1" s="75" t="s">
        <v>89</v>
      </c>
      <c r="N1" s="75" t="s">
        <v>90</v>
      </c>
    </row>
    <row r="2" spans="1:14" x14ac:dyDescent="0.2">
      <c r="A2" s="5" t="s">
        <v>71</v>
      </c>
      <c r="B2" s="71" t="s">
        <v>17</v>
      </c>
      <c r="C2" s="11">
        <v>7.7616000000000005</v>
      </c>
      <c r="D2" s="11">
        <v>9.7944000000000031</v>
      </c>
      <c r="E2" s="11">
        <v>7.4844000000000017</v>
      </c>
      <c r="F2" s="11">
        <v>10.348800000000002</v>
      </c>
      <c r="G2" s="11">
        <v>9.3324000000000016</v>
      </c>
      <c r="H2" s="11">
        <v>9.9792000000000023</v>
      </c>
      <c r="I2" s="11">
        <v>8.5008000000000017</v>
      </c>
      <c r="J2" s="11">
        <v>10.348800000000002</v>
      </c>
      <c r="K2" s="11">
        <v>8.6856000000000009</v>
      </c>
      <c r="L2" s="11">
        <v>7.9464000000000006</v>
      </c>
      <c r="M2" s="11">
        <v>8.4084000000000021</v>
      </c>
      <c r="N2" s="11">
        <v>8.7780000000000005</v>
      </c>
    </row>
    <row r="3" spans="1:14" x14ac:dyDescent="0.2">
      <c r="A3" s="5" t="s">
        <v>71</v>
      </c>
      <c r="B3" s="13" t="s">
        <v>28</v>
      </c>
      <c r="C3" s="11">
        <v>7.7000000000000011</v>
      </c>
      <c r="D3" s="11">
        <v>8.9133000000000013</v>
      </c>
      <c r="E3" s="11">
        <v>6.5846</v>
      </c>
      <c r="F3" s="11">
        <v>8.9936000000000007</v>
      </c>
      <c r="G3" s="11">
        <v>8.9133000000000013</v>
      </c>
      <c r="H3" s="11">
        <v>9.0739000000000001</v>
      </c>
      <c r="I3" s="11">
        <v>7.6284999999999998</v>
      </c>
      <c r="J3" s="11">
        <v>8.9133000000000013</v>
      </c>
      <c r="K3" s="11">
        <v>6.6648999999999994</v>
      </c>
      <c r="L3" s="11">
        <v>6.5043000000000006</v>
      </c>
      <c r="M3" s="11">
        <v>8.270900000000001</v>
      </c>
      <c r="N3" s="11">
        <v>8.5921000000000003</v>
      </c>
    </row>
    <row r="4" spans="1:14" x14ac:dyDescent="0.2">
      <c r="A4" s="5" t="s">
        <v>71</v>
      </c>
      <c r="B4" s="13" t="s">
        <v>29</v>
      </c>
      <c r="C4" s="11">
        <v>5.9344999999999999</v>
      </c>
      <c r="D4" s="11">
        <v>6.5065000000000008</v>
      </c>
      <c r="E4" s="11">
        <v>6.9355000000000002</v>
      </c>
      <c r="F4" s="11">
        <v>6.5065000000000008</v>
      </c>
      <c r="G4" s="11">
        <v>7.0070000000000006</v>
      </c>
      <c r="H4" s="11">
        <v>5.9344999999999999</v>
      </c>
      <c r="I4" s="11">
        <v>7.7935000000000016</v>
      </c>
      <c r="J4" s="11">
        <v>5.791500000000001</v>
      </c>
      <c r="K4" s="11">
        <v>7.7935000000000016</v>
      </c>
      <c r="L4" s="11">
        <v>5.791500000000001</v>
      </c>
      <c r="M4" s="11">
        <v>6.9355000000000002</v>
      </c>
      <c r="N4" s="11">
        <v>6.7925000000000004</v>
      </c>
    </row>
    <row r="5" spans="1:14" x14ac:dyDescent="0.2">
      <c r="A5" s="5" t="s">
        <v>71</v>
      </c>
      <c r="B5" s="13" t="s">
        <v>30</v>
      </c>
      <c r="C5" s="11">
        <v>8.2720000000000002</v>
      </c>
      <c r="D5" s="11">
        <v>9.3280000000000012</v>
      </c>
      <c r="E5" s="11">
        <v>8.36</v>
      </c>
      <c r="F5" s="11">
        <v>8.8000000000000007</v>
      </c>
      <c r="G5" s="11">
        <v>9.6800000000000015</v>
      </c>
      <c r="H5" s="11">
        <v>9.9439999999999991</v>
      </c>
      <c r="I5" s="11">
        <v>9.4160000000000021</v>
      </c>
      <c r="J5" s="11">
        <v>10.032</v>
      </c>
      <c r="K5" s="11">
        <v>7.128000000000001</v>
      </c>
      <c r="L5" s="11">
        <v>10.472</v>
      </c>
      <c r="M5" s="11">
        <v>10.56</v>
      </c>
      <c r="N5" s="11">
        <v>7.0400000000000009</v>
      </c>
    </row>
    <row r="7" spans="1:14" x14ac:dyDescent="0.2">
      <c r="A7" s="5" t="s">
        <v>70</v>
      </c>
      <c r="B7" s="71" t="s">
        <v>17</v>
      </c>
      <c r="C7" s="7">
        <v>6.5620800000000008</v>
      </c>
      <c r="D7" s="7">
        <v>8.2807200000000023</v>
      </c>
      <c r="E7" s="7">
        <v>6.2596800000000012</v>
      </c>
      <c r="F7" s="7">
        <v>8.4672000000000018</v>
      </c>
      <c r="G7" s="7">
        <v>7.2962400000000001</v>
      </c>
      <c r="H7" s="7">
        <v>7.3483200000000011</v>
      </c>
      <c r="I7" s="7">
        <v>6.2596800000000012</v>
      </c>
      <c r="J7" s="7">
        <v>7.5264000000000015</v>
      </c>
      <c r="K7" s="7">
        <v>6.6326399999999994</v>
      </c>
      <c r="L7" s="7">
        <v>5.9236800000000001</v>
      </c>
      <c r="M7" s="7">
        <v>6.6502800000000004</v>
      </c>
      <c r="N7" s="7">
        <v>7.5809999999999995</v>
      </c>
    </row>
    <row r="8" spans="1:14" x14ac:dyDescent="0.2">
      <c r="A8" s="5" t="s">
        <v>70</v>
      </c>
      <c r="B8" s="13" t="s">
        <v>28</v>
      </c>
      <c r="C8" s="7">
        <v>7.2</v>
      </c>
      <c r="D8" s="7">
        <v>7.3737300000000001</v>
      </c>
      <c r="E8" s="7">
        <v>6.46488</v>
      </c>
      <c r="F8" s="7">
        <v>7.6854399999999998</v>
      </c>
      <c r="G8" s="7">
        <v>7.697849999999999</v>
      </c>
      <c r="H8" s="7">
        <v>7.7540599999999982</v>
      </c>
      <c r="I8" s="7">
        <v>6.2414999999999994</v>
      </c>
      <c r="J8" s="7">
        <v>8.751240000000001</v>
      </c>
      <c r="K8" s="7">
        <v>5.5742799999999999</v>
      </c>
      <c r="L8" s="7">
        <v>5.7356100000000003</v>
      </c>
      <c r="M8" s="7">
        <v>6.7671000000000001</v>
      </c>
      <c r="N8" s="7">
        <v>7.4985599999999994</v>
      </c>
    </row>
    <row r="9" spans="1:14" x14ac:dyDescent="0.2">
      <c r="A9" s="5" t="s">
        <v>70</v>
      </c>
      <c r="B9" s="13" t="s">
        <v>29</v>
      </c>
      <c r="C9" s="7">
        <v>4.6396999999999995</v>
      </c>
      <c r="D9" s="7">
        <v>5.0277500000000002</v>
      </c>
      <c r="E9" s="7">
        <v>5.4853499999999995</v>
      </c>
      <c r="F9" s="7">
        <v>5.5600999999999994</v>
      </c>
      <c r="G9" s="7">
        <v>5.9241000000000001</v>
      </c>
      <c r="H9" s="7">
        <v>5.1252499999999994</v>
      </c>
      <c r="I9" s="7">
        <v>6.0222500000000005</v>
      </c>
      <c r="J9" s="7">
        <v>4.2646500000000005</v>
      </c>
      <c r="K9" s="7">
        <v>6.2348000000000008</v>
      </c>
      <c r="L9" s="7">
        <v>4.8438000000000008</v>
      </c>
      <c r="M9" s="7">
        <v>5.989749999999999</v>
      </c>
      <c r="N9" s="7">
        <v>5.6192500000000001</v>
      </c>
    </row>
    <row r="10" spans="1:14" x14ac:dyDescent="0.2">
      <c r="A10" s="5" t="s">
        <v>70</v>
      </c>
      <c r="B10" s="13" t="s">
        <v>30</v>
      </c>
      <c r="C10" s="7">
        <v>7.219199999999999</v>
      </c>
      <c r="D10" s="7">
        <v>8.9040000000000017</v>
      </c>
      <c r="E10" s="7">
        <v>8.4359999999999999</v>
      </c>
      <c r="F10" s="7">
        <v>7.76</v>
      </c>
      <c r="G10" s="7">
        <v>10.295999999999999</v>
      </c>
      <c r="H10" s="7">
        <v>9.3111999999999995</v>
      </c>
      <c r="I10" s="7">
        <v>9.0736000000000008</v>
      </c>
      <c r="J10" s="7">
        <v>9.3023999999999987</v>
      </c>
      <c r="K10" s="7">
        <v>6.1559999999999997</v>
      </c>
      <c r="L10" s="7">
        <v>9.1391999999999989</v>
      </c>
      <c r="M10" s="7">
        <v>8.64</v>
      </c>
      <c r="N10" s="7">
        <v>6.016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</sheetPr>
  <dimension ref="A1:E24"/>
  <sheetViews>
    <sheetView workbookViewId="0">
      <selection activeCell="B2" sqref="B2"/>
    </sheetView>
  </sheetViews>
  <sheetFormatPr defaultRowHeight="12.75" x14ac:dyDescent="0.2"/>
  <sheetData>
    <row r="1" spans="1:5" x14ac:dyDescent="0.2">
      <c r="A1" s="71" t="s">
        <v>35</v>
      </c>
      <c r="B1" s="69" t="s">
        <v>96</v>
      </c>
      <c r="C1" s="5" t="s">
        <v>94</v>
      </c>
      <c r="D1" s="5" t="s">
        <v>67</v>
      </c>
      <c r="E1" s="5" t="s">
        <v>95</v>
      </c>
    </row>
    <row r="2" spans="1:5" x14ac:dyDescent="0.2">
      <c r="A2" s="69" t="s">
        <v>17</v>
      </c>
      <c r="B2" s="69" t="s">
        <v>36</v>
      </c>
      <c r="C2" t="s">
        <v>46</v>
      </c>
      <c r="D2" t="s">
        <v>47</v>
      </c>
      <c r="E2" s="92">
        <v>5217.7951525493299</v>
      </c>
    </row>
    <row r="3" spans="1:5" x14ac:dyDescent="0.2">
      <c r="A3" s="69" t="s">
        <v>17</v>
      </c>
      <c r="B3" s="69" t="s">
        <v>36</v>
      </c>
      <c r="C3" t="s">
        <v>46</v>
      </c>
      <c r="D3" t="s">
        <v>48</v>
      </c>
      <c r="E3" s="92">
        <v>5098.3368102676704</v>
      </c>
    </row>
    <row r="4" spans="1:5" x14ac:dyDescent="0.2">
      <c r="A4" s="69" t="s">
        <v>17</v>
      </c>
      <c r="B4" s="69" t="s">
        <v>36</v>
      </c>
      <c r="C4" t="s">
        <v>49</v>
      </c>
      <c r="D4" t="s">
        <v>47</v>
      </c>
      <c r="E4" s="92">
        <v>6942.3236953118912</v>
      </c>
    </row>
    <row r="5" spans="1:5" x14ac:dyDescent="0.2">
      <c r="A5" s="69" t="s">
        <v>17</v>
      </c>
      <c r="B5" s="69" t="s">
        <v>36</v>
      </c>
      <c r="C5" t="s">
        <v>49</v>
      </c>
      <c r="D5" t="s">
        <v>48</v>
      </c>
      <c r="E5" s="92">
        <v>6973.1981852567769</v>
      </c>
    </row>
    <row r="6" spans="1:5" x14ac:dyDescent="0.2">
      <c r="A6" s="69" t="s">
        <v>17</v>
      </c>
      <c r="B6" s="69" t="s">
        <v>36</v>
      </c>
      <c r="C6" t="s">
        <v>49</v>
      </c>
      <c r="D6" s="5" t="s">
        <v>50</v>
      </c>
      <c r="E6" s="92">
        <v>6673.1981852567797</v>
      </c>
    </row>
    <row r="7" spans="1:5" x14ac:dyDescent="0.2">
      <c r="A7" s="69"/>
      <c r="B7" s="69"/>
      <c r="D7" s="5"/>
      <c r="E7" s="92"/>
    </row>
    <row r="8" spans="1:5" x14ac:dyDescent="0.2">
      <c r="A8" s="69" t="s">
        <v>28</v>
      </c>
      <c r="B8" s="69" t="s">
        <v>36</v>
      </c>
      <c r="C8" t="s">
        <v>46</v>
      </c>
      <c r="D8" t="s">
        <v>47</v>
      </c>
      <c r="E8" s="92">
        <v>1721.872400341279</v>
      </c>
    </row>
    <row r="9" spans="1:5" x14ac:dyDescent="0.2">
      <c r="A9" s="69" t="s">
        <v>28</v>
      </c>
      <c r="B9" s="69" t="s">
        <v>36</v>
      </c>
      <c r="C9" t="s">
        <v>46</v>
      </c>
      <c r="D9" t="s">
        <v>48</v>
      </c>
      <c r="E9" s="92">
        <v>1682.4511473883313</v>
      </c>
    </row>
    <row r="10" spans="1:5" x14ac:dyDescent="0.2">
      <c r="A10" s="69" t="s">
        <v>28</v>
      </c>
      <c r="B10" s="69" t="s">
        <v>36</v>
      </c>
      <c r="C10" t="s">
        <v>49</v>
      </c>
      <c r="D10" t="s">
        <v>47</v>
      </c>
      <c r="E10" s="92">
        <v>2290.966819452924</v>
      </c>
    </row>
    <row r="11" spans="1:5" x14ac:dyDescent="0.2">
      <c r="A11" s="69" t="s">
        <v>28</v>
      </c>
      <c r="B11" s="69" t="s">
        <v>36</v>
      </c>
      <c r="C11" t="s">
        <v>49</v>
      </c>
      <c r="D11" t="s">
        <v>48</v>
      </c>
      <c r="E11" s="92">
        <v>2200</v>
      </c>
    </row>
    <row r="12" spans="1:5" x14ac:dyDescent="0.2">
      <c r="A12" s="69" t="s">
        <v>28</v>
      </c>
      <c r="B12" s="69" t="s">
        <v>36</v>
      </c>
      <c r="C12" t="s">
        <v>49</v>
      </c>
      <c r="D12" s="5" t="s">
        <v>50</v>
      </c>
      <c r="E12" s="92">
        <v>2202.1554011347375</v>
      </c>
    </row>
    <row r="13" spans="1:5" x14ac:dyDescent="0.2">
      <c r="A13" s="69"/>
      <c r="B13" s="69"/>
      <c r="D13" s="5"/>
      <c r="E13" s="92"/>
    </row>
    <row r="14" spans="1:5" x14ac:dyDescent="0.2">
      <c r="A14" s="69" t="s">
        <v>29</v>
      </c>
      <c r="B14" s="69" t="s">
        <v>36</v>
      </c>
      <c r="C14" t="s">
        <v>46</v>
      </c>
      <c r="D14" t="s">
        <v>47</v>
      </c>
      <c r="E14" s="92">
        <v>1147.9149335608527</v>
      </c>
    </row>
    <row r="15" spans="1:5" x14ac:dyDescent="0.2">
      <c r="A15" s="69" t="s">
        <v>29</v>
      </c>
      <c r="B15" s="69" t="s">
        <v>36</v>
      </c>
      <c r="C15" t="s">
        <v>46</v>
      </c>
      <c r="D15" t="s">
        <v>48</v>
      </c>
      <c r="E15" s="92">
        <v>1121.6340982588874</v>
      </c>
    </row>
    <row r="16" spans="1:5" x14ac:dyDescent="0.2">
      <c r="A16" s="69" t="s">
        <v>29</v>
      </c>
      <c r="B16" s="69" t="s">
        <v>36</v>
      </c>
      <c r="C16" t="s">
        <v>49</v>
      </c>
      <c r="D16" t="s">
        <v>47</v>
      </c>
      <c r="E16" s="92">
        <v>1527.311212968616</v>
      </c>
    </row>
    <row r="17" spans="1:5" x14ac:dyDescent="0.2">
      <c r="A17" s="69" t="s">
        <v>29</v>
      </c>
      <c r="B17" s="69" t="s">
        <v>36</v>
      </c>
      <c r="C17" t="s">
        <v>49</v>
      </c>
      <c r="D17" t="s">
        <v>48</v>
      </c>
      <c r="E17" s="92">
        <v>1470</v>
      </c>
    </row>
    <row r="18" spans="1:5" x14ac:dyDescent="0.2">
      <c r="A18" s="69" t="s">
        <v>29</v>
      </c>
      <c r="B18" s="69" t="s">
        <v>36</v>
      </c>
      <c r="C18" t="s">
        <v>49</v>
      </c>
      <c r="D18" s="5" t="s">
        <v>50</v>
      </c>
      <c r="E18" s="92">
        <v>1468.1036007564915</v>
      </c>
    </row>
    <row r="19" spans="1:5" x14ac:dyDescent="0.2">
      <c r="A19" s="69"/>
      <c r="B19" s="69"/>
      <c r="D19" s="5"/>
      <c r="E19" s="92"/>
    </row>
    <row r="20" spans="1:5" x14ac:dyDescent="0.2">
      <c r="A20" s="69" t="s">
        <v>30</v>
      </c>
      <c r="B20" s="69" t="s">
        <v>36</v>
      </c>
      <c r="C20" t="s">
        <v>46</v>
      </c>
      <c r="D20" t="s">
        <v>47</v>
      </c>
      <c r="E20" s="92">
        <v>581.77951525493302</v>
      </c>
    </row>
    <row r="21" spans="1:5" x14ac:dyDescent="0.2">
      <c r="A21" s="69" t="s">
        <v>30</v>
      </c>
      <c r="B21" s="69" t="s">
        <v>36</v>
      </c>
      <c r="C21" t="s">
        <v>46</v>
      </c>
      <c r="D21" t="s">
        <v>48</v>
      </c>
      <c r="E21" s="92">
        <v>509.83368102676707</v>
      </c>
    </row>
    <row r="22" spans="1:5" x14ac:dyDescent="0.2">
      <c r="A22" s="69" t="s">
        <v>30</v>
      </c>
      <c r="B22" s="69" t="s">
        <v>36</v>
      </c>
      <c r="C22" t="s">
        <v>49</v>
      </c>
      <c r="D22" t="s">
        <v>47</v>
      </c>
      <c r="E22" s="92">
        <v>694.23236953118919</v>
      </c>
    </row>
    <row r="23" spans="1:5" x14ac:dyDescent="0.2">
      <c r="A23" s="69" t="s">
        <v>30</v>
      </c>
      <c r="B23" s="69" t="s">
        <v>36</v>
      </c>
      <c r="C23" t="s">
        <v>49</v>
      </c>
      <c r="D23" t="s">
        <v>48</v>
      </c>
      <c r="E23" s="92">
        <v>550</v>
      </c>
    </row>
    <row r="24" spans="1:5" x14ac:dyDescent="0.2">
      <c r="A24" s="69" t="s">
        <v>30</v>
      </c>
      <c r="B24" s="69" t="s">
        <v>36</v>
      </c>
      <c r="C24" t="s">
        <v>49</v>
      </c>
      <c r="D24" s="5" t="s">
        <v>50</v>
      </c>
      <c r="E24" s="92">
        <v>607.31981852567799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4" tint="-0.249977111117893"/>
  </sheetPr>
  <dimension ref="A1:C40"/>
  <sheetViews>
    <sheetView workbookViewId="0">
      <selection activeCell="C1" sqref="A1:C1"/>
    </sheetView>
  </sheetViews>
  <sheetFormatPr defaultRowHeight="12.75" x14ac:dyDescent="0.2"/>
  <cols>
    <col min="2" max="2" width="17.28515625" bestFit="1" customWidth="1"/>
  </cols>
  <sheetData>
    <row r="1" spans="1:3" x14ac:dyDescent="0.2">
      <c r="A1" s="88" t="s">
        <v>35</v>
      </c>
      <c r="B1" s="88" t="s">
        <v>59</v>
      </c>
      <c r="C1" s="88" t="s">
        <v>97</v>
      </c>
    </row>
    <row r="2" spans="1:3" x14ac:dyDescent="0.2">
      <c r="A2" s="13" t="s">
        <v>17</v>
      </c>
      <c r="B2" s="13" t="s">
        <v>51</v>
      </c>
      <c r="C2" s="93">
        <v>0.12</v>
      </c>
    </row>
    <row r="3" spans="1:3" x14ac:dyDescent="0.2">
      <c r="A3" s="13" t="s">
        <v>17</v>
      </c>
      <c r="B3" s="13" t="s">
        <v>52</v>
      </c>
      <c r="C3" s="93">
        <v>0.25</v>
      </c>
    </row>
    <row r="4" spans="1:3" x14ac:dyDescent="0.2">
      <c r="A4" s="13" t="s">
        <v>17</v>
      </c>
      <c r="B4" s="13" t="s">
        <v>53</v>
      </c>
      <c r="C4" s="93">
        <v>0.04</v>
      </c>
    </row>
    <row r="5" spans="1:3" x14ac:dyDescent="0.2">
      <c r="A5" s="13" t="s">
        <v>17</v>
      </c>
      <c r="B5" s="13" t="s">
        <v>40</v>
      </c>
      <c r="C5" s="93">
        <v>0.02</v>
      </c>
    </row>
    <row r="6" spans="1:3" x14ac:dyDescent="0.2">
      <c r="A6" s="13" t="s">
        <v>17</v>
      </c>
      <c r="B6" s="13" t="s">
        <v>54</v>
      </c>
      <c r="C6" s="93">
        <v>0.06</v>
      </c>
    </row>
    <row r="7" spans="1:3" x14ac:dyDescent="0.2">
      <c r="A7" s="13" t="s">
        <v>17</v>
      </c>
      <c r="B7" s="13" t="s">
        <v>55</v>
      </c>
      <c r="C7" s="93">
        <v>0.18</v>
      </c>
    </row>
    <row r="8" spans="1:3" x14ac:dyDescent="0.2">
      <c r="A8" s="13" t="s">
        <v>17</v>
      </c>
      <c r="B8" s="13" t="s">
        <v>56</v>
      </c>
      <c r="C8" s="93">
        <v>0.2</v>
      </c>
    </row>
    <row r="9" spans="1:3" x14ac:dyDescent="0.2">
      <c r="A9" s="13" t="s">
        <v>17</v>
      </c>
      <c r="B9" s="13" t="s">
        <v>57</v>
      </c>
      <c r="C9" s="93">
        <v>0.1</v>
      </c>
    </row>
    <row r="10" spans="1:3" x14ac:dyDescent="0.2">
      <c r="A10" s="13" t="s">
        <v>17</v>
      </c>
      <c r="B10" s="13" t="s">
        <v>58</v>
      </c>
      <c r="C10" s="93">
        <v>0.03</v>
      </c>
    </row>
    <row r="11" spans="1:3" x14ac:dyDescent="0.2">
      <c r="A11" s="1"/>
      <c r="B11" s="1"/>
      <c r="C11" s="76"/>
    </row>
    <row r="12" spans="1:3" x14ac:dyDescent="0.2">
      <c r="A12" s="13" t="s">
        <v>28</v>
      </c>
      <c r="B12" s="13" t="s">
        <v>51</v>
      </c>
      <c r="C12" s="93">
        <v>0.18</v>
      </c>
    </row>
    <row r="13" spans="1:3" x14ac:dyDescent="0.2">
      <c r="A13" s="13" t="s">
        <v>28</v>
      </c>
      <c r="B13" s="13" t="s">
        <v>52</v>
      </c>
      <c r="C13" s="93">
        <v>0.22</v>
      </c>
    </row>
    <row r="14" spans="1:3" x14ac:dyDescent="0.2">
      <c r="A14" s="13" t="s">
        <v>28</v>
      </c>
      <c r="B14" s="13" t="s">
        <v>53</v>
      </c>
      <c r="C14" s="93">
        <v>0.06</v>
      </c>
    </row>
    <row r="15" spans="1:3" x14ac:dyDescent="0.2">
      <c r="A15" s="13" t="s">
        <v>28</v>
      </c>
      <c r="B15" s="13" t="s">
        <v>40</v>
      </c>
      <c r="C15" s="93">
        <v>0.01</v>
      </c>
    </row>
    <row r="16" spans="1:3" x14ac:dyDescent="0.2">
      <c r="A16" s="13" t="s">
        <v>28</v>
      </c>
      <c r="B16" s="13" t="s">
        <v>54</v>
      </c>
      <c r="C16" s="93">
        <v>0.04</v>
      </c>
    </row>
    <row r="17" spans="1:3" x14ac:dyDescent="0.2">
      <c r="A17" s="13" t="s">
        <v>28</v>
      </c>
      <c r="B17" s="13" t="s">
        <v>55</v>
      </c>
      <c r="C17" s="93">
        <v>0.12</v>
      </c>
    </row>
    <row r="18" spans="1:3" x14ac:dyDescent="0.2">
      <c r="A18" s="13" t="s">
        <v>28</v>
      </c>
      <c r="B18" s="13" t="s">
        <v>56</v>
      </c>
      <c r="C18" s="93">
        <v>0.15</v>
      </c>
    </row>
    <row r="19" spans="1:3" x14ac:dyDescent="0.2">
      <c r="A19" s="13" t="s">
        <v>28</v>
      </c>
      <c r="B19" s="13" t="s">
        <v>57</v>
      </c>
      <c r="C19" s="93">
        <v>0.14000000000000001</v>
      </c>
    </row>
    <row r="20" spans="1:3" x14ac:dyDescent="0.2">
      <c r="A20" s="13" t="s">
        <v>28</v>
      </c>
      <c r="B20" s="13" t="s">
        <v>58</v>
      </c>
      <c r="C20" s="93">
        <v>0.08</v>
      </c>
    </row>
    <row r="21" spans="1:3" x14ac:dyDescent="0.2">
      <c r="A21" s="1"/>
      <c r="B21" s="1"/>
      <c r="C21" s="76"/>
    </row>
    <row r="22" spans="1:3" x14ac:dyDescent="0.2">
      <c r="A22" s="13" t="s">
        <v>29</v>
      </c>
      <c r="B22" s="13" t="s">
        <v>51</v>
      </c>
      <c r="C22" s="93">
        <v>0.22</v>
      </c>
    </row>
    <row r="23" spans="1:3" x14ac:dyDescent="0.2">
      <c r="A23" s="13" t="s">
        <v>29</v>
      </c>
      <c r="B23" s="13" t="s">
        <v>52</v>
      </c>
      <c r="C23" s="93">
        <v>0.3</v>
      </c>
    </row>
    <row r="24" spans="1:3" x14ac:dyDescent="0.2">
      <c r="A24" s="13" t="s">
        <v>29</v>
      </c>
      <c r="B24" s="13" t="s">
        <v>53</v>
      </c>
      <c r="C24" s="93">
        <v>0.08</v>
      </c>
    </row>
    <row r="25" spans="1:3" x14ac:dyDescent="0.2">
      <c r="A25" s="13" t="s">
        <v>29</v>
      </c>
      <c r="B25" s="13" t="s">
        <v>40</v>
      </c>
      <c r="C25" s="93">
        <v>0.01</v>
      </c>
    </row>
    <row r="26" spans="1:3" x14ac:dyDescent="0.2">
      <c r="A26" s="13" t="s">
        <v>29</v>
      </c>
      <c r="B26" s="13" t="s">
        <v>54</v>
      </c>
      <c r="C26" s="93">
        <v>0.03</v>
      </c>
    </row>
    <row r="27" spans="1:3" x14ac:dyDescent="0.2">
      <c r="A27" s="13" t="s">
        <v>29</v>
      </c>
      <c r="B27" s="13" t="s">
        <v>55</v>
      </c>
      <c r="C27" s="93">
        <v>0.06</v>
      </c>
    </row>
    <row r="28" spans="1:3" x14ac:dyDescent="0.2">
      <c r="A28" s="13" t="s">
        <v>29</v>
      </c>
      <c r="B28" s="13" t="s">
        <v>56</v>
      </c>
      <c r="C28" s="93">
        <v>0.1</v>
      </c>
    </row>
    <row r="29" spans="1:3" x14ac:dyDescent="0.2">
      <c r="A29" s="13" t="s">
        <v>29</v>
      </c>
      <c r="B29" s="13" t="s">
        <v>57</v>
      </c>
      <c r="C29" s="93">
        <v>0.12</v>
      </c>
    </row>
    <row r="30" spans="1:3" x14ac:dyDescent="0.2">
      <c r="A30" s="13" t="s">
        <v>29</v>
      </c>
      <c r="B30" s="13" t="s">
        <v>58</v>
      </c>
      <c r="C30" s="93">
        <v>0.08</v>
      </c>
    </row>
    <row r="31" spans="1:3" x14ac:dyDescent="0.2">
      <c r="A31" s="1"/>
      <c r="B31" s="1"/>
      <c r="C31" s="76"/>
    </row>
    <row r="32" spans="1:3" x14ac:dyDescent="0.2">
      <c r="A32" s="13" t="s">
        <v>30</v>
      </c>
      <c r="B32" s="13" t="s">
        <v>51</v>
      </c>
      <c r="C32" s="93">
        <v>0.27</v>
      </c>
    </row>
    <row r="33" spans="1:3" x14ac:dyDescent="0.2">
      <c r="A33" s="13" t="s">
        <v>30</v>
      </c>
      <c r="B33" s="13" t="s">
        <v>52</v>
      </c>
      <c r="C33" s="93">
        <v>0.2</v>
      </c>
    </row>
    <row r="34" spans="1:3" x14ac:dyDescent="0.2">
      <c r="A34" s="13" t="s">
        <v>30</v>
      </c>
      <c r="B34" s="13" t="s">
        <v>53</v>
      </c>
      <c r="C34" s="93">
        <v>7.0000000000000007E-2</v>
      </c>
    </row>
    <row r="35" spans="1:3" x14ac:dyDescent="0.2">
      <c r="A35" s="13" t="s">
        <v>30</v>
      </c>
      <c r="B35" s="13" t="s">
        <v>40</v>
      </c>
      <c r="C35" s="93">
        <v>0.03</v>
      </c>
    </row>
    <row r="36" spans="1:3" x14ac:dyDescent="0.2">
      <c r="A36" s="13" t="s">
        <v>30</v>
      </c>
      <c r="B36" s="13" t="s">
        <v>54</v>
      </c>
      <c r="C36" s="93">
        <v>0.03</v>
      </c>
    </row>
    <row r="37" spans="1:3" x14ac:dyDescent="0.2">
      <c r="A37" s="13" t="s">
        <v>30</v>
      </c>
      <c r="B37" s="13" t="s">
        <v>55</v>
      </c>
      <c r="C37" s="93">
        <v>0.06</v>
      </c>
    </row>
    <row r="38" spans="1:3" x14ac:dyDescent="0.2">
      <c r="A38" s="13" t="s">
        <v>30</v>
      </c>
      <c r="B38" s="13" t="s">
        <v>56</v>
      </c>
      <c r="C38" s="93">
        <v>0.14000000000000001</v>
      </c>
    </row>
    <row r="39" spans="1:3" x14ac:dyDescent="0.2">
      <c r="A39" s="13" t="s">
        <v>30</v>
      </c>
      <c r="B39" s="13" t="s">
        <v>57</v>
      </c>
      <c r="C39" s="93">
        <v>0.1</v>
      </c>
    </row>
    <row r="40" spans="1:3" x14ac:dyDescent="0.2">
      <c r="A40" s="13" t="s">
        <v>30</v>
      </c>
      <c r="B40" s="13" t="s">
        <v>58</v>
      </c>
      <c r="C40" s="9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4" tint="-0.249977111117893"/>
  </sheetPr>
  <dimension ref="A1:F129"/>
  <sheetViews>
    <sheetView workbookViewId="0">
      <selection activeCell="D123" sqref="A123:D123"/>
    </sheetView>
  </sheetViews>
  <sheetFormatPr defaultRowHeight="12.75" x14ac:dyDescent="0.2"/>
  <cols>
    <col min="1" max="1" width="16.42578125" bestFit="1" customWidth="1"/>
    <col min="2" max="2" width="24.5703125" bestFit="1" customWidth="1"/>
    <col min="3" max="11" width="11.42578125" customWidth="1"/>
  </cols>
  <sheetData>
    <row r="1" spans="1:6" x14ac:dyDescent="0.2">
      <c r="A1" s="73" t="s">
        <v>35</v>
      </c>
      <c r="B1" s="73" t="s">
        <v>61</v>
      </c>
      <c r="C1" s="74" t="s">
        <v>45</v>
      </c>
      <c r="D1" s="51"/>
      <c r="E1" s="51"/>
      <c r="F1" s="51"/>
    </row>
    <row r="2" spans="1:6" x14ac:dyDescent="0.2">
      <c r="A2" s="71" t="s">
        <v>17</v>
      </c>
      <c r="B2" s="13" t="s">
        <v>37</v>
      </c>
      <c r="C2" s="91">
        <v>166.66666666666669</v>
      </c>
      <c r="D2" s="50"/>
      <c r="E2" s="50"/>
      <c r="F2" s="50"/>
    </row>
    <row r="3" spans="1:6" x14ac:dyDescent="0.2">
      <c r="A3" s="71" t="s">
        <v>17</v>
      </c>
      <c r="B3" s="13" t="s">
        <v>38</v>
      </c>
      <c r="C3" s="91">
        <v>333.33333333333337</v>
      </c>
      <c r="D3" s="50"/>
      <c r="E3" s="50"/>
      <c r="F3" s="50"/>
    </row>
    <row r="4" spans="1:6" x14ac:dyDescent="0.2">
      <c r="A4" s="71" t="s">
        <v>17</v>
      </c>
      <c r="B4" s="13" t="s">
        <v>39</v>
      </c>
      <c r="C4" s="91">
        <v>250</v>
      </c>
      <c r="D4" s="50"/>
      <c r="E4" s="50"/>
      <c r="F4" s="50"/>
    </row>
    <row r="5" spans="1:6" x14ac:dyDescent="0.2">
      <c r="A5" s="71" t="s">
        <v>17</v>
      </c>
      <c r="B5" s="13" t="s">
        <v>40</v>
      </c>
      <c r="C5" s="91">
        <v>83.333333333333343</v>
      </c>
      <c r="D5" s="50"/>
      <c r="E5" s="50"/>
      <c r="F5" s="50"/>
    </row>
    <row r="6" spans="1:6" x14ac:dyDescent="0.2">
      <c r="A6" s="71" t="s">
        <v>17</v>
      </c>
      <c r="B6" s="13" t="s">
        <v>0</v>
      </c>
      <c r="C6" s="91">
        <v>833.33333333333337</v>
      </c>
      <c r="D6" s="50"/>
      <c r="E6" s="50"/>
      <c r="F6" s="50"/>
    </row>
    <row r="7" spans="1:6" x14ac:dyDescent="0.2">
      <c r="A7" s="71" t="s">
        <v>17</v>
      </c>
      <c r="B7" s="13" t="s">
        <v>41</v>
      </c>
      <c r="C7" s="91">
        <v>416.66666666666669</v>
      </c>
      <c r="D7" s="50"/>
      <c r="E7" s="50"/>
      <c r="F7" s="50"/>
    </row>
    <row r="8" spans="1:6" x14ac:dyDescent="0.2">
      <c r="A8" s="71" t="s">
        <v>17</v>
      </c>
      <c r="B8" s="13" t="s">
        <v>42</v>
      </c>
      <c r="C8" s="91">
        <v>104.16666666666667</v>
      </c>
      <c r="D8" s="50"/>
      <c r="E8" s="50"/>
      <c r="F8" s="50"/>
    </row>
    <row r="9" spans="1:6" x14ac:dyDescent="0.2">
      <c r="A9" s="71" t="s">
        <v>17</v>
      </c>
      <c r="B9" s="13" t="s">
        <v>43</v>
      </c>
      <c r="C9" s="91">
        <v>520.83333333333337</v>
      </c>
      <c r="D9" s="50"/>
      <c r="E9" s="50"/>
      <c r="F9" s="50"/>
    </row>
    <row r="10" spans="1:6" x14ac:dyDescent="0.2">
      <c r="A10" s="71" t="s">
        <v>17</v>
      </c>
      <c r="B10" s="13" t="s">
        <v>44</v>
      </c>
      <c r="C10" s="91">
        <v>312.5</v>
      </c>
      <c r="D10" s="50"/>
      <c r="E10" s="50"/>
      <c r="F10" s="50"/>
    </row>
    <row r="11" spans="1:6" x14ac:dyDescent="0.2">
      <c r="A11" s="1"/>
      <c r="B11" s="1"/>
      <c r="C11" s="76"/>
      <c r="D11" s="50"/>
      <c r="E11" s="50"/>
      <c r="F11" s="50"/>
    </row>
    <row r="12" spans="1:6" x14ac:dyDescent="0.2">
      <c r="A12" s="13" t="s">
        <v>28</v>
      </c>
      <c r="B12" s="13" t="s">
        <v>37</v>
      </c>
      <c r="C12" s="91">
        <f>Data!$H$19/12*0.2</f>
        <v>87.083333333333343</v>
      </c>
      <c r="D12" s="50"/>
      <c r="E12" s="50"/>
      <c r="F12" s="50"/>
    </row>
    <row r="13" spans="1:6" x14ac:dyDescent="0.2">
      <c r="A13" s="13" t="s">
        <v>28</v>
      </c>
      <c r="B13" s="13" t="s">
        <v>38</v>
      </c>
      <c r="C13" s="91">
        <f>Data!$H$19/12*0.4</f>
        <v>174.16666666666669</v>
      </c>
      <c r="D13" s="50"/>
      <c r="E13" s="50"/>
      <c r="F13" s="50"/>
    </row>
    <row r="14" spans="1:6" x14ac:dyDescent="0.2">
      <c r="A14" s="13" t="s">
        <v>28</v>
      </c>
      <c r="B14" s="13" t="s">
        <v>39</v>
      </c>
      <c r="C14" s="91">
        <f>Data!$H$19/12*0.3</f>
        <v>130.625</v>
      </c>
      <c r="D14" s="50"/>
      <c r="E14" s="50"/>
      <c r="F14" s="50"/>
    </row>
    <row r="15" spans="1:6" x14ac:dyDescent="0.2">
      <c r="A15" s="13" t="s">
        <v>28</v>
      </c>
      <c r="B15" s="13" t="s">
        <v>40</v>
      </c>
      <c r="C15" s="91">
        <f>Data!$H$19/12*0.1</f>
        <v>43.541666666666671</v>
      </c>
      <c r="D15" s="50"/>
      <c r="E15" s="50"/>
      <c r="F15" s="50"/>
    </row>
    <row r="16" spans="1:6" x14ac:dyDescent="0.2">
      <c r="A16" s="13" t="s">
        <v>28</v>
      </c>
      <c r="B16" s="13" t="s">
        <v>0</v>
      </c>
      <c r="C16" s="91">
        <f>SUM(C12:C15)</f>
        <v>435.41666666666669</v>
      </c>
      <c r="D16" s="50"/>
      <c r="E16" s="50"/>
      <c r="F16" s="50"/>
    </row>
    <row r="17" spans="1:6" x14ac:dyDescent="0.2">
      <c r="A17" s="13" t="s">
        <v>28</v>
      </c>
      <c r="B17" s="13" t="s">
        <v>41</v>
      </c>
      <c r="C17" s="91">
        <f>C16/2</f>
        <v>217.70833333333334</v>
      </c>
      <c r="D17" s="50"/>
      <c r="E17" s="50"/>
      <c r="F17" s="50"/>
    </row>
    <row r="18" spans="1:6" x14ac:dyDescent="0.2">
      <c r="A18" s="13" t="s">
        <v>28</v>
      </c>
      <c r="B18" s="13" t="s">
        <v>42</v>
      </c>
      <c r="C18" s="91">
        <f>C17/4</f>
        <v>54.427083333333336</v>
      </c>
      <c r="D18" s="50"/>
      <c r="E18" s="50"/>
      <c r="F18" s="50"/>
    </row>
    <row r="19" spans="1:6" x14ac:dyDescent="0.2">
      <c r="A19" s="13" t="s">
        <v>28</v>
      </c>
      <c r="B19" s="13" t="s">
        <v>43</v>
      </c>
      <c r="C19" s="91">
        <f>SUM(C17:C18)</f>
        <v>272.13541666666669</v>
      </c>
      <c r="D19" s="50"/>
      <c r="E19" s="50"/>
      <c r="F19" s="50"/>
    </row>
    <row r="20" spans="1:6" x14ac:dyDescent="0.2">
      <c r="A20" s="13" t="s">
        <v>28</v>
      </c>
      <c r="B20" s="13" t="s">
        <v>44</v>
      </c>
      <c r="C20" s="91">
        <f>C16-C19</f>
        <v>163.28125</v>
      </c>
      <c r="D20" s="50"/>
      <c r="E20" s="50"/>
      <c r="F20" s="50"/>
    </row>
    <row r="21" spans="1:6" x14ac:dyDescent="0.2">
      <c r="A21" s="1"/>
      <c r="B21" s="1"/>
      <c r="C21" s="76"/>
      <c r="D21" s="50"/>
      <c r="E21" s="50"/>
      <c r="F21" s="50"/>
    </row>
    <row r="22" spans="1:6" x14ac:dyDescent="0.2">
      <c r="A22" s="13" t="s">
        <v>29</v>
      </c>
      <c r="B22" s="13" t="s">
        <v>37</v>
      </c>
      <c r="C22" s="91">
        <f>Data!$H$36/12*0.2</f>
        <v>201.66666666666671</v>
      </c>
      <c r="D22" s="50"/>
      <c r="E22" s="50"/>
      <c r="F22" s="50"/>
    </row>
    <row r="23" spans="1:6" x14ac:dyDescent="0.2">
      <c r="A23" s="13" t="s">
        <v>29</v>
      </c>
      <c r="B23" s="13" t="s">
        <v>38</v>
      </c>
      <c r="C23" s="91">
        <f>Data!$H$36/12*0.4</f>
        <v>403.33333333333343</v>
      </c>
      <c r="D23" s="50"/>
      <c r="E23" s="50"/>
      <c r="F23" s="50"/>
    </row>
    <row r="24" spans="1:6" x14ac:dyDescent="0.2">
      <c r="A24" s="13" t="s">
        <v>29</v>
      </c>
      <c r="B24" s="13" t="s">
        <v>39</v>
      </c>
      <c r="C24" s="91">
        <f>Data!$H$36/12*0.3</f>
        <v>302.50000000000006</v>
      </c>
      <c r="D24" s="50"/>
      <c r="E24" s="50"/>
      <c r="F24" s="50"/>
    </row>
    <row r="25" spans="1:6" x14ac:dyDescent="0.2">
      <c r="A25" s="13" t="s">
        <v>29</v>
      </c>
      <c r="B25" s="13" t="s">
        <v>40</v>
      </c>
      <c r="C25" s="91">
        <f>Data!$H$36/12*0.1</f>
        <v>100.83333333333336</v>
      </c>
      <c r="D25" s="50"/>
      <c r="E25" s="50"/>
      <c r="F25" s="50"/>
    </row>
    <row r="26" spans="1:6" x14ac:dyDescent="0.2">
      <c r="A26" s="13" t="s">
        <v>29</v>
      </c>
      <c r="B26" s="13" t="s">
        <v>0</v>
      </c>
      <c r="C26" s="91">
        <f>SUM(C22:C25)</f>
        <v>1008.3333333333336</v>
      </c>
      <c r="D26" s="50"/>
      <c r="E26" s="50"/>
      <c r="F26" s="50"/>
    </row>
    <row r="27" spans="1:6" x14ac:dyDescent="0.2">
      <c r="A27" s="13" t="s">
        <v>29</v>
      </c>
      <c r="B27" s="13" t="s">
        <v>41</v>
      </c>
      <c r="C27" s="91">
        <f>C26/2</f>
        <v>504.1666666666668</v>
      </c>
      <c r="D27" s="50"/>
      <c r="E27" s="50"/>
      <c r="F27" s="50"/>
    </row>
    <row r="28" spans="1:6" x14ac:dyDescent="0.2">
      <c r="A28" s="13" t="s">
        <v>29</v>
      </c>
      <c r="B28" s="13" t="s">
        <v>42</v>
      </c>
      <c r="C28" s="91">
        <f>C27/4</f>
        <v>126.0416666666667</v>
      </c>
      <c r="D28" s="50"/>
      <c r="E28" s="50"/>
      <c r="F28" s="50"/>
    </row>
    <row r="29" spans="1:6" x14ac:dyDescent="0.2">
      <c r="A29" s="13" t="s">
        <v>29</v>
      </c>
      <c r="B29" s="13" t="s">
        <v>43</v>
      </c>
      <c r="C29" s="91">
        <f>SUM(C27:C28)</f>
        <v>630.20833333333348</v>
      </c>
      <c r="D29" s="50"/>
      <c r="E29" s="50"/>
      <c r="F29" s="50"/>
    </row>
    <row r="30" spans="1:6" x14ac:dyDescent="0.2">
      <c r="A30" s="13" t="s">
        <v>29</v>
      </c>
      <c r="B30" s="13" t="s">
        <v>44</v>
      </c>
      <c r="C30" s="91">
        <f>C26-C29</f>
        <v>378.12500000000011</v>
      </c>
      <c r="D30" s="50"/>
      <c r="E30" s="50"/>
      <c r="F30" s="50"/>
    </row>
    <row r="31" spans="1:6" x14ac:dyDescent="0.2">
      <c r="A31" s="1"/>
      <c r="B31" s="1"/>
      <c r="C31" s="76"/>
      <c r="D31" s="50"/>
      <c r="E31" s="50"/>
      <c r="F31" s="50"/>
    </row>
    <row r="32" spans="1:6" x14ac:dyDescent="0.2">
      <c r="A32" s="13" t="s">
        <v>30</v>
      </c>
      <c r="B32" s="13" t="s">
        <v>37</v>
      </c>
      <c r="C32" s="91">
        <f>Data!$H$53/12*0.2</f>
        <v>183.33333333333334</v>
      </c>
      <c r="D32" s="50"/>
      <c r="E32" s="50"/>
      <c r="F32" s="50"/>
    </row>
    <row r="33" spans="1:6" x14ac:dyDescent="0.2">
      <c r="A33" s="13" t="s">
        <v>30</v>
      </c>
      <c r="B33" s="13" t="s">
        <v>38</v>
      </c>
      <c r="C33" s="91">
        <f>Data!$H$53/12*0.4</f>
        <v>366.66666666666669</v>
      </c>
      <c r="D33" s="50"/>
      <c r="E33" s="50"/>
      <c r="F33" s="50"/>
    </row>
    <row r="34" spans="1:6" x14ac:dyDescent="0.2">
      <c r="A34" s="13" t="s">
        <v>30</v>
      </c>
      <c r="B34" s="13" t="s">
        <v>39</v>
      </c>
      <c r="C34" s="91">
        <f>Data!$H$53/12*0.3</f>
        <v>275</v>
      </c>
      <c r="D34" s="50"/>
      <c r="E34" s="50"/>
      <c r="F34" s="50"/>
    </row>
    <row r="35" spans="1:6" x14ac:dyDescent="0.2">
      <c r="A35" s="13" t="s">
        <v>30</v>
      </c>
      <c r="B35" s="13" t="s">
        <v>40</v>
      </c>
      <c r="C35" s="91">
        <f>Data!$H$53/12*0.1</f>
        <v>91.666666666666671</v>
      </c>
      <c r="D35" s="50"/>
      <c r="E35" s="50"/>
      <c r="F35" s="50"/>
    </row>
    <row r="36" spans="1:6" x14ac:dyDescent="0.2">
      <c r="A36" s="13" t="s">
        <v>30</v>
      </c>
      <c r="B36" s="13" t="s">
        <v>0</v>
      </c>
      <c r="C36" s="91">
        <f>SUM(C32:C35)</f>
        <v>916.66666666666663</v>
      </c>
      <c r="D36" s="50"/>
      <c r="E36" s="50"/>
      <c r="F36" s="50"/>
    </row>
    <row r="37" spans="1:6" x14ac:dyDescent="0.2">
      <c r="A37" s="13" t="s">
        <v>30</v>
      </c>
      <c r="B37" s="13" t="s">
        <v>41</v>
      </c>
      <c r="C37" s="91">
        <f>C36/2</f>
        <v>458.33333333333331</v>
      </c>
      <c r="D37" s="50"/>
      <c r="E37" s="50"/>
      <c r="F37" s="50"/>
    </row>
    <row r="38" spans="1:6" x14ac:dyDescent="0.2">
      <c r="A38" s="13" t="s">
        <v>30</v>
      </c>
      <c r="B38" s="13" t="s">
        <v>42</v>
      </c>
      <c r="C38" s="91">
        <f>C37/4</f>
        <v>114.58333333333333</v>
      </c>
      <c r="D38" s="50"/>
      <c r="E38" s="50"/>
      <c r="F38" s="50"/>
    </row>
    <row r="39" spans="1:6" x14ac:dyDescent="0.2">
      <c r="A39" s="13" t="s">
        <v>30</v>
      </c>
      <c r="B39" s="13" t="s">
        <v>43</v>
      </c>
      <c r="C39" s="91">
        <f>SUM(C37:C38)</f>
        <v>572.91666666666663</v>
      </c>
      <c r="D39" s="50"/>
      <c r="E39" s="50"/>
      <c r="F39" s="50"/>
    </row>
    <row r="40" spans="1:6" x14ac:dyDescent="0.2">
      <c r="A40" s="13" t="s">
        <v>30</v>
      </c>
      <c r="B40" s="13" t="s">
        <v>44</v>
      </c>
      <c r="C40" s="91">
        <f>C36-C39</f>
        <v>343.75</v>
      </c>
      <c r="D40" s="50"/>
      <c r="E40" s="50"/>
      <c r="F40" s="50"/>
    </row>
    <row r="41" spans="1:6" x14ac:dyDescent="0.2">
      <c r="A41" s="1"/>
      <c r="B41" s="1"/>
    </row>
    <row r="42" spans="1:6" x14ac:dyDescent="0.2">
      <c r="A42" s="1"/>
      <c r="B42" s="1"/>
    </row>
    <row r="67" spans="1:5" x14ac:dyDescent="0.2">
      <c r="A67" s="69"/>
      <c r="B67" s="69"/>
      <c r="D67" s="5"/>
      <c r="E67" s="49"/>
    </row>
    <row r="68" spans="1:5" x14ac:dyDescent="0.2">
      <c r="A68" s="69"/>
      <c r="B68" s="69"/>
      <c r="D68" s="5"/>
      <c r="E68" s="49"/>
    </row>
    <row r="69" spans="1:5" x14ac:dyDescent="0.2">
      <c r="A69" s="1"/>
      <c r="B69" s="1"/>
    </row>
    <row r="70" spans="1:5" x14ac:dyDescent="0.2">
      <c r="A70" s="72"/>
      <c r="B70" s="72"/>
      <c r="C70" s="15"/>
    </row>
    <row r="128" spans="3:3" x14ac:dyDescent="0.2">
      <c r="C128" s="13"/>
    </row>
    <row r="129" spans="3:3" x14ac:dyDescent="0.2">
      <c r="C12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>
    <tabColor rgb="FF92D050"/>
  </sheetPr>
  <dimension ref="A2:N88"/>
  <sheetViews>
    <sheetView topLeftCell="A19" workbookViewId="0">
      <selection activeCell="B47" sqref="B46:B47"/>
    </sheetView>
  </sheetViews>
  <sheetFormatPr defaultRowHeight="12.75" x14ac:dyDescent="0.2"/>
  <cols>
    <col min="1" max="1" width="33.28515625" bestFit="1" customWidth="1"/>
    <col min="2" max="2" width="11.7109375" bestFit="1" customWidth="1"/>
    <col min="3" max="3" width="12.140625" bestFit="1" customWidth="1"/>
    <col min="4" max="5" width="9.7109375" bestFit="1" customWidth="1"/>
    <col min="6" max="6" width="10.28515625" bestFit="1" customWidth="1"/>
    <col min="7" max="7" width="11.140625" bestFit="1" customWidth="1"/>
    <col min="8" max="9" width="9.5703125" bestFit="1" customWidth="1"/>
    <col min="10" max="10" width="11" bestFit="1" customWidth="1"/>
  </cols>
  <sheetData>
    <row r="2" spans="1:10" x14ac:dyDescent="0.2">
      <c r="A2" s="73" t="s">
        <v>31</v>
      </c>
      <c r="B2" s="75" t="str">
        <f ca="1">Summary!J10</f>
        <v>FY 14</v>
      </c>
      <c r="C2" s="75" t="str">
        <f ca="1">Summary!K10</f>
        <v>FY 15</v>
      </c>
      <c r="D2" s="75" t="str">
        <f ca="1">Summary!L10</f>
        <v>FY 16</v>
      </c>
      <c r="E2" s="75" t="str">
        <f ca="1">Summary!M10</f>
        <v>FY 17</v>
      </c>
      <c r="F2" s="75" t="str">
        <f ca="1">Summary!N10</f>
        <v>FY 18</v>
      </c>
      <c r="G2" s="75" t="str">
        <f ca="1">Summary!O10</f>
        <v>FY 19</v>
      </c>
    </row>
    <row r="3" spans="1:10" x14ac:dyDescent="0.2">
      <c r="A3" t="str">
        <f>Lists!B3</f>
        <v>Core Deposits</v>
      </c>
      <c r="B3" s="90">
        <f ca="1">SUMPRODUCT((Data!$B$2:$B$68=$A3)*(Data!$A$2:$A$68=$A$7)*(Data!$C$1:$K$1=B$2)*(Data!$C$2:$K$68))</f>
        <v>154465.5</v>
      </c>
      <c r="C3" s="90">
        <f ca="1">SUMPRODUCT((Data!$B$2:$B$68=$A3)*(Data!$A$2:$A$68=$A$7)*(Data!$C$1:$K$1=C$2)*(Data!$C$2:$K$68))</f>
        <v>137450</v>
      </c>
      <c r="D3" s="90">
        <f ca="1">SUMPRODUCT((Data!$B$2:$B$68=$A3)*(Data!$A$2:$A$68=$A$7)*(Data!$C$1:$K$1=D$2)*(Data!$C$2:$K$68))</f>
        <v>164575</v>
      </c>
      <c r="E3" s="90">
        <f ca="1">SUMPRODUCT((Data!$B$2:$B$68=$A3)*(Data!$A$2:$A$68=$A$7)*(Data!$C$1:$K$1=E$2)*(Data!$C$2:$K$68))</f>
        <v>152959</v>
      </c>
      <c r="F3" s="90">
        <f ca="1">SUMPRODUCT((Data!$B$2:$B$68=$A3)*(Data!$A$2:$A$68=$A$7)*(Data!$C$1:$K$1=F$2)*(Data!$C$2:$K$68))</f>
        <v>147959</v>
      </c>
      <c r="G3" s="90">
        <f ca="1">SUMPRODUCT((Data!$B$2:$B$68=$A3)*(Data!$A$2:$A$68=$A$7)*(Data!$C$1:$K$1=G$2)*(Data!$C$2:$K$68))</f>
        <v>153561.5</v>
      </c>
    </row>
    <row r="4" spans="1:10" x14ac:dyDescent="0.2">
      <c r="A4" s="5" t="s">
        <v>48</v>
      </c>
      <c r="B4" s="90">
        <f ca="1">SUMPRODUCT((Plan!$B$2:$B$68=$A3)*(Plan!$A$2:$A$68=$A$7)*(Plan!$C$1:$K$1=B$2)*(Plan!$C$2:$K$68))</f>
        <v>158481.603</v>
      </c>
      <c r="C4" s="90">
        <f ca="1">SUMPRODUCT((Plan!$B$2:$B$68=$A3)*(Plan!$A$2:$A$68=$A$7)*(Plan!$C$1:$K$1=C$2)*(Plan!$C$2:$K$68))</f>
        <v>148171.1</v>
      </c>
      <c r="D4" s="90">
        <f ca="1">SUMPRODUCT((Plan!$B$2:$B$68=$A3)*(Plan!$A$2:$A$68=$A$7)*(Plan!$C$1:$K$1=D$2)*(Plan!$C$2:$K$68))</f>
        <v>168853.95</v>
      </c>
      <c r="E4" s="90">
        <f ca="1">SUMPRODUCT((Plan!$B$2:$B$68=$A3)*(Plan!$A$2:$A$68=$A$7)*(Plan!$C$1:$K$1=E$2)*(Plan!$C$2:$K$68))</f>
        <v>155895.81280000001</v>
      </c>
      <c r="F4" s="90">
        <f ca="1">SUMPRODUCT((Plan!$B$2:$B$68=$A3)*(Plan!$A$2:$A$68=$A$7)*(Plan!$C$1:$K$1=F$2)*(Plan!$C$2:$K$68))</f>
        <v>147944.2041</v>
      </c>
      <c r="G4" s="90">
        <f ca="1">SUMPRODUCT((Plan!$B$2:$B$68=$A3)*(Plan!$A$2:$A$68=$A$7)*(Plan!$C$1:$K$1=G$2)*(Plan!$C$2:$K$68))</f>
        <v>153500.0754</v>
      </c>
    </row>
    <row r="7" spans="1:10" x14ac:dyDescent="0.2">
      <c r="A7" s="88" t="str">
        <f ca="1">Lists!B5</f>
        <v>Scotland</v>
      </c>
      <c r="B7" s="88" t="str">
        <f ca="1">Data!C1</f>
        <v>FY 12</v>
      </c>
      <c r="C7" s="88" t="str">
        <f ca="1">Data!D1</f>
        <v>FY 13</v>
      </c>
      <c r="D7" s="88" t="str">
        <f ca="1">Data!E1</f>
        <v>FY 14</v>
      </c>
      <c r="E7" s="88" t="str">
        <f ca="1">Data!F1</f>
        <v>FY 15</v>
      </c>
      <c r="F7" s="88" t="str">
        <f ca="1">Data!G1</f>
        <v>FY 16</v>
      </c>
      <c r="G7" s="88" t="str">
        <f ca="1">Data!H1</f>
        <v>FY 17</v>
      </c>
      <c r="H7" s="88" t="str">
        <f ca="1">Data!I1</f>
        <v>FY 18</v>
      </c>
      <c r="I7" s="88" t="str">
        <f ca="1">Data!J1</f>
        <v>FY 19</v>
      </c>
      <c r="J7" s="88" t="str">
        <f ca="1">Data!K1</f>
        <v>FY 20</v>
      </c>
    </row>
    <row r="8" spans="1:10" x14ac:dyDescent="0.2">
      <c r="A8" s="13" t="s">
        <v>0</v>
      </c>
      <c r="B8" s="84">
        <f ca="1">SUMPRODUCT((Data!$B$2:$B$68=$A8)*(Data!$A$2:$A$68=$A$7)*(Data!C$2:C$68))</f>
        <v>3330</v>
      </c>
      <c r="C8" s="84">
        <f ca="1">SUMPRODUCT((Data!$B$2:$B$68=$A8)*(Data!$A$2:$A$68=$A$7)*(Data!D$2:D$68))</f>
        <v>3685.5</v>
      </c>
      <c r="D8" s="84">
        <f ca="1">SUMPRODUCT((Data!$B$2:$B$68=$A8)*(Data!$A$2:$A$68=$A$7)*(Data!E$2:E$68))</f>
        <v>3818</v>
      </c>
      <c r="E8" s="84">
        <f ca="1">SUMPRODUCT((Data!$B$2:$B$68=$A8)*(Data!$A$2:$A$68=$A$7)*(Data!F$2:F$68))</f>
        <v>4464</v>
      </c>
      <c r="F8" s="84">
        <f ca="1">SUMPRODUCT((Data!$B$2:$B$68=$A8)*(Data!$A$2:$A$68=$A$7)*(Data!G$2:G$68))</f>
        <v>4794</v>
      </c>
      <c r="G8" s="84">
        <f ca="1">SUMPRODUCT((Data!$B$2:$B$68=$A8)*(Data!$A$2:$A$68=$A$7)*(Data!H$2:H$68))</f>
        <v>5225</v>
      </c>
      <c r="H8" s="84">
        <f ca="1">SUMPRODUCT((Data!$B$2:$B$68=$A8)*(Data!$A$2:$A$68=$A$7)*(Data!I$2:I$68))</f>
        <v>5376</v>
      </c>
      <c r="I8" s="84">
        <f ca="1">SUMPRODUCT((Data!$B$2:$B$68=$A8)*(Data!$A$2:$A$68=$A$7)*(Data!J$2:J$68))</f>
        <v>4794</v>
      </c>
      <c r="J8" s="84">
        <f ca="1">SUMPRODUCT((Data!$B$2:$B$68=$A8)*(Data!$A$2:$A$68=$A$7)*(Data!K$2:K$68))</f>
        <v>5225</v>
      </c>
    </row>
    <row r="9" spans="1:10" x14ac:dyDescent="0.2">
      <c r="A9" s="13" t="s">
        <v>1</v>
      </c>
      <c r="B9" s="84">
        <f ca="1">SUMPRODUCT((Data!$B$2:$B$68=$A9)*(Data!$A$2:$A$68=$A$7)*(Data!C$2:C$68))</f>
        <v>13005</v>
      </c>
      <c r="C9" s="84">
        <f ca="1">SUMPRODUCT((Data!$B$2:$B$68=$A9)*(Data!$A$2:$A$68=$A$7)*(Data!D$2:D$68))</f>
        <v>15273.895</v>
      </c>
      <c r="D9" s="84">
        <f ca="1">SUMPRODUCT((Data!$B$2:$B$68=$A9)*(Data!$A$2:$A$68=$A$7)*(Data!E$2:E$68))</f>
        <v>15875.060000000001</v>
      </c>
      <c r="E9" s="84">
        <f ca="1">SUMPRODUCT((Data!$B$2:$B$68=$A9)*(Data!$A$2:$A$68=$A$7)*(Data!F$2:F$68))</f>
        <v>16590.27</v>
      </c>
      <c r="F9" s="84">
        <f ca="1">SUMPRODUCT((Data!$B$2:$B$68=$A9)*(Data!$A$2:$A$68=$A$7)*(Data!G$2:G$68))</f>
        <v>18318.719999999998</v>
      </c>
      <c r="G9" s="84">
        <f ca="1">SUMPRODUCT((Data!$B$2:$B$68=$A9)*(Data!$A$2:$A$68=$A$7)*(Data!H$2:H$68))</f>
        <v>19006.649999999998</v>
      </c>
      <c r="H9" s="84">
        <f ca="1">SUMPRODUCT((Data!$B$2:$B$68=$A9)*(Data!$A$2:$A$68=$A$7)*(Data!I$2:I$68))</f>
        <v>24008.400000000001</v>
      </c>
      <c r="I9" s="84">
        <f ca="1">SUMPRODUCT((Data!$B$2:$B$68=$A9)*(Data!$A$2:$A$68=$A$7)*(Data!J$2:J$68))</f>
        <v>18318.719999999998</v>
      </c>
      <c r="J9" s="84">
        <f ca="1">SUMPRODUCT((Data!$B$2:$B$68=$A9)*(Data!$A$2:$A$68=$A$7)*(Data!K$2:K$68))</f>
        <v>19006.649999999998</v>
      </c>
    </row>
    <row r="10" spans="1:10" x14ac:dyDescent="0.2">
      <c r="A10" s="13" t="s">
        <v>2</v>
      </c>
      <c r="B10" s="85">
        <f ca="1">SUMPRODUCT((Data!$B$2:$B$68=$A10)*(Data!$A$2:$A$68=$A$7)*(Data!C$2:C$68))</f>
        <v>2.1</v>
      </c>
      <c r="C10" s="85">
        <f ca="1">SUMPRODUCT((Data!$B$2:$B$68=$A10)*(Data!$A$2:$A$68=$A$7)*(Data!D$2:D$68))</f>
        <v>2.2000000000000002</v>
      </c>
      <c r="D10" s="85">
        <f ca="1">SUMPRODUCT((Data!$B$2:$B$68=$A10)*(Data!$A$2:$A$68=$A$7)*(Data!E$2:E$68))</f>
        <v>2.35</v>
      </c>
      <c r="E10" s="85">
        <f ca="1">SUMPRODUCT((Data!$B$2:$B$68=$A10)*(Data!$A$2:$A$68=$A$7)*(Data!F$2:F$68))</f>
        <v>2.4</v>
      </c>
      <c r="F10" s="85">
        <f ca="1">SUMPRODUCT((Data!$B$2:$B$68=$A10)*(Data!$A$2:$A$68=$A$7)*(Data!G$2:G$68))</f>
        <v>2.4500000000000002</v>
      </c>
      <c r="G10" s="85">
        <f ca="1">SUMPRODUCT((Data!$B$2:$B$68=$A10)*(Data!$A$2:$A$68=$A$7)*(Data!H$2:H$68))</f>
        <v>3.2</v>
      </c>
      <c r="H10" s="85">
        <f ca="1">SUMPRODUCT((Data!$B$2:$B$68=$A10)*(Data!$A$2:$A$68=$A$7)*(Data!I$2:I$68))</f>
        <v>4.5</v>
      </c>
      <c r="I10" s="85">
        <f ca="1">SUMPRODUCT((Data!$B$2:$B$68=$A10)*(Data!$A$2:$A$68=$A$7)*(Data!J$2:J$68))</f>
        <v>5.625</v>
      </c>
      <c r="J10" s="85">
        <f ca="1">SUMPRODUCT((Data!$B$2:$B$68=$A10)*(Data!$A$2:$A$68=$A$7)*(Data!K$2:K$68))</f>
        <v>3.6</v>
      </c>
    </row>
    <row r="11" spans="1:10" x14ac:dyDescent="0.2">
      <c r="A11" s="13" t="s">
        <v>3</v>
      </c>
      <c r="B11" s="85">
        <f ca="1">SUMPRODUCT((Data!$B$2:$B$68=$A11)*(Data!$A$2:$A$68=$A$7)*(Data!C$2:C$68))</f>
        <v>0.67</v>
      </c>
      <c r="C11" s="85">
        <f ca="1">SUMPRODUCT((Data!$B$2:$B$68=$A11)*(Data!$A$2:$A$68=$A$7)*(Data!D$2:D$68))</f>
        <v>0.77</v>
      </c>
      <c r="D11" s="85">
        <f ca="1">SUMPRODUCT((Data!$B$2:$B$68=$A11)*(Data!$A$2:$A$68=$A$7)*(Data!E$2:E$68))</f>
        <v>0.87</v>
      </c>
      <c r="E11" s="85">
        <f ca="1">SUMPRODUCT((Data!$B$2:$B$68=$A11)*(Data!$A$2:$A$68=$A$7)*(Data!F$2:F$68))</f>
        <v>0.97</v>
      </c>
      <c r="F11" s="85">
        <f ca="1">SUMPRODUCT((Data!$B$2:$B$68=$A11)*(Data!$A$2:$A$68=$A$7)*(Data!G$2:G$68))</f>
        <v>0.67</v>
      </c>
      <c r="G11" s="85">
        <f ca="1">SUMPRODUCT((Data!$B$2:$B$68=$A11)*(Data!$A$2:$A$68=$A$7)*(Data!H$2:H$68))</f>
        <v>0.77</v>
      </c>
      <c r="H11" s="85">
        <f ca="1">SUMPRODUCT((Data!$B$2:$B$68=$A11)*(Data!$A$2:$A$68=$A$7)*(Data!I$2:I$68))</f>
        <v>0.87</v>
      </c>
      <c r="I11" s="85">
        <f ca="1">SUMPRODUCT((Data!$B$2:$B$68=$A11)*(Data!$A$2:$A$68=$A$7)*(Data!J$2:J$68))</f>
        <v>0.97</v>
      </c>
      <c r="J11" s="85">
        <f ca="1">SUMPRODUCT((Data!$B$2:$B$68=$A11)*(Data!$A$2:$A$68=$A$7)*(Data!K$2:K$68))</f>
        <v>1.07</v>
      </c>
    </row>
    <row r="12" spans="1:10" x14ac:dyDescent="0.2">
      <c r="A12" s="13" t="s">
        <v>4</v>
      </c>
      <c r="B12" s="86">
        <f ca="1">SUMPRODUCT((Data!$B$2:$B$68=$A12)*(Data!$A$2:$A$68=$A$7)*(Data!C$2:C$68))</f>
        <v>1.6</v>
      </c>
      <c r="C12" s="86">
        <f ca="1">SUMPRODUCT((Data!$B$2:$B$68=$A12)*(Data!$A$2:$A$68=$A$7)*(Data!D$2:D$68))</f>
        <v>1.7000000000000002</v>
      </c>
      <c r="D12" s="86">
        <f ca="1">SUMPRODUCT((Data!$B$2:$B$68=$A12)*(Data!$A$2:$A$68=$A$7)*(Data!E$2:E$68))</f>
        <v>1.6</v>
      </c>
      <c r="E12" s="86">
        <f ca="1">SUMPRODUCT((Data!$B$2:$B$68=$A12)*(Data!$A$2:$A$68=$A$7)*(Data!F$2:F$68))</f>
        <v>1.5</v>
      </c>
      <c r="F12" s="86">
        <f ca="1">SUMPRODUCT((Data!$B$2:$B$68=$A12)*(Data!$A$2:$A$68=$A$7)*(Data!G$2:G$68))</f>
        <v>3.5</v>
      </c>
      <c r="G12" s="86">
        <f ca="1">SUMPRODUCT((Data!$B$2:$B$68=$A12)*(Data!$A$2:$A$68=$A$7)*(Data!H$2:H$68))</f>
        <v>3.6</v>
      </c>
      <c r="H12" s="86">
        <f ca="1">SUMPRODUCT((Data!$B$2:$B$68=$A12)*(Data!$A$2:$A$68=$A$7)*(Data!I$2:I$68))</f>
        <v>4.25</v>
      </c>
      <c r="I12" s="86">
        <f ca="1">SUMPRODUCT((Data!$B$2:$B$68=$A12)*(Data!$A$2:$A$68=$A$7)*(Data!J$2:J$68))</f>
        <v>5.0625</v>
      </c>
      <c r="J12" s="86">
        <f ca="1">SUMPRODUCT((Data!$B$2:$B$68=$A12)*(Data!$A$2:$A$68=$A$7)*(Data!K$2:K$68))</f>
        <v>6.078125</v>
      </c>
    </row>
    <row r="13" spans="1:10" x14ac:dyDescent="0.2">
      <c r="A13" s="13" t="s">
        <v>5</v>
      </c>
      <c r="B13" s="86">
        <f ca="1">SUMPRODUCT((Data!$B$2:$B$68=$A13)*(Data!$A$2:$A$68=$A$7)*(Data!C$2:C$68))</f>
        <v>22.4</v>
      </c>
      <c r="C13" s="86">
        <f ca="1">SUMPRODUCT((Data!$B$2:$B$68=$A13)*(Data!$A$2:$A$68=$A$7)*(Data!D$2:D$68))</f>
        <v>22.5</v>
      </c>
      <c r="D13" s="86">
        <f ca="1">SUMPRODUCT((Data!$B$2:$B$68=$A13)*(Data!$A$2:$A$68=$A$7)*(Data!E$2:E$68))</f>
        <v>25.8</v>
      </c>
      <c r="E13" s="86">
        <f ca="1">SUMPRODUCT((Data!$B$2:$B$68=$A13)*(Data!$A$2:$A$68=$A$7)*(Data!F$2:F$68))</f>
        <v>24.7</v>
      </c>
      <c r="F13" s="86">
        <f ca="1">SUMPRODUCT((Data!$B$2:$B$68=$A13)*(Data!$A$2:$A$68=$A$7)*(Data!G$2:G$68))</f>
        <v>28.6</v>
      </c>
      <c r="G13" s="86">
        <f ca="1">SUMPRODUCT((Data!$B$2:$B$68=$A13)*(Data!$A$2:$A$68=$A$7)*(Data!H$2:H$68))</f>
        <v>29.6</v>
      </c>
      <c r="H13" s="86">
        <f ca="1">SUMPRODUCT((Data!$B$2:$B$68=$A13)*(Data!$A$2:$A$68=$A$7)*(Data!I$2:I$68))</f>
        <v>31.75</v>
      </c>
      <c r="I13" s="86">
        <f ca="1">SUMPRODUCT((Data!$B$2:$B$68=$A13)*(Data!$A$2:$A$68=$A$7)*(Data!J$2:J$68))</f>
        <v>26.6875</v>
      </c>
      <c r="J13" s="86">
        <f ca="1">SUMPRODUCT((Data!$B$2:$B$68=$A13)*(Data!$A$2:$A$68=$A$7)*(Data!K$2:K$68))</f>
        <v>23.859375</v>
      </c>
    </row>
    <row r="14" spans="1:10" x14ac:dyDescent="0.2">
      <c r="A14" s="13" t="s">
        <v>6</v>
      </c>
      <c r="B14" s="86">
        <f ca="1">SUMPRODUCT((Data!$B$2:$B$68=$A14)*(Data!$A$2:$A$68=$A$7)*(Data!C$2:C$68))</f>
        <v>6.5</v>
      </c>
      <c r="C14" s="86">
        <f ca="1">SUMPRODUCT((Data!$B$2:$B$68=$A14)*(Data!$A$2:$A$68=$A$7)*(Data!D$2:D$68))</f>
        <v>6.6</v>
      </c>
      <c r="D14" s="86">
        <f ca="1">SUMPRODUCT((Data!$B$2:$B$68=$A14)*(Data!$A$2:$A$68=$A$7)*(Data!E$2:E$68))</f>
        <v>7.3000000000000007</v>
      </c>
      <c r="E14" s="86">
        <f ca="1">SUMPRODUCT((Data!$B$2:$B$68=$A14)*(Data!$A$2:$A$68=$A$7)*(Data!F$2:F$68))</f>
        <v>7.3000000000000007</v>
      </c>
      <c r="F14" s="86">
        <f ca="1">SUMPRODUCT((Data!$B$2:$B$68=$A14)*(Data!$A$2:$A$68=$A$7)*(Data!G$2:G$68))</f>
        <v>9.4</v>
      </c>
      <c r="G14" s="86">
        <f ca="1">SUMPRODUCT((Data!$B$2:$B$68=$A14)*(Data!$A$2:$A$68=$A$7)*(Data!H$2:H$68))</f>
        <v>9.6999999999999993</v>
      </c>
      <c r="H14" s="86">
        <f ca="1">SUMPRODUCT((Data!$B$2:$B$68=$A14)*(Data!$A$2:$A$68=$A$7)*(Data!I$2:I$68))</f>
        <v>9.875</v>
      </c>
      <c r="I14" s="86">
        <f ca="1">SUMPRODUCT((Data!$B$2:$B$68=$A14)*(Data!$A$2:$A$68=$A$7)*(Data!J$2:J$68))</f>
        <v>10</v>
      </c>
      <c r="J14" s="86">
        <f ca="1">SUMPRODUCT((Data!$B$2:$B$68=$A14)*(Data!$A$2:$A$68=$A$7)*(Data!K$2:K$68))</f>
        <v>9.6999999999999993</v>
      </c>
    </row>
    <row r="15" spans="1:10" x14ac:dyDescent="0.2">
      <c r="A15" s="13" t="s">
        <v>7</v>
      </c>
      <c r="B15" s="85">
        <f ca="1">SUMPRODUCT((Data!$B$2:$B$68=$A15)*(Data!$A$2:$A$68=$A$7)*(Data!C$2:C$68))</f>
        <v>1.64</v>
      </c>
      <c r="C15" s="85">
        <f ca="1">SUMPRODUCT((Data!$B$2:$B$68=$A15)*(Data!$A$2:$A$68=$A$7)*(Data!D$2:D$68))</f>
        <v>1.74</v>
      </c>
      <c r="D15" s="85">
        <f ca="1">SUMPRODUCT((Data!$B$2:$B$68=$A15)*(Data!$A$2:$A$68=$A$7)*(Data!E$2:E$68))</f>
        <v>1.8399999999999999</v>
      </c>
      <c r="E15" s="85">
        <f ca="1">SUMPRODUCT((Data!$B$2:$B$68=$A15)*(Data!$A$2:$A$68=$A$7)*(Data!F$2:F$68))</f>
        <v>1.94</v>
      </c>
      <c r="F15" s="85">
        <f ca="1">SUMPRODUCT((Data!$B$2:$B$68=$A15)*(Data!$A$2:$A$68=$A$7)*(Data!G$2:G$68))</f>
        <v>1.8740000000000001</v>
      </c>
      <c r="G15" s="85">
        <f ca="1">SUMPRODUCT((Data!$B$2:$B$68=$A15)*(Data!$A$2:$A$68=$A$7)*(Data!H$2:H$68))</f>
        <v>1.88</v>
      </c>
      <c r="H15" s="85">
        <f ca="1">SUMPRODUCT((Data!$B$2:$B$68=$A15)*(Data!$A$2:$A$68=$A$7)*(Data!I$2:I$68))</f>
        <v>2.1</v>
      </c>
      <c r="I15" s="85">
        <f ca="1">SUMPRODUCT((Data!$B$2:$B$68=$A15)*(Data!$A$2:$A$68=$A$7)*(Data!J$2:J$68))</f>
        <v>2.375</v>
      </c>
      <c r="J15" s="85">
        <f ca="1">SUMPRODUCT((Data!$B$2:$B$68=$A15)*(Data!$A$2:$A$68=$A$7)*(Data!K$2:K$68))</f>
        <v>2.21875</v>
      </c>
    </row>
    <row r="16" spans="1:10" x14ac:dyDescent="0.2">
      <c r="A16" s="13" t="s">
        <v>8</v>
      </c>
      <c r="B16" s="84">
        <f ca="1">SUMPRODUCT((Data!$B$2:$B$68=$A16)*(Data!$A$2:$A$68=$A$7)*(Data!C$2:C$68))</f>
        <v>270000</v>
      </c>
      <c r="C16" s="84">
        <f ca="1">SUMPRODUCT((Data!$B$2:$B$68=$A16)*(Data!$A$2:$A$68=$A$7)*(Data!D$2:D$68))</f>
        <v>270000.09999999998</v>
      </c>
      <c r="D16" s="84">
        <f ca="1">SUMPRODUCT((Data!$B$2:$B$68=$A16)*(Data!$A$2:$A$68=$A$7)*(Data!E$2:E$68))</f>
        <v>240000</v>
      </c>
      <c r="E16" s="84">
        <f ca="1">SUMPRODUCT((Data!$B$2:$B$68=$A16)*(Data!$A$2:$A$68=$A$7)*(Data!F$2:F$68))</f>
        <v>200000</v>
      </c>
      <c r="F16" s="84">
        <f ca="1">SUMPRODUCT((Data!$B$2:$B$68=$A16)*(Data!$A$2:$A$68=$A$7)*(Data!G$2:G$68))</f>
        <v>295000</v>
      </c>
      <c r="G16" s="84">
        <f ca="1">SUMPRODUCT((Data!$B$2:$B$68=$A16)*(Data!$A$2:$A$68=$A$7)*(Data!H$2:H$68))</f>
        <v>340000</v>
      </c>
      <c r="H16" s="84">
        <f ca="1">SUMPRODUCT((Data!$B$2:$B$68=$A16)*(Data!$A$2:$A$68=$A$7)*(Data!I$2:I$68))</f>
        <v>387500</v>
      </c>
      <c r="I16" s="84">
        <f ca="1">SUMPRODUCT((Data!$B$2:$B$68=$A16)*(Data!$A$2:$A$68=$A$7)*(Data!J$2:J$68))</f>
        <v>484375</v>
      </c>
      <c r="J16" s="84">
        <f ca="1">SUMPRODUCT((Data!$B$2:$B$68=$A16)*(Data!$A$2:$A$68=$A$7)*(Data!K$2:K$68))</f>
        <v>605468.75</v>
      </c>
    </row>
    <row r="17" spans="1:10" x14ac:dyDescent="0.2">
      <c r="A17" s="13" t="s">
        <v>9</v>
      </c>
      <c r="B17" s="84">
        <f ca="1">SUMPRODUCT((Data!$B$2:$B$68=$A17)*(Data!$A$2:$A$68=$A$7)*(Data!C$2:C$68))</f>
        <v>157961.5</v>
      </c>
      <c r="C17" s="84">
        <f ca="1">SUMPRODUCT((Data!$B$2:$B$68=$A17)*(Data!$A$2:$A$68=$A$7)*(Data!D$2:D$68))</f>
        <v>157961.60000000001</v>
      </c>
      <c r="D17" s="84">
        <f ca="1">SUMPRODUCT((Data!$B$2:$B$68=$A17)*(Data!$A$2:$A$68=$A$7)*(Data!E$2:E$68))</f>
        <v>129450</v>
      </c>
      <c r="E17" s="84">
        <f ca="1">SUMPRODUCT((Data!$B$2:$B$68=$A17)*(Data!$A$2:$A$68=$A$7)*(Data!F$2:F$68))</f>
        <v>169382.5</v>
      </c>
      <c r="F17" s="84">
        <f ca="1">SUMPRODUCT((Data!$B$2:$B$68=$A17)*(Data!$A$2:$A$68=$A$7)*(Data!G$2:G$68))</f>
        <v>176450</v>
      </c>
      <c r="G17" s="84">
        <f ca="1">SUMPRODUCT((Data!$B$2:$B$68=$A17)*(Data!$A$2:$A$68=$A$7)*(Data!H$2:H$68))</f>
        <v>160492</v>
      </c>
      <c r="H17" s="84">
        <f ca="1">SUMPRODUCT((Data!$B$2:$B$68=$A17)*(Data!$A$2:$A$68=$A$7)*(Data!I$2:I$68))</f>
        <v>200615</v>
      </c>
      <c r="I17" s="84">
        <f ca="1">SUMPRODUCT((Data!$B$2:$B$68=$A17)*(Data!$A$2:$A$68=$A$7)*(Data!J$2:J$68))</f>
        <v>250768.75</v>
      </c>
      <c r="J17" s="84">
        <f ca="1">SUMPRODUCT((Data!$B$2:$B$68=$A17)*(Data!$A$2:$A$68=$A$7)*(Data!K$2:K$68))</f>
        <v>313460.9375</v>
      </c>
    </row>
    <row r="18" spans="1:10" x14ac:dyDescent="0.2">
      <c r="A18" s="13" t="s">
        <v>10</v>
      </c>
      <c r="B18" s="84">
        <f ca="1">SUMPRODUCT((Data!$B$2:$B$68=$A18)*(Data!$A$2:$A$68=$A$7)*(Data!C$2:C$68))</f>
        <v>146825.5</v>
      </c>
      <c r="C18" s="84">
        <f ca="1">SUMPRODUCT((Data!$B$2:$B$68=$A18)*(Data!$A$2:$A$68=$A$7)*(Data!D$2:D$68))</f>
        <v>146825.60000000001</v>
      </c>
      <c r="D18" s="84">
        <f ca="1">SUMPRODUCT((Data!$B$2:$B$68=$A18)*(Data!$A$2:$A$68=$A$7)*(Data!E$2:E$68))</f>
        <v>154465.5</v>
      </c>
      <c r="E18" s="84">
        <f ca="1">SUMPRODUCT((Data!$B$2:$B$68=$A18)*(Data!$A$2:$A$68=$A$7)*(Data!F$2:F$68))</f>
        <v>137450</v>
      </c>
      <c r="F18" s="84">
        <f ca="1">SUMPRODUCT((Data!$B$2:$B$68=$A18)*(Data!$A$2:$A$68=$A$7)*(Data!G$2:G$68))</f>
        <v>164575</v>
      </c>
      <c r="G18" s="84">
        <f ca="1">SUMPRODUCT((Data!$B$2:$B$68=$A18)*(Data!$A$2:$A$68=$A$7)*(Data!H$2:H$68))</f>
        <v>152959</v>
      </c>
      <c r="H18" s="84">
        <f ca="1">SUMPRODUCT((Data!$B$2:$B$68=$A18)*(Data!$A$2:$A$68=$A$7)*(Data!I$2:I$68))</f>
        <v>147959</v>
      </c>
      <c r="I18" s="84">
        <f ca="1">SUMPRODUCT((Data!$B$2:$B$68=$A18)*(Data!$A$2:$A$68=$A$7)*(Data!J$2:J$68))</f>
        <v>153561.5</v>
      </c>
      <c r="J18" s="84">
        <f ca="1">SUMPRODUCT((Data!$B$2:$B$68=$A18)*(Data!$A$2:$A$68=$A$7)*(Data!K$2:K$68))</f>
        <v>147959</v>
      </c>
    </row>
    <row r="19" spans="1:10" x14ac:dyDescent="0.2">
      <c r="A19" s="13" t="s">
        <v>11</v>
      </c>
      <c r="B19" s="84">
        <f ca="1">SUMPRODUCT((Data!$B$2:$B$68=$A19)*(Data!$A$2:$A$68=$A$7)*(Data!C$2:C$68))</f>
        <v>14375</v>
      </c>
      <c r="C19" s="84">
        <f ca="1">SUMPRODUCT((Data!$B$2:$B$68=$A19)*(Data!$A$2:$A$68=$A$7)*(Data!D$2:D$68))</f>
        <v>14375.1</v>
      </c>
      <c r="D19" s="84">
        <f ca="1">SUMPRODUCT((Data!$B$2:$B$68=$A19)*(Data!$A$2:$A$68=$A$7)*(Data!E$2:E$68))</f>
        <v>15770</v>
      </c>
      <c r="E19" s="84">
        <f ca="1">SUMPRODUCT((Data!$B$2:$B$68=$A19)*(Data!$A$2:$A$68=$A$7)*(Data!F$2:F$68))</f>
        <v>16350</v>
      </c>
      <c r="F19" s="84">
        <f ca="1">SUMPRODUCT((Data!$B$2:$B$68=$A19)*(Data!$A$2:$A$68=$A$7)*(Data!G$2:G$68))</f>
        <v>16935</v>
      </c>
      <c r="G19" s="84">
        <f ca="1">SUMPRODUCT((Data!$B$2:$B$68=$A19)*(Data!$A$2:$A$68=$A$7)*(Data!H$2:H$68))</f>
        <v>17450</v>
      </c>
      <c r="H19" s="84">
        <f ca="1">SUMPRODUCT((Data!$B$2:$B$68=$A19)*(Data!$A$2:$A$68=$A$7)*(Data!I$2:I$68))</f>
        <v>17950</v>
      </c>
      <c r="I19" s="84">
        <f ca="1">SUMPRODUCT((Data!$B$2:$B$68=$A19)*(Data!$A$2:$A$68=$A$7)*(Data!J$2:J$68))</f>
        <v>18450</v>
      </c>
      <c r="J19" s="84">
        <f ca="1">SUMPRODUCT((Data!$B$2:$B$68=$A19)*(Data!$A$2:$A$68=$A$7)*(Data!K$2:K$68))</f>
        <v>18950</v>
      </c>
    </row>
    <row r="20" spans="1:10" x14ac:dyDescent="0.2">
      <c r="A20" s="13" t="s">
        <v>12</v>
      </c>
      <c r="B20" s="86">
        <f ca="1">SUMPRODUCT((Data!$B$2:$B$68=$A20)*(Data!$A$2:$A$68=$A$7)*(Data!C$2:C$68))</f>
        <v>0.7</v>
      </c>
      <c r="C20" s="87">
        <f ca="1">SUMPRODUCT((Data!$B$2:$B$68=$A20)*(Data!$A$2:$A$68=$A$7)*(Data!D$2:D$68))</f>
        <v>0.79999999999999993</v>
      </c>
      <c r="D20" s="87">
        <f ca="1">SUMPRODUCT((Data!$B$2:$B$68=$A20)*(Data!$A$2:$A$68=$A$7)*(Data!E$2:E$68))</f>
        <v>0.5</v>
      </c>
      <c r="E20" s="87">
        <f ca="1">SUMPRODUCT((Data!$B$2:$B$68=$A20)*(Data!$A$2:$A$68=$A$7)*(Data!F$2:F$68))</f>
        <v>0.39999999999999991</v>
      </c>
      <c r="F20" s="87">
        <f ca="1">SUMPRODUCT((Data!$B$2:$B$68=$A20)*(Data!$A$2:$A$68=$A$7)*(Data!G$2:G$68))</f>
        <v>2.2000000000000002</v>
      </c>
      <c r="G20" s="87">
        <f ca="1">SUMPRODUCT((Data!$B$2:$B$68=$A20)*(Data!$A$2:$A$68=$A$7)*(Data!H$2:H$68))</f>
        <v>2.2999999999999998</v>
      </c>
      <c r="H20" s="86">
        <f ca="1">SUMPRODUCT((Data!$B$2:$B$68=$A20)*(Data!$A$2:$A$68=$A$7)*(Data!I$2:I$68))</f>
        <v>2.7</v>
      </c>
      <c r="I20" s="87">
        <f ca="1">SUMPRODUCT((Data!$B$2:$B$68=$A20)*(Data!$A$2:$A$68=$A$7)*(Data!J$2:J$68))</f>
        <v>2.5</v>
      </c>
      <c r="J20" s="87">
        <f ca="1">SUMPRODUCT((Data!$B$2:$B$68=$A20)*(Data!$A$2:$A$68=$A$7)*(Data!K$2:K$68))</f>
        <v>2.2999999999999998</v>
      </c>
    </row>
    <row r="21" spans="1:10" x14ac:dyDescent="0.2">
      <c r="A21" s="13" t="s">
        <v>13</v>
      </c>
      <c r="B21" s="87">
        <f ca="1">SUMPRODUCT((Data!$B$2:$B$68=$A21)*(Data!$A$2:$A$68=$A$7)*(Data!C$2:C$68))</f>
        <v>1.9</v>
      </c>
      <c r="C21" s="87">
        <f ca="1">SUMPRODUCT((Data!$B$2:$B$68=$A21)*(Data!$A$2:$A$68=$A$7)*(Data!D$2:D$68))</f>
        <v>2</v>
      </c>
      <c r="D21" s="87">
        <f ca="1">SUMPRODUCT((Data!$B$2:$B$68=$A21)*(Data!$A$2:$A$68=$A$7)*(Data!E$2:E$68))</f>
        <v>2</v>
      </c>
      <c r="E21" s="87">
        <f ca="1">SUMPRODUCT((Data!$B$2:$B$68=$A21)*(Data!$A$2:$A$68=$A$7)*(Data!F$2:F$68))</f>
        <v>2</v>
      </c>
      <c r="F21" s="87">
        <f ca="1">SUMPRODUCT((Data!$B$2:$B$68=$A21)*(Data!$A$2:$A$68=$A$7)*(Data!G$2:G$68))</f>
        <v>4.0999999999999996</v>
      </c>
      <c r="G21" s="87">
        <f ca="1">SUMPRODUCT((Data!$B$2:$B$68=$A21)*(Data!$A$2:$A$68=$A$7)*(Data!H$2:H$68))</f>
        <v>4.2</v>
      </c>
      <c r="H21" s="87">
        <f ca="1">SUMPRODUCT((Data!$B$2:$B$68=$A21)*(Data!$A$2:$A$68=$A$7)*(Data!I$2:I$68))</f>
        <v>3.9</v>
      </c>
      <c r="I21" s="87">
        <f ca="1">SUMPRODUCT((Data!$B$2:$B$68=$A21)*(Data!$A$2:$A$68=$A$7)*(Data!J$2:J$68))</f>
        <v>3.9</v>
      </c>
      <c r="J21" s="87">
        <f ca="1">SUMPRODUCT((Data!$B$2:$B$68=$A21)*(Data!$A$2:$A$68=$A$7)*(Data!K$2:K$68))</f>
        <v>4</v>
      </c>
    </row>
    <row r="22" spans="1:10" x14ac:dyDescent="0.2">
      <c r="A22" s="14" t="s">
        <v>14</v>
      </c>
      <c r="B22" s="87">
        <f ca="1">SUMPRODUCT((Data!$B$2:$B$68=$A22)*(Data!$A$2:$A$68=$A$7)*(Data!C$2:C$68))</f>
        <v>2.4500000000000002</v>
      </c>
      <c r="C22" s="87">
        <f ca="1">SUMPRODUCT((Data!$B$2:$B$68=$A22)*(Data!$A$2:$A$68=$A$7)*(Data!D$2:D$68))</f>
        <v>2.5500000000000003</v>
      </c>
      <c r="D22" s="87">
        <f ca="1">SUMPRODUCT((Data!$B$2:$B$68=$A22)*(Data!$A$2:$A$68=$A$7)*(Data!E$2:E$68))</f>
        <v>2.5499999999999998</v>
      </c>
      <c r="E22" s="87">
        <f ca="1">SUMPRODUCT((Data!$B$2:$B$68=$A22)*(Data!$A$2:$A$68=$A$7)*(Data!F$2:F$68))</f>
        <v>2.65</v>
      </c>
      <c r="F22" s="87">
        <f ca="1">SUMPRODUCT((Data!$B$2:$B$68=$A22)*(Data!$A$2:$A$68=$A$7)*(Data!G$2:G$68))</f>
        <v>4.7</v>
      </c>
      <c r="G22" s="87">
        <f ca="1">SUMPRODUCT((Data!$B$2:$B$68=$A22)*(Data!$A$2:$A$68=$A$7)*(Data!H$2:H$68))</f>
        <v>4.9000000000000004</v>
      </c>
      <c r="H22" s="87">
        <f ca="1">SUMPRODUCT((Data!$B$2:$B$68=$A22)*(Data!$A$2:$A$68=$A$7)*(Data!I$2:I$68))</f>
        <v>4.9000000000000004</v>
      </c>
      <c r="I22" s="87">
        <f ca="1">SUMPRODUCT((Data!$B$2:$B$68=$A22)*(Data!$A$2:$A$68=$A$7)*(Data!J$2:J$68))</f>
        <v>4.5999999999999996</v>
      </c>
      <c r="J22" s="87">
        <f ca="1">SUMPRODUCT((Data!$B$2:$B$68=$A22)*(Data!$A$2:$A$68=$A$7)*(Data!K$2:K$68))</f>
        <v>4.9000000000000004</v>
      </c>
    </row>
    <row r="23" spans="1:10" x14ac:dyDescent="0.2">
      <c r="A23" s="14" t="s">
        <v>15</v>
      </c>
      <c r="B23" s="87">
        <f ca="1">SUMPRODUCT((Data!$B$2:$B$68=$A23)*(Data!$A$2:$A$68=$A$7)*(Data!C$2:C$68))</f>
        <v>0.7</v>
      </c>
      <c r="C23" s="87">
        <f ca="1">SUMPRODUCT((Data!$B$2:$B$68=$A23)*(Data!$A$2:$A$68=$A$7)*(Data!D$2:D$68))</f>
        <v>0.79999999999999993</v>
      </c>
      <c r="D23" s="87">
        <f ca="1">SUMPRODUCT((Data!$B$2:$B$68=$A23)*(Data!$A$2:$A$68=$A$7)*(Data!E$2:E$68))</f>
        <v>0.60000000000000009</v>
      </c>
      <c r="E23" s="87">
        <f ca="1">SUMPRODUCT((Data!$B$2:$B$68=$A23)*(Data!$A$2:$A$68=$A$7)*(Data!F$2:F$68))</f>
        <v>0.60000000000000009</v>
      </c>
      <c r="F23" s="87">
        <f ca="1">SUMPRODUCT((Data!$B$2:$B$68=$A23)*(Data!$A$2:$A$68=$A$7)*(Data!G$2:G$68))</f>
        <v>2.5</v>
      </c>
      <c r="G23" s="87">
        <f ca="1">SUMPRODUCT((Data!$B$2:$B$68=$A23)*(Data!$A$2:$A$68=$A$7)*(Data!H$2:H$68))</f>
        <v>2.4</v>
      </c>
      <c r="H23" s="87">
        <f ca="1">SUMPRODUCT((Data!$B$2:$B$68=$A23)*(Data!$A$2:$A$68=$A$7)*(Data!I$2:I$68))</f>
        <v>2.2999999999999998</v>
      </c>
      <c r="I23" s="87">
        <f ca="1">SUMPRODUCT((Data!$B$2:$B$68=$A23)*(Data!$A$2:$A$68=$A$7)*(Data!J$2:J$68))</f>
        <v>2.6</v>
      </c>
      <c r="J23" s="87">
        <f ca="1">SUMPRODUCT((Data!$B$2:$B$68=$A23)*(Data!$A$2:$A$68=$A$7)*(Data!K$2:K$68))</f>
        <v>2.5</v>
      </c>
    </row>
    <row r="26" spans="1:10" x14ac:dyDescent="0.2">
      <c r="A26" s="88" t="s">
        <v>32</v>
      </c>
      <c r="B26" s="89" t="str">
        <f t="shared" ref="B26:G26" ca="1" si="0">B2</f>
        <v>FY 14</v>
      </c>
      <c r="C26" s="89" t="str">
        <f t="shared" ca="1" si="0"/>
        <v>FY 15</v>
      </c>
      <c r="D26" s="89" t="str">
        <f t="shared" ca="1" si="0"/>
        <v>FY 16</v>
      </c>
      <c r="E26" s="89" t="str">
        <f t="shared" ca="1" si="0"/>
        <v>FY 17</v>
      </c>
      <c r="F26" s="89" t="str">
        <f t="shared" ca="1" si="0"/>
        <v>FY 18</v>
      </c>
      <c r="G26" s="89" t="str">
        <f t="shared" ca="1" si="0"/>
        <v>FY 19</v>
      </c>
    </row>
    <row r="27" spans="1:10" x14ac:dyDescent="0.2">
      <c r="A27" s="13" t="s">
        <v>0</v>
      </c>
      <c r="B27" s="84">
        <f ca="1">INDEX($A$8:$J$23,MATCH($A27,$A$8:$A$23,0),MATCH(B$26,$B$7:$J$7,0)+1)</f>
        <v>3818</v>
      </c>
      <c r="C27" s="84">
        <f ca="1">INDEX($A$8:$J$23,MATCH($A27,$A$8:$A$23,0),MATCH(C$26,$B$7:$J$7,0)+1)</f>
        <v>4464</v>
      </c>
      <c r="D27" s="84">
        <f t="shared" ref="D27:G42" ca="1" si="1">INDEX($A$8:$J$23,MATCH($A27,$A$8:$A$23,0),MATCH(D$26,$B$7:$J$7,0)+1)</f>
        <v>4794</v>
      </c>
      <c r="E27" s="84">
        <f t="shared" ca="1" si="1"/>
        <v>5225</v>
      </c>
      <c r="F27" s="84">
        <f t="shared" ca="1" si="1"/>
        <v>5376</v>
      </c>
      <c r="G27" s="84">
        <f t="shared" ca="1" si="1"/>
        <v>4794</v>
      </c>
    </row>
    <row r="28" spans="1:10" x14ac:dyDescent="0.2">
      <c r="A28" s="13" t="s">
        <v>1</v>
      </c>
      <c r="B28" s="84">
        <f t="shared" ref="B28:C42" ca="1" si="2">INDEX($A$8:$J$23,MATCH($A28,$A$8:$A$23,0),MATCH(B$26,$B$7:$J$7,0)+1)</f>
        <v>15875.060000000001</v>
      </c>
      <c r="C28" s="84">
        <f t="shared" ca="1" si="2"/>
        <v>16590.27</v>
      </c>
      <c r="D28" s="84">
        <f t="shared" ca="1" si="1"/>
        <v>18318.719999999998</v>
      </c>
      <c r="E28" s="84">
        <f t="shared" ca="1" si="1"/>
        <v>19006.649999999998</v>
      </c>
      <c r="F28" s="84">
        <f t="shared" ca="1" si="1"/>
        <v>24008.400000000001</v>
      </c>
      <c r="G28" s="84">
        <f t="shared" ca="1" si="1"/>
        <v>18318.719999999998</v>
      </c>
    </row>
    <row r="29" spans="1:10" x14ac:dyDescent="0.2">
      <c r="A29" s="13" t="s">
        <v>2</v>
      </c>
      <c r="B29" s="85">
        <f t="shared" ca="1" si="2"/>
        <v>2.35</v>
      </c>
      <c r="C29" s="85">
        <f t="shared" ca="1" si="2"/>
        <v>2.4</v>
      </c>
      <c r="D29" s="85">
        <f t="shared" ca="1" si="1"/>
        <v>2.4500000000000002</v>
      </c>
      <c r="E29" s="85">
        <f t="shared" ca="1" si="1"/>
        <v>3.2</v>
      </c>
      <c r="F29" s="85">
        <f t="shared" ca="1" si="1"/>
        <v>4.5</v>
      </c>
      <c r="G29" s="85">
        <f t="shared" ca="1" si="1"/>
        <v>5.625</v>
      </c>
    </row>
    <row r="30" spans="1:10" x14ac:dyDescent="0.2">
      <c r="A30" s="13" t="s">
        <v>3</v>
      </c>
      <c r="B30" s="85">
        <f t="shared" ca="1" si="2"/>
        <v>0.87</v>
      </c>
      <c r="C30" s="85">
        <f t="shared" ca="1" si="2"/>
        <v>0.97</v>
      </c>
      <c r="D30" s="85">
        <f t="shared" ca="1" si="1"/>
        <v>0.67</v>
      </c>
      <c r="E30" s="85">
        <f t="shared" ca="1" si="1"/>
        <v>0.77</v>
      </c>
      <c r="F30" s="85">
        <f t="shared" ca="1" si="1"/>
        <v>0.87</v>
      </c>
      <c r="G30" s="85">
        <f t="shared" ca="1" si="1"/>
        <v>0.97</v>
      </c>
    </row>
    <row r="31" spans="1:10" x14ac:dyDescent="0.2">
      <c r="A31" s="13" t="s">
        <v>4</v>
      </c>
      <c r="B31" s="86">
        <f t="shared" ca="1" si="2"/>
        <v>1.6</v>
      </c>
      <c r="C31" s="86">
        <f t="shared" ca="1" si="2"/>
        <v>1.5</v>
      </c>
      <c r="D31" s="86">
        <f t="shared" ca="1" si="1"/>
        <v>3.5</v>
      </c>
      <c r="E31" s="86">
        <f t="shared" ca="1" si="1"/>
        <v>3.6</v>
      </c>
      <c r="F31" s="86">
        <f t="shared" ca="1" si="1"/>
        <v>4.25</v>
      </c>
      <c r="G31" s="86">
        <f t="shared" ca="1" si="1"/>
        <v>5.0625</v>
      </c>
    </row>
    <row r="32" spans="1:10" x14ac:dyDescent="0.2">
      <c r="A32" s="13" t="s">
        <v>5</v>
      </c>
      <c r="B32" s="86">
        <f t="shared" ca="1" si="2"/>
        <v>25.8</v>
      </c>
      <c r="C32" s="86">
        <f t="shared" ca="1" si="2"/>
        <v>24.7</v>
      </c>
      <c r="D32" s="86">
        <f t="shared" ca="1" si="1"/>
        <v>28.6</v>
      </c>
      <c r="E32" s="86">
        <f t="shared" ca="1" si="1"/>
        <v>29.6</v>
      </c>
      <c r="F32" s="86">
        <f t="shared" ca="1" si="1"/>
        <v>31.75</v>
      </c>
      <c r="G32" s="86">
        <f t="shared" ca="1" si="1"/>
        <v>26.6875</v>
      </c>
    </row>
    <row r="33" spans="1:9" x14ac:dyDescent="0.2">
      <c r="A33" s="13" t="s">
        <v>6</v>
      </c>
      <c r="B33" s="86">
        <f t="shared" ca="1" si="2"/>
        <v>7.3000000000000007</v>
      </c>
      <c r="C33" s="86">
        <f t="shared" ca="1" si="2"/>
        <v>7.3000000000000007</v>
      </c>
      <c r="D33" s="86">
        <f t="shared" ca="1" si="1"/>
        <v>9.4</v>
      </c>
      <c r="E33" s="86">
        <f t="shared" ca="1" si="1"/>
        <v>9.6999999999999993</v>
      </c>
      <c r="F33" s="86">
        <f t="shared" ca="1" si="1"/>
        <v>9.875</v>
      </c>
      <c r="G33" s="86">
        <f t="shared" ca="1" si="1"/>
        <v>10</v>
      </c>
    </row>
    <row r="34" spans="1:9" x14ac:dyDescent="0.2">
      <c r="A34" s="13" t="s">
        <v>7</v>
      </c>
      <c r="B34" s="85">
        <f t="shared" ca="1" si="2"/>
        <v>1.8399999999999999</v>
      </c>
      <c r="C34" s="85">
        <f t="shared" ca="1" si="2"/>
        <v>1.94</v>
      </c>
      <c r="D34" s="85">
        <f t="shared" ca="1" si="1"/>
        <v>1.8740000000000001</v>
      </c>
      <c r="E34" s="85">
        <f t="shared" ca="1" si="1"/>
        <v>1.88</v>
      </c>
      <c r="F34" s="85">
        <f t="shared" ca="1" si="1"/>
        <v>2.1</v>
      </c>
      <c r="G34" s="85">
        <f t="shared" ca="1" si="1"/>
        <v>2.375</v>
      </c>
    </row>
    <row r="35" spans="1:9" x14ac:dyDescent="0.2">
      <c r="A35" s="13" t="s">
        <v>8</v>
      </c>
      <c r="B35" s="84">
        <f t="shared" ca="1" si="2"/>
        <v>240000</v>
      </c>
      <c r="C35" s="84">
        <f t="shared" ca="1" si="2"/>
        <v>200000</v>
      </c>
      <c r="D35" s="84">
        <f t="shared" ca="1" si="1"/>
        <v>295000</v>
      </c>
      <c r="E35" s="84">
        <f t="shared" ca="1" si="1"/>
        <v>340000</v>
      </c>
      <c r="F35" s="84">
        <f t="shared" ca="1" si="1"/>
        <v>387500</v>
      </c>
      <c r="G35" s="84">
        <f t="shared" ca="1" si="1"/>
        <v>484375</v>
      </c>
    </row>
    <row r="36" spans="1:9" x14ac:dyDescent="0.2">
      <c r="A36" s="13" t="s">
        <v>9</v>
      </c>
      <c r="B36" s="84">
        <f t="shared" ca="1" si="2"/>
        <v>129450</v>
      </c>
      <c r="C36" s="84">
        <f t="shared" ca="1" si="2"/>
        <v>169382.5</v>
      </c>
      <c r="D36" s="84">
        <f t="shared" ca="1" si="1"/>
        <v>176450</v>
      </c>
      <c r="E36" s="84">
        <f t="shared" ca="1" si="1"/>
        <v>160492</v>
      </c>
      <c r="F36" s="84">
        <f t="shared" ca="1" si="1"/>
        <v>200615</v>
      </c>
      <c r="G36" s="84">
        <f t="shared" ca="1" si="1"/>
        <v>250768.75</v>
      </c>
    </row>
    <row r="37" spans="1:9" x14ac:dyDescent="0.2">
      <c r="A37" s="13" t="s">
        <v>10</v>
      </c>
      <c r="B37" s="84">
        <f t="shared" ca="1" si="2"/>
        <v>154465.5</v>
      </c>
      <c r="C37" s="84">
        <f t="shared" ca="1" si="2"/>
        <v>137450</v>
      </c>
      <c r="D37" s="84">
        <f t="shared" ca="1" si="1"/>
        <v>164575</v>
      </c>
      <c r="E37" s="84">
        <f t="shared" ca="1" si="1"/>
        <v>152959</v>
      </c>
      <c r="F37" s="84">
        <f t="shared" ca="1" si="1"/>
        <v>147959</v>
      </c>
      <c r="G37" s="84">
        <f t="shared" ca="1" si="1"/>
        <v>153561.5</v>
      </c>
    </row>
    <row r="38" spans="1:9" x14ac:dyDescent="0.2">
      <c r="A38" s="13" t="s">
        <v>11</v>
      </c>
      <c r="B38" s="84">
        <f t="shared" ca="1" si="2"/>
        <v>15770</v>
      </c>
      <c r="C38" s="84">
        <f t="shared" ca="1" si="2"/>
        <v>16350</v>
      </c>
      <c r="D38" s="84">
        <f t="shared" ca="1" si="1"/>
        <v>16935</v>
      </c>
      <c r="E38" s="84">
        <f t="shared" ca="1" si="1"/>
        <v>17450</v>
      </c>
      <c r="F38" s="84">
        <f t="shared" ca="1" si="1"/>
        <v>17950</v>
      </c>
      <c r="G38" s="84">
        <f t="shared" ca="1" si="1"/>
        <v>18450</v>
      </c>
    </row>
    <row r="39" spans="1:9" x14ac:dyDescent="0.2">
      <c r="A39" s="13" t="s">
        <v>12</v>
      </c>
      <c r="B39" s="86">
        <f t="shared" ca="1" si="2"/>
        <v>0.5</v>
      </c>
      <c r="C39" s="87">
        <f t="shared" ca="1" si="2"/>
        <v>0.39999999999999991</v>
      </c>
      <c r="D39" s="87">
        <f t="shared" ca="1" si="1"/>
        <v>2.2000000000000002</v>
      </c>
      <c r="E39" s="87">
        <f t="shared" ca="1" si="1"/>
        <v>2.2999999999999998</v>
      </c>
      <c r="F39" s="87">
        <f t="shared" ca="1" si="1"/>
        <v>2.7</v>
      </c>
      <c r="G39" s="87">
        <f t="shared" ca="1" si="1"/>
        <v>2.5</v>
      </c>
    </row>
    <row r="40" spans="1:9" x14ac:dyDescent="0.2">
      <c r="A40" s="13" t="s">
        <v>13</v>
      </c>
      <c r="B40" s="87">
        <f t="shared" ca="1" si="2"/>
        <v>2</v>
      </c>
      <c r="C40" s="87">
        <f t="shared" ca="1" si="2"/>
        <v>2</v>
      </c>
      <c r="D40" s="87">
        <f t="shared" ca="1" si="1"/>
        <v>4.0999999999999996</v>
      </c>
      <c r="E40" s="87">
        <f t="shared" ca="1" si="1"/>
        <v>4.2</v>
      </c>
      <c r="F40" s="87">
        <f t="shared" ca="1" si="1"/>
        <v>3.9</v>
      </c>
      <c r="G40" s="87">
        <f t="shared" ca="1" si="1"/>
        <v>3.9</v>
      </c>
    </row>
    <row r="41" spans="1:9" x14ac:dyDescent="0.2">
      <c r="A41" s="14" t="s">
        <v>14</v>
      </c>
      <c r="B41" s="87">
        <f t="shared" ca="1" si="2"/>
        <v>2.5499999999999998</v>
      </c>
      <c r="C41" s="87">
        <f t="shared" ca="1" si="2"/>
        <v>2.65</v>
      </c>
      <c r="D41" s="87">
        <f t="shared" ca="1" si="1"/>
        <v>4.7</v>
      </c>
      <c r="E41" s="87">
        <f t="shared" ca="1" si="1"/>
        <v>4.9000000000000004</v>
      </c>
      <c r="F41" s="87">
        <f t="shared" ca="1" si="1"/>
        <v>4.9000000000000004</v>
      </c>
      <c r="G41" s="87">
        <f t="shared" ca="1" si="1"/>
        <v>4.5999999999999996</v>
      </c>
    </row>
    <row r="42" spans="1:9" x14ac:dyDescent="0.2">
      <c r="A42" s="14" t="s">
        <v>15</v>
      </c>
      <c r="B42" s="87">
        <f t="shared" ca="1" si="2"/>
        <v>0.60000000000000009</v>
      </c>
      <c r="C42" s="87">
        <f t="shared" ca="1" si="2"/>
        <v>0.60000000000000009</v>
      </c>
      <c r="D42" s="87">
        <f t="shared" ca="1" si="1"/>
        <v>2.5</v>
      </c>
      <c r="E42" s="87">
        <f t="shared" ca="1" si="1"/>
        <v>2.4</v>
      </c>
      <c r="F42" s="87">
        <f t="shared" ca="1" si="1"/>
        <v>2.2999999999999998</v>
      </c>
      <c r="G42" s="87">
        <f t="shared" ca="1" si="1"/>
        <v>2.6</v>
      </c>
    </row>
    <row r="43" spans="1:9" x14ac:dyDescent="0.2">
      <c r="A43" s="1"/>
    </row>
    <row r="44" spans="1:9" x14ac:dyDescent="0.2">
      <c r="A44" s="1"/>
    </row>
    <row r="45" spans="1:9" x14ac:dyDescent="0.2">
      <c r="A45" s="73" t="s">
        <v>77</v>
      </c>
      <c r="B45" s="75" t="str">
        <f ca="1">"FY "&amp;IF(RIGHT(C45,2)-1&lt;10,"0"&amp;RIGHT(C45,2)-1,RIGHT(C45,2)-1)</f>
        <v>FY 12</v>
      </c>
      <c r="C45" s="75" t="str">
        <f ca="1">"FY "&amp;IF(RIGHT(D45,2)-1&lt;10,"0"&amp;RIGHT(D45,2)-1,RIGHT(D45,2)-1)</f>
        <v>FY 13</v>
      </c>
      <c r="D45" s="75" t="str">
        <f t="shared" ref="D45:I45" ca="1" si="3">B26</f>
        <v>FY 14</v>
      </c>
      <c r="E45" s="75" t="str">
        <f t="shared" ca="1" si="3"/>
        <v>FY 15</v>
      </c>
      <c r="F45" s="75" t="str">
        <f t="shared" ca="1" si="3"/>
        <v>FY 16</v>
      </c>
      <c r="G45" s="75" t="str">
        <f t="shared" ca="1" si="3"/>
        <v>FY 17</v>
      </c>
      <c r="H45" s="75" t="str">
        <f t="shared" ca="1" si="3"/>
        <v>FY 18</v>
      </c>
      <c r="I45" s="75" t="str">
        <f t="shared" ca="1" si="3"/>
        <v>FY 19</v>
      </c>
    </row>
    <row r="46" spans="1:9" x14ac:dyDescent="0.2">
      <c r="A46" t="s">
        <v>66</v>
      </c>
      <c r="B46">
        <f ca="1">SUMPRODUCT((Hires!$A$2:$A$10=$A46)*(Hires!$B$2:$B$10=$A$7)*(Hires!$C$1:$M$1=B$45)*(Hires!$C$2:$M$10))</f>
        <v>612</v>
      </c>
      <c r="C46">
        <f ca="1">SUMPRODUCT((Hires!$A$2:$A$10=$A46)*(Hires!$B$2:$B$10=$A$7)*(Hires!$C$1:$M$1=C$45)*(Hires!$C$2:$M$10))</f>
        <v>714</v>
      </c>
      <c r="D46">
        <f ca="1">SUMPRODUCT((Hires!$A$2:$A$10=$A46)*(Hires!$B$2:$B$10=$A$7)*(Hires!$C$1:$M$1=D$45)*(Hires!$C$2:$M$10))</f>
        <v>332</v>
      </c>
      <c r="E46">
        <f ca="1">SUMPRODUCT((Hires!$A$2:$A$10=$A46)*(Hires!$B$2:$B$10=$A$7)*(Hires!$C$1:$M$1=E$45)*(Hires!$C$2:$M$10))</f>
        <v>235</v>
      </c>
      <c r="F46">
        <f ca="1">SUMPRODUCT((Hires!$A$2:$A$10=$A46)*(Hires!$B$2:$B$10=$A$7)*(Hires!$C$1:$M$1=F$45)*(Hires!$C$2:$M$10))</f>
        <v>519</v>
      </c>
      <c r="G46">
        <f ca="1">SUMPRODUCT((Hires!$A$2:$A$10=$A46)*(Hires!$B$2:$B$10=$A$7)*(Hires!$C$1:$M$1=G$45)*(Hires!$C$2:$M$10))</f>
        <v>412</v>
      </c>
      <c r="H46">
        <f ca="1">SUMPRODUCT((Hires!$A$2:$A$10=$A46)*(Hires!$B$2:$B$10=$A$7)*(Hires!$C$1:$M$1=H$45)*(Hires!$C$2:$M$10))</f>
        <v>1020</v>
      </c>
      <c r="I46">
        <f ca="1">SUMPRODUCT((Hires!$A$2:$A$10=$A46)*(Hires!$B$2:$B$10=$A$7)*(Hires!$C$1:$M$1=I$45)*(Hires!$C$2:$M$10))</f>
        <v>1122</v>
      </c>
    </row>
    <row r="47" spans="1:9" x14ac:dyDescent="0.2">
      <c r="A47" s="1" t="s">
        <v>65</v>
      </c>
      <c r="B47">
        <f ca="1">SUMPRODUCT((Hires!$A$2:$A$10=$A47)*(Hires!$B$2:$B$10=$A$7)*(Hires!$C$1:$M$1=B$45)*(Hires!$C$2:$M$10))</f>
        <v>-816</v>
      </c>
      <c r="C47">
        <f ca="1">SUMPRODUCT((Hires!$A$2:$A$10=$A47)*(Hires!$B$2:$B$10=$A$7)*(Hires!$C$1:$M$1=C$45)*(Hires!$C$2:$M$10))</f>
        <v>-301</v>
      </c>
      <c r="D47">
        <f ca="1">SUMPRODUCT((Hires!$A$2:$A$10=$A47)*(Hires!$B$2:$B$10=$A$7)*(Hires!$C$1:$M$1=D$45)*(Hires!$C$2:$M$10))</f>
        <v>-301</v>
      </c>
      <c r="E47">
        <f ca="1">SUMPRODUCT((Hires!$A$2:$A$10=$A47)*(Hires!$B$2:$B$10=$A$7)*(Hires!$C$1:$M$1=E$45)*(Hires!$C$2:$M$10))</f>
        <v>-204</v>
      </c>
      <c r="F47">
        <f ca="1">SUMPRODUCT((Hires!$A$2:$A$10=$A47)*(Hires!$B$2:$B$10=$A$7)*(Hires!$C$1:$M$1=F$45)*(Hires!$C$2:$M$10))</f>
        <v>-354</v>
      </c>
      <c r="G47">
        <f ca="1">SUMPRODUCT((Hires!$A$2:$A$10=$A47)*(Hires!$B$2:$B$10=$A$7)*(Hires!$C$1:$M$1=G$45)*(Hires!$C$2:$M$10))</f>
        <v>-204</v>
      </c>
      <c r="H47">
        <f ca="1">SUMPRODUCT((Hires!$A$2:$A$10=$A47)*(Hires!$B$2:$B$10=$A$7)*(Hires!$C$1:$M$1=H$45)*(Hires!$C$2:$M$10))</f>
        <v>-612</v>
      </c>
      <c r="I47">
        <f ca="1">SUMPRODUCT((Hires!$A$2:$A$10=$A47)*(Hires!$B$2:$B$10=$A$7)*(Hires!$C$1:$M$1=I$45)*(Hires!$C$2:$M$10))</f>
        <v>-102</v>
      </c>
    </row>
    <row r="49" spans="1:3" x14ac:dyDescent="0.2">
      <c r="A49" s="1"/>
    </row>
    <row r="50" spans="1:3" x14ac:dyDescent="0.2">
      <c r="A50" s="88" t="s">
        <v>78</v>
      </c>
      <c r="B50" s="88" t="s">
        <v>45</v>
      </c>
    </row>
    <row r="51" spans="1:3" x14ac:dyDescent="0.2">
      <c r="A51" s="13" t="s">
        <v>37</v>
      </c>
      <c r="B51" s="90">
        <f ca="1">SUMPRODUCT((Other!$A$2:$A$40=$A$7)*(Other!$B$2:$B$40=$A51)*(Other!$C$2:$C$40))</f>
        <v>87.083333333333343</v>
      </c>
    </row>
    <row r="52" spans="1:3" x14ac:dyDescent="0.2">
      <c r="A52" s="13" t="s">
        <v>38</v>
      </c>
      <c r="B52" s="90">
        <f ca="1">SUMPRODUCT((Other!$A$2:$A$40=$A$7)*(Other!$B$2:$B$40=$A52)*(Other!$C$2:$C$40))</f>
        <v>174.16666666666669</v>
      </c>
    </row>
    <row r="53" spans="1:3" x14ac:dyDescent="0.2">
      <c r="A53" s="13" t="s">
        <v>39</v>
      </c>
      <c r="B53" s="90">
        <f ca="1">SUMPRODUCT((Other!$A$2:$A$40=$A$7)*(Other!$B$2:$B$40=$A53)*(Other!$C$2:$C$40))</f>
        <v>130.625</v>
      </c>
    </row>
    <row r="54" spans="1:3" x14ac:dyDescent="0.2">
      <c r="A54" s="13" t="s">
        <v>40</v>
      </c>
      <c r="B54" s="90">
        <f ca="1">SUMPRODUCT((Other!$A$2:$A$40=$A$7)*(Other!$B$2:$B$40=$A54)*(Other!$C$2:$C$40))</f>
        <v>43.541666666666671</v>
      </c>
    </row>
    <row r="55" spans="1:3" x14ac:dyDescent="0.2">
      <c r="A55" s="13" t="s">
        <v>0</v>
      </c>
      <c r="B55" s="90">
        <f ca="1">SUMPRODUCT((Other!$A$2:$A$40=$A$7)*(Other!$B$2:$B$40=$A55)*(Other!$C$2:$C$40))</f>
        <v>435.41666666666669</v>
      </c>
    </row>
    <row r="56" spans="1:3" x14ac:dyDescent="0.2">
      <c r="A56" s="13" t="s">
        <v>41</v>
      </c>
      <c r="B56" s="90">
        <f ca="1">SUMPRODUCT((Other!$A$2:$A$40=$A$7)*(Other!$B$2:$B$40=$A56)*(Other!$C$2:$C$40))</f>
        <v>217.70833333333334</v>
      </c>
    </row>
    <row r="57" spans="1:3" x14ac:dyDescent="0.2">
      <c r="A57" s="13" t="s">
        <v>42</v>
      </c>
      <c r="B57" s="90">
        <f ca="1">SUMPRODUCT((Other!$A$2:$A$40=$A$7)*(Other!$B$2:$B$40=$A57)*(Other!$C$2:$C$40))</f>
        <v>54.427083333333336</v>
      </c>
    </row>
    <row r="58" spans="1:3" x14ac:dyDescent="0.2">
      <c r="A58" s="13" t="s">
        <v>43</v>
      </c>
      <c r="B58" s="90">
        <f ca="1">SUMPRODUCT((Other!$A$2:$A$40=$A$7)*(Other!$B$2:$B$40=$A58)*(Other!$C$2:$C$40))</f>
        <v>272.13541666666669</v>
      </c>
    </row>
    <row r="59" spans="1:3" x14ac:dyDescent="0.2">
      <c r="A59" s="13" t="s">
        <v>44</v>
      </c>
      <c r="B59" s="90">
        <f ca="1">SUMPRODUCT((Other!$A$2:$A$40=$A$7)*(Other!$B$2:$B$40=$A59)*(Other!$C$2:$C$40))</f>
        <v>163.28125</v>
      </c>
    </row>
    <row r="60" spans="1:3" x14ac:dyDescent="0.2">
      <c r="A60" s="1"/>
    </row>
    <row r="61" spans="1:3" x14ac:dyDescent="0.2">
      <c r="A61" s="1"/>
    </row>
    <row r="62" spans="1:3" x14ac:dyDescent="0.2">
      <c r="A62" s="88" t="s">
        <v>36</v>
      </c>
      <c r="B62" s="88" t="s">
        <v>62</v>
      </c>
      <c r="C62" s="88" t="s">
        <v>45</v>
      </c>
    </row>
    <row r="63" spans="1:3" x14ac:dyDescent="0.2">
      <c r="A63" s="1" t="s">
        <v>47</v>
      </c>
      <c r="B63" t="s">
        <v>46</v>
      </c>
      <c r="C63" s="49">
        <f ca="1">SUMPRODUCT((FTE!$A$2:$A$24=$A$7)*(FTE!$D$2:$D$24=$A63)*(FTE!$C$2:$C$24=$B63)*(FTE!$E$2:$E$24))</f>
        <v>1721.872400341279</v>
      </c>
    </row>
    <row r="64" spans="1:3" x14ac:dyDescent="0.2">
      <c r="A64" s="1" t="s">
        <v>48</v>
      </c>
      <c r="B64" t="s">
        <v>46</v>
      </c>
      <c r="C64" s="49">
        <f ca="1">SUMPRODUCT((FTE!$A$2:$A$24=$A$7)*(FTE!$D$2:$D$24=$A64)*(FTE!$C$2:$C$24=$B64)*(FTE!$E$2:$E$24))</f>
        <v>1682.4511473883313</v>
      </c>
    </row>
    <row r="65" spans="1:3" x14ac:dyDescent="0.2">
      <c r="A65" s="1" t="s">
        <v>47</v>
      </c>
      <c r="B65" t="s">
        <v>49</v>
      </c>
      <c r="C65" s="49">
        <f ca="1">SUMPRODUCT((FTE!$A$2:$A$24=$A$7)*(FTE!$D$2:$D$24=$A65)*(FTE!$C$2:$C$24=$B65)*(FTE!$E$2:$E$24))</f>
        <v>2290.966819452924</v>
      </c>
    </row>
    <row r="66" spans="1:3" x14ac:dyDescent="0.2">
      <c r="A66" s="1" t="s">
        <v>48</v>
      </c>
      <c r="B66" t="s">
        <v>49</v>
      </c>
      <c r="C66" s="49">
        <f ca="1">SUMPRODUCT((FTE!$A$2:$A$24=$A$7)*(FTE!$D$2:$D$24=$A66)*(FTE!$C$2:$C$24=$B66)*(FTE!$E$2:$E$24))</f>
        <v>2200</v>
      </c>
    </row>
    <row r="67" spans="1:3" x14ac:dyDescent="0.2">
      <c r="A67" s="69" t="s">
        <v>50</v>
      </c>
      <c r="B67" t="s">
        <v>49</v>
      </c>
      <c r="C67" s="49">
        <f ca="1">SUMPRODUCT((FTE!$A$2:$A$24=$A$7)*(FTE!$D$2:$D$24=$A67)*(FTE!$C$2:$C$24=$B67)*(FTE!$E$2:$E$24))</f>
        <v>2202.1554011347375</v>
      </c>
    </row>
    <row r="68" spans="1:3" x14ac:dyDescent="0.2">
      <c r="A68" s="1"/>
    </row>
    <row r="69" spans="1:3" x14ac:dyDescent="0.2">
      <c r="A69" s="1"/>
    </row>
    <row r="70" spans="1:3" x14ac:dyDescent="0.2">
      <c r="A70" s="88" t="s">
        <v>63</v>
      </c>
      <c r="B70" s="88" t="s">
        <v>60</v>
      </c>
    </row>
    <row r="71" spans="1:3" x14ac:dyDescent="0.2">
      <c r="A71" s="13" t="s">
        <v>51</v>
      </c>
      <c r="B71" s="52">
        <f ca="1">SUMPRODUCT((General!$A$2:$A$40=$A$7)*(General!$B$2:$B$40=$A71)*(General!$C$2:$C$40))</f>
        <v>0.18</v>
      </c>
    </row>
    <row r="72" spans="1:3" x14ac:dyDescent="0.2">
      <c r="A72" s="13" t="s">
        <v>52</v>
      </c>
      <c r="B72" s="52">
        <f ca="1">SUMPRODUCT((General!$A$2:$A$40=$A$7)*(General!$B$2:$B$40=$A72)*(General!$C$2:$C$40))</f>
        <v>0.22</v>
      </c>
    </row>
    <row r="73" spans="1:3" x14ac:dyDescent="0.2">
      <c r="A73" s="13" t="s">
        <v>53</v>
      </c>
      <c r="B73" s="52">
        <f ca="1">SUMPRODUCT((General!$A$2:$A$40=$A$7)*(General!$B$2:$B$40=$A73)*(General!$C$2:$C$40))</f>
        <v>0.06</v>
      </c>
    </row>
    <row r="74" spans="1:3" x14ac:dyDescent="0.2">
      <c r="A74" s="13" t="s">
        <v>40</v>
      </c>
      <c r="B74" s="52">
        <f ca="1">SUMPRODUCT((General!$A$2:$A$40=$A$7)*(General!$B$2:$B$40=$A74)*(General!$C$2:$C$40))</f>
        <v>0.01</v>
      </c>
    </row>
    <row r="75" spans="1:3" x14ac:dyDescent="0.2">
      <c r="A75" s="13" t="s">
        <v>54</v>
      </c>
      <c r="B75" s="52">
        <f ca="1">SUMPRODUCT((General!$A$2:$A$40=$A$7)*(General!$B$2:$B$40=$A75)*(General!$C$2:$C$40))</f>
        <v>0.04</v>
      </c>
    </row>
    <row r="76" spans="1:3" x14ac:dyDescent="0.2">
      <c r="A76" s="13" t="s">
        <v>55</v>
      </c>
      <c r="B76" s="52">
        <f ca="1">SUMPRODUCT((General!$A$2:$A$40=$A$7)*(General!$B$2:$B$40=$A76)*(General!$C$2:$C$40))</f>
        <v>0.12</v>
      </c>
    </row>
    <row r="77" spans="1:3" x14ac:dyDescent="0.2">
      <c r="A77" s="13" t="s">
        <v>56</v>
      </c>
      <c r="B77" s="52">
        <f ca="1">SUMPRODUCT((General!$A$2:$A$40=$A$7)*(General!$B$2:$B$40=$A77)*(General!$C$2:$C$40))</f>
        <v>0.15</v>
      </c>
    </row>
    <row r="78" spans="1:3" x14ac:dyDescent="0.2">
      <c r="A78" s="13" t="s">
        <v>57</v>
      </c>
      <c r="B78" s="52">
        <f ca="1">SUMPRODUCT((General!$A$2:$A$40=$A$7)*(General!$B$2:$B$40=$A78)*(General!$C$2:$C$40))</f>
        <v>0.14000000000000001</v>
      </c>
    </row>
    <row r="79" spans="1:3" x14ac:dyDescent="0.2">
      <c r="A79" s="13" t="s">
        <v>58</v>
      </c>
      <c r="B79" s="52">
        <f ca="1">SUMPRODUCT((General!$A$2:$A$40=$A$7)*(General!$B$2:$B$40=$A79)*(General!$C$2:$C$40))</f>
        <v>0.08</v>
      </c>
    </row>
    <row r="82" spans="1:14" x14ac:dyDescent="0.2">
      <c r="A82" s="96" t="s">
        <v>73</v>
      </c>
      <c r="B82" s="96" t="s">
        <v>69</v>
      </c>
      <c r="C82" s="75" t="s">
        <v>70</v>
      </c>
      <c r="D82" s="75" t="s">
        <v>75</v>
      </c>
      <c r="E82" s="75" t="s">
        <v>71</v>
      </c>
      <c r="F82" s="75" t="s">
        <v>74</v>
      </c>
    </row>
    <row r="83" spans="1:14" x14ac:dyDescent="0.2">
      <c r="A83" t="s">
        <v>72</v>
      </c>
      <c r="B83" s="71" t="str">
        <f ca="1">A7</f>
        <v>Scotland</v>
      </c>
      <c r="C83" s="52">
        <f ca="1">SUMIFS(Cust!C$2:C$5,Cust!$B$2:$B$5,$A$7)</f>
        <v>0.8</v>
      </c>
      <c r="D83" s="52">
        <f ca="1">1-C83</f>
        <v>0.19999999999999996</v>
      </c>
      <c r="E83" s="52">
        <f ca="1">SUMIFS(Cust!D$2:D$5,Cust!$B$2:$B$5,$A$7)</f>
        <v>0.85</v>
      </c>
      <c r="F83" s="52">
        <f ca="1">1-E83</f>
        <v>0.15000000000000002</v>
      </c>
    </row>
    <row r="86" spans="1:14" x14ac:dyDescent="0.2">
      <c r="A86" s="96" t="s">
        <v>92</v>
      </c>
      <c r="B86" s="96" t="s">
        <v>91</v>
      </c>
      <c r="C86" s="75" t="s">
        <v>79</v>
      </c>
      <c r="D86" s="75" t="s">
        <v>80</v>
      </c>
      <c r="E86" s="75" t="s">
        <v>81</v>
      </c>
      <c r="F86" s="75" t="s">
        <v>82</v>
      </c>
      <c r="G86" s="75" t="s">
        <v>83</v>
      </c>
      <c r="H86" s="75" t="s">
        <v>84</v>
      </c>
      <c r="I86" s="75" t="s">
        <v>85</v>
      </c>
      <c r="J86" s="75" t="s">
        <v>86</v>
      </c>
      <c r="K86" s="75" t="s">
        <v>87</v>
      </c>
      <c r="L86" s="75" t="s">
        <v>88</v>
      </c>
      <c r="M86" s="75" t="s">
        <v>89</v>
      </c>
      <c r="N86" s="75" t="s">
        <v>90</v>
      </c>
    </row>
    <row r="87" spans="1:14" x14ac:dyDescent="0.2">
      <c r="A87" s="5" t="s">
        <v>71</v>
      </c>
      <c r="B87" t="str">
        <f ca="1">$A$7</f>
        <v>Scotland</v>
      </c>
      <c r="C87" s="7">
        <f ca="1">SUMIFS(Sick!C$2:C$10,Sick!$A$2:$A$10,$A87,Sick!$B$2:$B$10,$B87)</f>
        <v>7.7000000000000011</v>
      </c>
      <c r="D87" s="7">
        <f ca="1">SUMIFS(Sick!D$2:D$10,Sick!$A$2:$A$10,$A87,Sick!$B$2:$B$10,$B87)</f>
        <v>8.9133000000000013</v>
      </c>
      <c r="E87" s="7">
        <f ca="1">SUMIFS(Sick!E$2:E$10,Sick!$A$2:$A$10,$A87,Sick!$B$2:$B$10,$B87)</f>
        <v>6.5846</v>
      </c>
      <c r="F87" s="7">
        <f ca="1">SUMIFS(Sick!F$2:F$10,Sick!$A$2:$A$10,$A87,Sick!$B$2:$B$10,$B87)</f>
        <v>8.9936000000000007</v>
      </c>
      <c r="G87" s="7">
        <f ca="1">SUMIFS(Sick!G$2:G$10,Sick!$A$2:$A$10,$A87,Sick!$B$2:$B$10,$B87)</f>
        <v>8.9133000000000013</v>
      </c>
      <c r="H87" s="7">
        <f ca="1">SUMIFS(Sick!H$2:H$10,Sick!$A$2:$A$10,$A87,Sick!$B$2:$B$10,$B87)</f>
        <v>9.0739000000000001</v>
      </c>
      <c r="I87" s="7">
        <f ca="1">SUMIFS(Sick!I$2:I$10,Sick!$A$2:$A$10,$A87,Sick!$B$2:$B$10,$B87)</f>
        <v>7.6284999999999998</v>
      </c>
      <c r="J87" s="7">
        <f ca="1">SUMIFS(Sick!J$2:J$10,Sick!$A$2:$A$10,$A87,Sick!$B$2:$B$10,$B87)</f>
        <v>8.9133000000000013</v>
      </c>
      <c r="K87" s="7">
        <f ca="1">SUMIFS(Sick!K$2:K$10,Sick!$A$2:$A$10,$A87,Sick!$B$2:$B$10,$B87)</f>
        <v>6.6648999999999994</v>
      </c>
      <c r="L87" s="7">
        <f ca="1">SUMIFS(Sick!L$2:L$10,Sick!$A$2:$A$10,$A87,Sick!$B$2:$B$10,$B87)</f>
        <v>6.5043000000000006</v>
      </c>
      <c r="M87" s="7">
        <f ca="1">SUMIFS(Sick!M$2:M$10,Sick!$A$2:$A$10,$A87,Sick!$B$2:$B$10,$B87)</f>
        <v>8.270900000000001</v>
      </c>
      <c r="N87" s="7">
        <f ca="1">SUMIFS(Sick!N$2:N$10,Sick!$A$2:$A$10,$A87,Sick!$B$2:$B$10,$B87)</f>
        <v>8.5921000000000003</v>
      </c>
    </row>
    <row r="88" spans="1:14" x14ac:dyDescent="0.2">
      <c r="A88" s="5" t="s">
        <v>70</v>
      </c>
      <c r="B88" t="str">
        <f ca="1">$A$7</f>
        <v>Scotland</v>
      </c>
      <c r="C88" s="7">
        <f ca="1">SUMIFS(Sick!C$2:C$10,Sick!$A$2:$A$10,$A88,Sick!$B$2:$B$10,$B88)</f>
        <v>7.2</v>
      </c>
      <c r="D88" s="7">
        <f ca="1">SUMIFS(Sick!D$2:D$10,Sick!$A$2:$A$10,$A88,Sick!$B$2:$B$10,$B88)</f>
        <v>7.3737300000000001</v>
      </c>
      <c r="E88" s="7">
        <f ca="1">SUMIFS(Sick!E$2:E$10,Sick!$A$2:$A$10,$A88,Sick!$B$2:$B$10,$B88)</f>
        <v>6.46488</v>
      </c>
      <c r="F88" s="7">
        <f ca="1">SUMIFS(Sick!F$2:F$10,Sick!$A$2:$A$10,$A88,Sick!$B$2:$B$10,$B88)</f>
        <v>7.6854399999999998</v>
      </c>
      <c r="G88" s="7">
        <f ca="1">SUMIFS(Sick!G$2:G$10,Sick!$A$2:$A$10,$A88,Sick!$B$2:$B$10,$B88)</f>
        <v>7.697849999999999</v>
      </c>
      <c r="H88" s="7">
        <f ca="1">SUMIFS(Sick!H$2:H$10,Sick!$A$2:$A$10,$A88,Sick!$B$2:$B$10,$B88)</f>
        <v>7.7540599999999982</v>
      </c>
      <c r="I88" s="7">
        <f ca="1">SUMIFS(Sick!I$2:I$10,Sick!$A$2:$A$10,$A88,Sick!$B$2:$B$10,$B88)</f>
        <v>6.2414999999999994</v>
      </c>
      <c r="J88" s="7">
        <f ca="1">SUMIFS(Sick!J$2:J$10,Sick!$A$2:$A$10,$A88,Sick!$B$2:$B$10,$B88)</f>
        <v>8.751240000000001</v>
      </c>
      <c r="K88" s="7">
        <f ca="1">SUMIFS(Sick!K$2:K$10,Sick!$A$2:$A$10,$A88,Sick!$B$2:$B$10,$B88)</f>
        <v>5.5742799999999999</v>
      </c>
      <c r="L88" s="7">
        <f ca="1">SUMIFS(Sick!L$2:L$10,Sick!$A$2:$A$10,$A88,Sick!$B$2:$B$10,$B88)</f>
        <v>5.7356100000000003</v>
      </c>
      <c r="M88" s="7">
        <f ca="1">SUMIFS(Sick!M$2:M$10,Sick!$A$2:$A$10,$A88,Sick!$B$2:$B$10,$B88)</f>
        <v>6.7671000000000001</v>
      </c>
      <c r="N88" s="7">
        <f ca="1">SUMIFS(Sick!N$2:N$10,Sick!$A$2:$A$10,$A88,Sick!$B$2:$B$10,$B88)</f>
        <v>7.4985599999999994</v>
      </c>
    </row>
  </sheetData>
  <conditionalFormatting sqref="B8:G23 H9:J23">
    <cfRule type="expression" dxfId="6" priority="3" stopIfTrue="1">
      <formula>IF(#REF!=#REF!,1,0)</formula>
    </cfRule>
  </conditionalFormatting>
  <conditionalFormatting sqref="H8:J8">
    <cfRule type="expression" dxfId="5" priority="2" stopIfTrue="1">
      <formula>IF(#REF!=#REF!,1,0)</formula>
    </cfRule>
  </conditionalFormatting>
  <conditionalFormatting sqref="B27:G42">
    <cfRule type="expression" dxfId="4" priority="1" stopIfTrue="1">
      <formula>IF(#REF!=#REF!,1,0)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tabColor theme="1"/>
  </sheetPr>
  <dimension ref="B2:M44"/>
  <sheetViews>
    <sheetView topLeftCell="A13" workbookViewId="0">
      <selection activeCell="M28" sqref="M28"/>
    </sheetView>
  </sheetViews>
  <sheetFormatPr defaultRowHeight="12.75" x14ac:dyDescent="0.2"/>
  <cols>
    <col min="2" max="2" width="33.28515625" bestFit="1" customWidth="1"/>
    <col min="3" max="10" width="9.5703125" bestFit="1" customWidth="1"/>
    <col min="11" max="11" width="11.28515625" customWidth="1"/>
    <col min="12" max="12" width="4.85546875" customWidth="1"/>
  </cols>
  <sheetData>
    <row r="2" spans="2:13" x14ac:dyDescent="0.2">
      <c r="B2" s="88" t="str">
        <f ca="1">Calcs!$A$7</f>
        <v>Scotland</v>
      </c>
      <c r="C2" s="88" t="str">
        <f ca="1">Calcs!B7</f>
        <v>FY 12</v>
      </c>
      <c r="D2" s="88" t="str">
        <f ca="1">Calcs!C7</f>
        <v>FY 13</v>
      </c>
      <c r="E2" s="88" t="str">
        <f ca="1">Calcs!D7</f>
        <v>FY 14</v>
      </c>
      <c r="F2" s="88" t="str">
        <f ca="1">Calcs!E7</f>
        <v>FY 15</v>
      </c>
      <c r="G2" s="88" t="str">
        <f ca="1">Calcs!F7</f>
        <v>FY 16</v>
      </c>
      <c r="H2" s="88" t="str">
        <f ca="1">Calcs!G7</f>
        <v>FY 17</v>
      </c>
      <c r="I2" s="88" t="str">
        <f ca="1">Calcs!H7</f>
        <v>FY 18</v>
      </c>
      <c r="J2" s="88" t="str">
        <f ca="1">Calcs!I7</f>
        <v>FY 19</v>
      </c>
      <c r="K2" s="88" t="str">
        <f ca="1">Calcs!J7</f>
        <v>FY 20</v>
      </c>
      <c r="M2" s="88" t="s">
        <v>115</v>
      </c>
    </row>
    <row r="3" spans="2:13" x14ac:dyDescent="0.2">
      <c r="B3" s="13" t="s">
        <v>0</v>
      </c>
      <c r="C3" s="84">
        <f ca="1">SUMIFS(Data!C$2:C$69,Data!$B$2:$B$69,$B3,Data!$A$2:$A$69,$B$2)</f>
        <v>3330</v>
      </c>
      <c r="D3" s="84">
        <f ca="1">SUMIFS(Data!D$2:D$69,Data!$B$2:$B$69,$B3,Data!$A$2:$A$69,$B$2)</f>
        <v>3685.5</v>
      </c>
      <c r="E3" s="84">
        <f ca="1">SUMIFS(Data!E$2:E$69,Data!$B$2:$B$69,$B3,Data!$A$2:$A$69,$B$2)</f>
        <v>3818</v>
      </c>
      <c r="F3" s="84">
        <f ca="1">SUMIFS(Data!F$2:F$69,Data!$B$2:$B$69,$B3,Data!$A$2:$A$69,$B$2)</f>
        <v>4464</v>
      </c>
      <c r="G3" s="84">
        <f ca="1">SUMIFS(Data!G$2:G$69,Data!$B$2:$B$69,$B3,Data!$A$2:$A$69,$B$2)</f>
        <v>4794</v>
      </c>
      <c r="H3" s="84">
        <f ca="1">SUMIFS(Data!H$2:H$69,Data!$B$2:$B$69,$B3,Data!$A$2:$A$69,$B$2)</f>
        <v>5225</v>
      </c>
      <c r="I3" s="84">
        <f ca="1">SUMIFS(Data!I$2:I$69,Data!$B$2:$B$69,$B3,Data!$A$2:$A$69,$B$2)</f>
        <v>5376</v>
      </c>
      <c r="J3" s="84">
        <f ca="1">SUMIFS(Data!J$2:J$69,Data!$B$2:$B$69,$B3,Data!$A$2:$A$69,$B$2)</f>
        <v>4794</v>
      </c>
      <c r="K3" s="84">
        <f ca="1">SUMIFS(Data!K$2:K$69,Data!$B$2:$B$69,$B3,Data!$A$2:$A$69,$B$2)</f>
        <v>5225</v>
      </c>
    </row>
    <row r="4" spans="2:13" x14ac:dyDescent="0.2">
      <c r="B4" s="13" t="s">
        <v>1</v>
      </c>
      <c r="C4" s="84">
        <f ca="1">SUMIFS(Data!C$2:C$69,Data!$B$2:$B$69,$B4,Data!$A$2:$A$69,$B$2)</f>
        <v>13005</v>
      </c>
      <c r="D4" s="84">
        <f ca="1">SUMIFS(Data!D$2:D$69,Data!$B$2:$B$69,$B4,Data!$A$2:$A$69,$B$2)</f>
        <v>15273.895</v>
      </c>
      <c r="E4" s="84">
        <f ca="1">SUMIFS(Data!E$2:E$69,Data!$B$2:$B$69,$B4,Data!$A$2:$A$69,$B$2)</f>
        <v>15875.060000000001</v>
      </c>
      <c r="F4" s="84">
        <f ca="1">SUMIFS(Data!F$2:F$69,Data!$B$2:$B$69,$B4,Data!$A$2:$A$69,$B$2)</f>
        <v>16590.27</v>
      </c>
      <c r="G4" s="84">
        <f ca="1">SUMIFS(Data!G$2:G$69,Data!$B$2:$B$69,$B4,Data!$A$2:$A$69,$B$2)</f>
        <v>18318.719999999998</v>
      </c>
      <c r="H4" s="84">
        <f ca="1">SUMIFS(Data!H$2:H$69,Data!$B$2:$B$69,$B4,Data!$A$2:$A$69,$B$2)</f>
        <v>19006.649999999998</v>
      </c>
      <c r="I4" s="84">
        <f ca="1">SUMIFS(Data!I$2:I$69,Data!$B$2:$B$69,$B4,Data!$A$2:$A$69,$B$2)</f>
        <v>24008.400000000001</v>
      </c>
      <c r="J4" s="84">
        <f ca="1">SUMIFS(Data!J$2:J$69,Data!$B$2:$B$69,$B4,Data!$A$2:$A$69,$B$2)</f>
        <v>18318.719999999998</v>
      </c>
      <c r="K4" s="84">
        <f ca="1">SUMIFS(Data!K$2:K$69,Data!$B$2:$B$69,$B4,Data!$A$2:$A$69,$B$2)</f>
        <v>19006.649999999998</v>
      </c>
    </row>
    <row r="5" spans="2:13" x14ac:dyDescent="0.2">
      <c r="B5" s="13" t="s">
        <v>2</v>
      </c>
      <c r="C5" s="85">
        <f ca="1">SUMIFS(Data!C$2:C$69,Data!$B$2:$B$69,$B5,Data!$A$2:$A$69,$B$2)</f>
        <v>2.1</v>
      </c>
      <c r="D5" s="85">
        <f ca="1">SUMIFS(Data!D$2:D$69,Data!$B$2:$B$69,$B5,Data!$A$2:$A$69,$B$2)</f>
        <v>2.2000000000000002</v>
      </c>
      <c r="E5" s="85">
        <f ca="1">SUMIFS(Data!E$2:E$69,Data!$B$2:$B$69,$B5,Data!$A$2:$A$69,$B$2)</f>
        <v>2.35</v>
      </c>
      <c r="F5" s="85">
        <f ca="1">SUMIFS(Data!F$2:F$69,Data!$B$2:$B$69,$B5,Data!$A$2:$A$69,$B$2)</f>
        <v>2.4</v>
      </c>
      <c r="G5" s="85">
        <f ca="1">SUMIFS(Data!G$2:G$69,Data!$B$2:$B$69,$B5,Data!$A$2:$A$69,$B$2)</f>
        <v>2.4500000000000002</v>
      </c>
      <c r="H5" s="85">
        <f ca="1">SUMIFS(Data!H$2:H$69,Data!$B$2:$B$69,$B5,Data!$A$2:$A$69,$B$2)</f>
        <v>3.2</v>
      </c>
      <c r="I5" s="85">
        <f ca="1">SUMIFS(Data!I$2:I$69,Data!$B$2:$B$69,$B5,Data!$A$2:$A$69,$B$2)</f>
        <v>4.5</v>
      </c>
      <c r="J5" s="85">
        <f ca="1">SUMIFS(Data!J$2:J$69,Data!$B$2:$B$69,$B5,Data!$A$2:$A$69,$B$2)</f>
        <v>5.625</v>
      </c>
      <c r="K5" s="85">
        <f ca="1">SUMIFS(Data!K$2:K$69,Data!$B$2:$B$69,$B5,Data!$A$2:$A$69,$B$2)</f>
        <v>3.6</v>
      </c>
    </row>
    <row r="6" spans="2:13" x14ac:dyDescent="0.2">
      <c r="B6" s="13" t="s">
        <v>3</v>
      </c>
      <c r="C6" s="85">
        <f ca="1">SUMIFS(Data!C$2:C$69,Data!$B$2:$B$69,$B6,Data!$A$2:$A$69,$B$2)</f>
        <v>0.67</v>
      </c>
      <c r="D6" s="85">
        <f ca="1">SUMIFS(Data!D$2:D$69,Data!$B$2:$B$69,$B6,Data!$A$2:$A$69,$B$2)</f>
        <v>0.77</v>
      </c>
      <c r="E6" s="85">
        <f ca="1">SUMIFS(Data!E$2:E$69,Data!$B$2:$B$69,$B6,Data!$A$2:$A$69,$B$2)</f>
        <v>0.87</v>
      </c>
      <c r="F6" s="85">
        <f ca="1">SUMIFS(Data!F$2:F$69,Data!$B$2:$B$69,$B6,Data!$A$2:$A$69,$B$2)</f>
        <v>0.97</v>
      </c>
      <c r="G6" s="85">
        <f ca="1">SUMIFS(Data!G$2:G$69,Data!$B$2:$B$69,$B6,Data!$A$2:$A$69,$B$2)</f>
        <v>0.67</v>
      </c>
      <c r="H6" s="85">
        <f ca="1">SUMIFS(Data!H$2:H$69,Data!$B$2:$B$69,$B6,Data!$A$2:$A$69,$B$2)</f>
        <v>0.77</v>
      </c>
      <c r="I6" s="85">
        <f ca="1">SUMIFS(Data!I$2:I$69,Data!$B$2:$B$69,$B6,Data!$A$2:$A$69,$B$2)</f>
        <v>0.87</v>
      </c>
      <c r="J6" s="85">
        <f ca="1">SUMIFS(Data!J$2:J$69,Data!$B$2:$B$69,$B6,Data!$A$2:$A$69,$B$2)</f>
        <v>0.97</v>
      </c>
      <c r="K6" s="85">
        <f ca="1">SUMIFS(Data!K$2:K$69,Data!$B$2:$B$69,$B6,Data!$A$2:$A$69,$B$2)</f>
        <v>1.07</v>
      </c>
    </row>
    <row r="7" spans="2:13" x14ac:dyDescent="0.2">
      <c r="B7" s="13" t="s">
        <v>4</v>
      </c>
      <c r="C7" s="86">
        <f ca="1">SUMIFS(Data!C$2:C$69,Data!$B$2:$B$69,$B7,Data!$A$2:$A$69,$B$2)</f>
        <v>1.6</v>
      </c>
      <c r="D7" s="86">
        <f ca="1">SUMIFS(Data!D$2:D$69,Data!$B$2:$B$69,$B7,Data!$A$2:$A$69,$B$2)</f>
        <v>1.7000000000000002</v>
      </c>
      <c r="E7" s="86">
        <f ca="1">SUMIFS(Data!E$2:E$69,Data!$B$2:$B$69,$B7,Data!$A$2:$A$69,$B$2)</f>
        <v>1.6</v>
      </c>
      <c r="F7" s="86">
        <f ca="1">SUMIFS(Data!F$2:F$69,Data!$B$2:$B$69,$B7,Data!$A$2:$A$69,$B$2)</f>
        <v>1.5</v>
      </c>
      <c r="G7" s="86">
        <f ca="1">SUMIFS(Data!G$2:G$69,Data!$B$2:$B$69,$B7,Data!$A$2:$A$69,$B$2)</f>
        <v>3.5</v>
      </c>
      <c r="H7" s="86">
        <f ca="1">SUMIFS(Data!H$2:H$69,Data!$B$2:$B$69,$B7,Data!$A$2:$A$69,$B$2)</f>
        <v>3.6</v>
      </c>
      <c r="I7" s="86">
        <f ca="1">SUMIFS(Data!I$2:I$69,Data!$B$2:$B$69,$B7,Data!$A$2:$A$69,$B$2)</f>
        <v>4.25</v>
      </c>
      <c r="J7" s="86">
        <f ca="1">SUMIFS(Data!J$2:J$69,Data!$B$2:$B$69,$B7,Data!$A$2:$A$69,$B$2)</f>
        <v>5.0625</v>
      </c>
      <c r="K7" s="86">
        <f ca="1">SUMIFS(Data!K$2:K$69,Data!$B$2:$B$69,$B7,Data!$A$2:$A$69,$B$2)</f>
        <v>6.078125</v>
      </c>
    </row>
    <row r="8" spans="2:13" x14ac:dyDescent="0.2">
      <c r="B8" s="13" t="s">
        <v>5</v>
      </c>
      <c r="C8" s="86">
        <f ca="1">SUMIFS(Data!C$2:C$69,Data!$B$2:$B$69,$B8,Data!$A$2:$A$69,$B$2)</f>
        <v>22.4</v>
      </c>
      <c r="D8" s="86">
        <f ca="1">SUMIFS(Data!D$2:D$69,Data!$B$2:$B$69,$B8,Data!$A$2:$A$69,$B$2)</f>
        <v>22.5</v>
      </c>
      <c r="E8" s="86">
        <f ca="1">SUMIFS(Data!E$2:E$69,Data!$B$2:$B$69,$B8,Data!$A$2:$A$69,$B$2)</f>
        <v>25.8</v>
      </c>
      <c r="F8" s="86">
        <f ca="1">SUMIFS(Data!F$2:F$69,Data!$B$2:$B$69,$B8,Data!$A$2:$A$69,$B$2)</f>
        <v>24.7</v>
      </c>
      <c r="G8" s="86">
        <f ca="1">SUMIFS(Data!G$2:G$69,Data!$B$2:$B$69,$B8,Data!$A$2:$A$69,$B$2)</f>
        <v>28.6</v>
      </c>
      <c r="H8" s="86">
        <f ca="1">SUMIFS(Data!H$2:H$69,Data!$B$2:$B$69,$B8,Data!$A$2:$A$69,$B$2)</f>
        <v>29.6</v>
      </c>
      <c r="I8" s="86">
        <f ca="1">SUMIFS(Data!I$2:I$69,Data!$B$2:$B$69,$B8,Data!$A$2:$A$69,$B$2)</f>
        <v>31.75</v>
      </c>
      <c r="J8" s="86">
        <f ca="1">SUMIFS(Data!J$2:J$69,Data!$B$2:$B$69,$B8,Data!$A$2:$A$69,$B$2)</f>
        <v>26.6875</v>
      </c>
      <c r="K8" s="86">
        <f ca="1">SUMIFS(Data!K$2:K$69,Data!$B$2:$B$69,$B8,Data!$A$2:$A$69,$B$2)</f>
        <v>23.859375</v>
      </c>
    </row>
    <row r="9" spans="2:13" x14ac:dyDescent="0.2">
      <c r="B9" s="13" t="s">
        <v>6</v>
      </c>
      <c r="C9" s="86">
        <f ca="1">SUMIFS(Data!C$2:C$69,Data!$B$2:$B$69,$B9,Data!$A$2:$A$69,$B$2)</f>
        <v>6.5</v>
      </c>
      <c r="D9" s="86">
        <f ca="1">SUMIFS(Data!D$2:D$69,Data!$B$2:$B$69,$B9,Data!$A$2:$A$69,$B$2)</f>
        <v>6.6</v>
      </c>
      <c r="E9" s="86">
        <f ca="1">SUMIFS(Data!E$2:E$69,Data!$B$2:$B$69,$B9,Data!$A$2:$A$69,$B$2)</f>
        <v>7.3000000000000007</v>
      </c>
      <c r="F9" s="86">
        <f ca="1">SUMIFS(Data!F$2:F$69,Data!$B$2:$B$69,$B9,Data!$A$2:$A$69,$B$2)</f>
        <v>7.3000000000000007</v>
      </c>
      <c r="G9" s="86">
        <f ca="1">SUMIFS(Data!G$2:G$69,Data!$B$2:$B$69,$B9,Data!$A$2:$A$69,$B$2)</f>
        <v>9.4</v>
      </c>
      <c r="H9" s="86">
        <f ca="1">SUMIFS(Data!H$2:H$69,Data!$B$2:$B$69,$B9,Data!$A$2:$A$69,$B$2)</f>
        <v>9.6999999999999993</v>
      </c>
      <c r="I9" s="86">
        <f ca="1">SUMIFS(Data!I$2:I$69,Data!$B$2:$B$69,$B9,Data!$A$2:$A$69,$B$2)</f>
        <v>9.875</v>
      </c>
      <c r="J9" s="86">
        <f ca="1">SUMIFS(Data!J$2:J$69,Data!$B$2:$B$69,$B9,Data!$A$2:$A$69,$B$2)</f>
        <v>10</v>
      </c>
      <c r="K9" s="86">
        <f ca="1">SUMIFS(Data!K$2:K$69,Data!$B$2:$B$69,$B9,Data!$A$2:$A$69,$B$2)</f>
        <v>9.6999999999999993</v>
      </c>
    </row>
    <row r="10" spans="2:13" x14ac:dyDescent="0.2">
      <c r="B10" s="13" t="s">
        <v>7</v>
      </c>
      <c r="C10" s="85">
        <f ca="1">SUMIFS(Data!C$2:C$69,Data!$B$2:$B$69,$B10,Data!$A$2:$A$69,$B$2)</f>
        <v>1.64</v>
      </c>
      <c r="D10" s="85">
        <f ca="1">SUMIFS(Data!D$2:D$69,Data!$B$2:$B$69,$B10,Data!$A$2:$A$69,$B$2)</f>
        <v>1.74</v>
      </c>
      <c r="E10" s="85">
        <f ca="1">SUMIFS(Data!E$2:E$69,Data!$B$2:$B$69,$B10,Data!$A$2:$A$69,$B$2)</f>
        <v>1.8399999999999999</v>
      </c>
      <c r="F10" s="85">
        <f ca="1">SUMIFS(Data!F$2:F$69,Data!$B$2:$B$69,$B10,Data!$A$2:$A$69,$B$2)</f>
        <v>1.94</v>
      </c>
      <c r="G10" s="85">
        <f ca="1">SUMIFS(Data!G$2:G$69,Data!$B$2:$B$69,$B10,Data!$A$2:$A$69,$B$2)</f>
        <v>1.8740000000000001</v>
      </c>
      <c r="H10" s="85">
        <f ca="1">SUMIFS(Data!H$2:H$69,Data!$B$2:$B$69,$B10,Data!$A$2:$A$69,$B$2)</f>
        <v>1.88</v>
      </c>
      <c r="I10" s="85">
        <f ca="1">SUMIFS(Data!I$2:I$69,Data!$B$2:$B$69,$B10,Data!$A$2:$A$69,$B$2)</f>
        <v>2.1</v>
      </c>
      <c r="J10" s="85">
        <f ca="1">SUMIFS(Data!J$2:J$69,Data!$B$2:$B$69,$B10,Data!$A$2:$A$69,$B$2)</f>
        <v>2.375</v>
      </c>
      <c r="K10" s="85">
        <f ca="1">SUMIFS(Data!K$2:K$69,Data!$B$2:$B$69,$B10,Data!$A$2:$A$69,$B$2)</f>
        <v>2.21875</v>
      </c>
    </row>
    <row r="11" spans="2:13" x14ac:dyDescent="0.2">
      <c r="B11" s="13" t="s">
        <v>8</v>
      </c>
      <c r="C11" s="84">
        <f ca="1">SUMIFS(Data!C$2:C$69,Data!$B$2:$B$69,$B11,Data!$A$2:$A$69,$B$2)</f>
        <v>270000</v>
      </c>
      <c r="D11" s="84">
        <f ca="1">SUMIFS(Data!D$2:D$69,Data!$B$2:$B$69,$B11,Data!$A$2:$A$69,$B$2)</f>
        <v>270000.09999999998</v>
      </c>
      <c r="E11" s="84">
        <f ca="1">SUMIFS(Data!E$2:E$69,Data!$B$2:$B$69,$B11,Data!$A$2:$A$69,$B$2)</f>
        <v>240000</v>
      </c>
      <c r="F11" s="84">
        <f ca="1">SUMIFS(Data!F$2:F$69,Data!$B$2:$B$69,$B11,Data!$A$2:$A$69,$B$2)</f>
        <v>200000</v>
      </c>
      <c r="G11" s="84">
        <f ca="1">SUMIFS(Data!G$2:G$69,Data!$B$2:$B$69,$B11,Data!$A$2:$A$69,$B$2)</f>
        <v>295000</v>
      </c>
      <c r="H11" s="84">
        <f ca="1">SUMIFS(Data!H$2:H$69,Data!$B$2:$B$69,$B11,Data!$A$2:$A$69,$B$2)</f>
        <v>340000</v>
      </c>
      <c r="I11" s="84">
        <f ca="1">SUMIFS(Data!I$2:I$69,Data!$B$2:$B$69,$B11,Data!$A$2:$A$69,$B$2)</f>
        <v>387500</v>
      </c>
      <c r="J11" s="84">
        <f ca="1">SUMIFS(Data!J$2:J$69,Data!$B$2:$B$69,$B11,Data!$A$2:$A$69,$B$2)</f>
        <v>484375</v>
      </c>
      <c r="K11" s="84">
        <f ca="1">SUMIFS(Data!K$2:K$69,Data!$B$2:$B$69,$B11,Data!$A$2:$A$69,$B$2)</f>
        <v>605468.75</v>
      </c>
    </row>
    <row r="12" spans="2:13" x14ac:dyDescent="0.2">
      <c r="B12" s="13" t="s">
        <v>9</v>
      </c>
      <c r="C12" s="84">
        <f ca="1">SUMIFS(Data!C$2:C$69,Data!$B$2:$B$69,$B12,Data!$A$2:$A$69,$B$2)</f>
        <v>157961.5</v>
      </c>
      <c r="D12" s="84">
        <f ca="1">SUMIFS(Data!D$2:D$69,Data!$B$2:$B$69,$B12,Data!$A$2:$A$69,$B$2)</f>
        <v>157961.60000000001</v>
      </c>
      <c r="E12" s="84">
        <f ca="1">SUMIFS(Data!E$2:E$69,Data!$B$2:$B$69,$B12,Data!$A$2:$A$69,$B$2)</f>
        <v>129450</v>
      </c>
      <c r="F12" s="84">
        <f ca="1">SUMIFS(Data!F$2:F$69,Data!$B$2:$B$69,$B12,Data!$A$2:$A$69,$B$2)</f>
        <v>169382.5</v>
      </c>
      <c r="G12" s="84">
        <f ca="1">SUMIFS(Data!G$2:G$69,Data!$B$2:$B$69,$B12,Data!$A$2:$A$69,$B$2)</f>
        <v>176450</v>
      </c>
      <c r="H12" s="84">
        <f ca="1">SUMIFS(Data!H$2:H$69,Data!$B$2:$B$69,$B12,Data!$A$2:$A$69,$B$2)</f>
        <v>160492</v>
      </c>
      <c r="I12" s="84">
        <f ca="1">SUMIFS(Data!I$2:I$69,Data!$B$2:$B$69,$B12,Data!$A$2:$A$69,$B$2)</f>
        <v>200615</v>
      </c>
      <c r="J12" s="84">
        <f ca="1">SUMIFS(Data!J$2:J$69,Data!$B$2:$B$69,$B12,Data!$A$2:$A$69,$B$2)</f>
        <v>250768.75</v>
      </c>
      <c r="K12" s="84">
        <f ca="1">SUMIFS(Data!K$2:K$69,Data!$B$2:$B$69,$B12,Data!$A$2:$A$69,$B$2)</f>
        <v>313460.9375</v>
      </c>
    </row>
    <row r="13" spans="2:13" x14ac:dyDescent="0.2">
      <c r="B13" s="13" t="s">
        <v>10</v>
      </c>
      <c r="C13" s="84">
        <f ca="1">SUMIFS(Data!C$2:C$69,Data!$B$2:$B$69,$B13,Data!$A$2:$A$69,$B$2)</f>
        <v>146825.5</v>
      </c>
      <c r="D13" s="84">
        <f ca="1">SUMIFS(Data!D$2:D$69,Data!$B$2:$B$69,$B13,Data!$A$2:$A$69,$B$2)</f>
        <v>146825.60000000001</v>
      </c>
      <c r="E13" s="84">
        <f ca="1">SUMIFS(Data!E$2:E$69,Data!$B$2:$B$69,$B13,Data!$A$2:$A$69,$B$2)</f>
        <v>154465.5</v>
      </c>
      <c r="F13" s="84">
        <f ca="1">SUMIFS(Data!F$2:F$69,Data!$B$2:$B$69,$B13,Data!$A$2:$A$69,$B$2)</f>
        <v>137450</v>
      </c>
      <c r="G13" s="84">
        <f ca="1">SUMIFS(Data!G$2:G$69,Data!$B$2:$B$69,$B13,Data!$A$2:$A$69,$B$2)</f>
        <v>164575</v>
      </c>
      <c r="H13" s="84">
        <f ca="1">SUMIFS(Data!H$2:H$69,Data!$B$2:$B$69,$B13,Data!$A$2:$A$69,$B$2)</f>
        <v>152959</v>
      </c>
      <c r="I13" s="84">
        <f ca="1">SUMIFS(Data!I$2:I$69,Data!$B$2:$B$69,$B13,Data!$A$2:$A$69,$B$2)</f>
        <v>147959</v>
      </c>
      <c r="J13" s="84">
        <f ca="1">SUMIFS(Data!J$2:J$69,Data!$B$2:$B$69,$B13,Data!$A$2:$A$69,$B$2)</f>
        <v>153561.5</v>
      </c>
      <c r="K13" s="84">
        <f ca="1">SUMIFS(Data!K$2:K$69,Data!$B$2:$B$69,$B13,Data!$A$2:$A$69,$B$2)</f>
        <v>147959</v>
      </c>
    </row>
    <row r="14" spans="2:13" x14ac:dyDescent="0.2">
      <c r="B14" s="13" t="s">
        <v>11</v>
      </c>
      <c r="C14" s="84">
        <f ca="1">SUMIFS(Data!C$2:C$69,Data!$B$2:$B$69,$B14,Data!$A$2:$A$69,$B$2)</f>
        <v>14375</v>
      </c>
      <c r="D14" s="84">
        <f ca="1">SUMIFS(Data!D$2:D$69,Data!$B$2:$B$69,$B14,Data!$A$2:$A$69,$B$2)</f>
        <v>14375.1</v>
      </c>
      <c r="E14" s="84">
        <f ca="1">SUMIFS(Data!E$2:E$69,Data!$B$2:$B$69,$B14,Data!$A$2:$A$69,$B$2)</f>
        <v>15770</v>
      </c>
      <c r="F14" s="84">
        <f ca="1">SUMIFS(Data!F$2:F$69,Data!$B$2:$B$69,$B14,Data!$A$2:$A$69,$B$2)</f>
        <v>16350</v>
      </c>
      <c r="G14" s="84">
        <f ca="1">SUMIFS(Data!G$2:G$69,Data!$B$2:$B$69,$B14,Data!$A$2:$A$69,$B$2)</f>
        <v>16935</v>
      </c>
      <c r="H14" s="84">
        <f ca="1">SUMIFS(Data!H$2:H$69,Data!$B$2:$B$69,$B14,Data!$A$2:$A$69,$B$2)</f>
        <v>17450</v>
      </c>
      <c r="I14" s="84">
        <f ca="1">SUMIFS(Data!I$2:I$69,Data!$B$2:$B$69,$B14,Data!$A$2:$A$69,$B$2)</f>
        <v>17950</v>
      </c>
      <c r="J14" s="84">
        <f ca="1">SUMIFS(Data!J$2:J$69,Data!$B$2:$B$69,$B14,Data!$A$2:$A$69,$B$2)</f>
        <v>18450</v>
      </c>
      <c r="K14" s="84">
        <f ca="1">SUMIFS(Data!K$2:K$69,Data!$B$2:$B$69,$B14,Data!$A$2:$A$69,$B$2)</f>
        <v>18950</v>
      </c>
    </row>
    <row r="15" spans="2:13" x14ac:dyDescent="0.2">
      <c r="B15" s="13" t="s">
        <v>12</v>
      </c>
      <c r="C15" s="86">
        <f ca="1">SUMIFS(Data!C$2:C$69,Data!$B$2:$B$69,$B15,Data!$A$2:$A$69,$B$2)</f>
        <v>0.7</v>
      </c>
      <c r="D15" s="86">
        <f ca="1">SUMIFS(Data!D$2:D$69,Data!$B$2:$B$69,$B15,Data!$A$2:$A$69,$B$2)</f>
        <v>0.79999999999999993</v>
      </c>
      <c r="E15" s="86">
        <f ca="1">SUMIFS(Data!E$2:E$69,Data!$B$2:$B$69,$B15,Data!$A$2:$A$69,$B$2)</f>
        <v>0.5</v>
      </c>
      <c r="F15" s="86">
        <f ca="1">SUMIFS(Data!F$2:F$69,Data!$B$2:$B$69,$B15,Data!$A$2:$A$69,$B$2)</f>
        <v>0.39999999999999991</v>
      </c>
      <c r="G15" s="86">
        <f ca="1">SUMIFS(Data!G$2:G$69,Data!$B$2:$B$69,$B15,Data!$A$2:$A$69,$B$2)</f>
        <v>2.2000000000000002</v>
      </c>
      <c r="H15" s="86">
        <f ca="1">SUMIFS(Data!H$2:H$69,Data!$B$2:$B$69,$B15,Data!$A$2:$A$69,$B$2)</f>
        <v>2.2999999999999998</v>
      </c>
      <c r="I15" s="86">
        <f ca="1">SUMIFS(Data!I$2:I$69,Data!$B$2:$B$69,$B15,Data!$A$2:$A$69,$B$2)</f>
        <v>2.7</v>
      </c>
      <c r="J15" s="86">
        <f ca="1">SUMIFS(Data!J$2:J$69,Data!$B$2:$B$69,$B15,Data!$A$2:$A$69,$B$2)</f>
        <v>2.5</v>
      </c>
      <c r="K15" s="86">
        <f ca="1">SUMIFS(Data!K$2:K$69,Data!$B$2:$B$69,$B15,Data!$A$2:$A$69,$B$2)</f>
        <v>2.2999999999999998</v>
      </c>
    </row>
    <row r="16" spans="2:13" x14ac:dyDescent="0.2">
      <c r="B16" s="13" t="s">
        <v>13</v>
      </c>
      <c r="C16" s="87">
        <f ca="1">SUMIFS(Data!C$2:C$69,Data!$B$2:$B$69,$B16,Data!$A$2:$A$69,$B$2)</f>
        <v>1.9</v>
      </c>
      <c r="D16" s="87">
        <f ca="1">SUMIFS(Data!D$2:D$69,Data!$B$2:$B$69,$B16,Data!$A$2:$A$69,$B$2)</f>
        <v>2</v>
      </c>
      <c r="E16" s="87">
        <f ca="1">SUMIFS(Data!E$2:E$69,Data!$B$2:$B$69,$B16,Data!$A$2:$A$69,$B$2)</f>
        <v>2</v>
      </c>
      <c r="F16" s="87">
        <f ca="1">SUMIFS(Data!F$2:F$69,Data!$B$2:$B$69,$B16,Data!$A$2:$A$69,$B$2)</f>
        <v>2</v>
      </c>
      <c r="G16" s="87">
        <f ca="1">SUMIFS(Data!G$2:G$69,Data!$B$2:$B$69,$B16,Data!$A$2:$A$69,$B$2)</f>
        <v>4.0999999999999996</v>
      </c>
      <c r="H16" s="87">
        <f ca="1">SUMIFS(Data!H$2:H$69,Data!$B$2:$B$69,$B16,Data!$A$2:$A$69,$B$2)</f>
        <v>4.2</v>
      </c>
      <c r="I16" s="87">
        <f ca="1">SUMIFS(Data!I$2:I$69,Data!$B$2:$B$69,$B16,Data!$A$2:$A$69,$B$2)</f>
        <v>3.9</v>
      </c>
      <c r="J16" s="87">
        <f ca="1">SUMIFS(Data!J$2:J$69,Data!$B$2:$B$69,$B16,Data!$A$2:$A$69,$B$2)</f>
        <v>3.9</v>
      </c>
      <c r="K16" s="87">
        <f ca="1">SUMIFS(Data!K$2:K$69,Data!$B$2:$B$69,$B16,Data!$A$2:$A$69,$B$2)</f>
        <v>4</v>
      </c>
    </row>
    <row r="17" spans="2:13" x14ac:dyDescent="0.2">
      <c r="B17" s="14" t="s">
        <v>14</v>
      </c>
      <c r="C17" s="87">
        <f ca="1">SUMIFS(Data!C$2:C$69,Data!$B$2:$B$69,$B17,Data!$A$2:$A$69,$B$2)</f>
        <v>2.4500000000000002</v>
      </c>
      <c r="D17" s="87">
        <f ca="1">SUMIFS(Data!D$2:D$69,Data!$B$2:$B$69,$B17,Data!$A$2:$A$69,$B$2)</f>
        <v>2.5500000000000003</v>
      </c>
      <c r="E17" s="87">
        <f ca="1">SUMIFS(Data!E$2:E$69,Data!$B$2:$B$69,$B17,Data!$A$2:$A$69,$B$2)</f>
        <v>2.5499999999999998</v>
      </c>
      <c r="F17" s="87">
        <f ca="1">SUMIFS(Data!F$2:F$69,Data!$B$2:$B$69,$B17,Data!$A$2:$A$69,$B$2)</f>
        <v>2.65</v>
      </c>
      <c r="G17" s="87">
        <f ca="1">SUMIFS(Data!G$2:G$69,Data!$B$2:$B$69,$B17,Data!$A$2:$A$69,$B$2)</f>
        <v>4.7</v>
      </c>
      <c r="H17" s="87">
        <f ca="1">SUMIFS(Data!H$2:H$69,Data!$B$2:$B$69,$B17,Data!$A$2:$A$69,$B$2)</f>
        <v>4.9000000000000004</v>
      </c>
      <c r="I17" s="87">
        <f ca="1">SUMIFS(Data!I$2:I$69,Data!$B$2:$B$69,$B17,Data!$A$2:$A$69,$B$2)</f>
        <v>4.9000000000000004</v>
      </c>
      <c r="J17" s="87">
        <f ca="1">SUMIFS(Data!J$2:J$69,Data!$B$2:$B$69,$B17,Data!$A$2:$A$69,$B$2)</f>
        <v>4.5999999999999996</v>
      </c>
      <c r="K17" s="87">
        <f ca="1">SUMIFS(Data!K$2:K$69,Data!$B$2:$B$69,$B17,Data!$A$2:$A$69,$B$2)</f>
        <v>4.9000000000000004</v>
      </c>
    </row>
    <row r="18" spans="2:13" x14ac:dyDescent="0.2">
      <c r="B18" s="14" t="s">
        <v>15</v>
      </c>
      <c r="C18" s="87">
        <f ca="1">SUMIFS(Data!C$2:C$69,Data!$B$2:$B$69,$B18,Data!$A$2:$A$69,$B$2)</f>
        <v>0.7</v>
      </c>
      <c r="D18" s="87">
        <f ca="1">SUMIFS(Data!D$2:D$69,Data!$B$2:$B$69,$B18,Data!$A$2:$A$69,$B$2)</f>
        <v>0.79999999999999993</v>
      </c>
      <c r="E18" s="87">
        <f ca="1">SUMIFS(Data!E$2:E$69,Data!$B$2:$B$69,$B18,Data!$A$2:$A$69,$B$2)</f>
        <v>0.60000000000000009</v>
      </c>
      <c r="F18" s="87">
        <f ca="1">SUMIFS(Data!F$2:F$69,Data!$B$2:$B$69,$B18,Data!$A$2:$A$69,$B$2)</f>
        <v>0.60000000000000009</v>
      </c>
      <c r="G18" s="87">
        <f ca="1">SUMIFS(Data!G$2:G$69,Data!$B$2:$B$69,$B18,Data!$A$2:$A$69,$B$2)</f>
        <v>2.5</v>
      </c>
      <c r="H18" s="87">
        <f ca="1">SUMIFS(Data!H$2:H$69,Data!$B$2:$B$69,$B18,Data!$A$2:$A$69,$B$2)</f>
        <v>2.4</v>
      </c>
      <c r="I18" s="87">
        <f ca="1">SUMIFS(Data!I$2:I$69,Data!$B$2:$B$69,$B18,Data!$A$2:$A$69,$B$2)</f>
        <v>2.2999999999999998</v>
      </c>
      <c r="J18" s="87">
        <f ca="1">SUMIFS(Data!J$2:J$69,Data!$B$2:$B$69,$B18,Data!$A$2:$A$69,$B$2)</f>
        <v>2.6</v>
      </c>
      <c r="K18" s="87">
        <f ca="1">SUMIFS(Data!K$2:K$69,Data!$B$2:$B$69,$B18,Data!$A$2:$A$69,$B$2)</f>
        <v>2.5</v>
      </c>
    </row>
    <row r="20" spans="2:13" x14ac:dyDescent="0.2">
      <c r="B20" s="5" t="s">
        <v>115</v>
      </c>
      <c r="C20" s="3">
        <f ca="1">SUM(C3:C19)</f>
        <v>605537.6599999998</v>
      </c>
      <c r="D20" s="3">
        <f t="shared" ref="D20:K20" ca="1" si="0">SUM(D3:D19)</f>
        <v>608163.45500000007</v>
      </c>
      <c r="E20" s="3">
        <f t="shared" ca="1" si="0"/>
        <v>559423.97000000009</v>
      </c>
      <c r="F20" s="3">
        <f t="shared" ca="1" si="0"/>
        <v>544281.2300000001</v>
      </c>
      <c r="G20" s="3">
        <f t="shared" ca="1" si="0"/>
        <v>676132.7139999998</v>
      </c>
      <c r="H20" s="3">
        <f t="shared" ca="1" si="0"/>
        <v>695195.20000000007</v>
      </c>
      <c r="I20" s="3">
        <f t="shared" ca="1" si="0"/>
        <v>783475.54500000004</v>
      </c>
      <c r="J20" s="3">
        <f t="shared" ca="1" si="0"/>
        <v>930332.28999999992</v>
      </c>
      <c r="K20" s="3">
        <f t="shared" ca="1" si="0"/>
        <v>1110130.56375</v>
      </c>
    </row>
    <row r="22" spans="2:13" x14ac:dyDescent="0.2">
      <c r="B22" s="5" t="s">
        <v>135</v>
      </c>
      <c r="C22" s="7">
        <f ca="1">C20-SUM(Calcs!B8:B24)</f>
        <v>0</v>
      </c>
      <c r="D22" s="7">
        <f ca="1">D20-SUM(Calcs!C8:C24)</f>
        <v>0</v>
      </c>
      <c r="E22" s="7">
        <f ca="1">E20-SUM(Calcs!D8:D24)</f>
        <v>0</v>
      </c>
      <c r="F22" s="7">
        <f ca="1">F20-SUM(Calcs!E8:E24)</f>
        <v>0</v>
      </c>
      <c r="G22" s="7">
        <f ca="1">G20-SUM(Calcs!F8:F24)</f>
        <v>0</v>
      </c>
      <c r="H22" s="7">
        <f ca="1">H20-SUM(Calcs!G8:G24)</f>
        <v>0</v>
      </c>
      <c r="I22" s="7">
        <f ca="1">I20-SUM(Calcs!H8:H24)</f>
        <v>0</v>
      </c>
      <c r="J22" s="7">
        <f ca="1">J20-SUM(Calcs!I8:I24)</f>
        <v>0</v>
      </c>
      <c r="K22" s="7">
        <f ca="1">K20-SUM(Calcs!J8:J24)</f>
        <v>0</v>
      </c>
      <c r="M22" s="106">
        <f ca="1">SUM(C22:L22)</f>
        <v>0</v>
      </c>
    </row>
    <row r="25" spans="2:13" x14ac:dyDescent="0.2">
      <c r="B25" s="73" t="s">
        <v>96</v>
      </c>
      <c r="C25" s="73" t="s">
        <v>136</v>
      </c>
      <c r="D25" s="73" t="s">
        <v>115</v>
      </c>
      <c r="M25" s="73" t="s">
        <v>115</v>
      </c>
    </row>
    <row r="26" spans="2:13" x14ac:dyDescent="0.2">
      <c r="B26" s="13" t="s">
        <v>37</v>
      </c>
      <c r="C26">
        <f ca="1">SUMIFS(Other!$C$2:$C$41,Other!$A$2:$A$41,$B$2,Other!$B$2:$B$41,$B26)</f>
        <v>87.083333333333343</v>
      </c>
      <c r="D26">
        <f ca="1">C26-Calcs!B51</f>
        <v>0</v>
      </c>
    </row>
    <row r="27" spans="2:13" x14ac:dyDescent="0.2">
      <c r="B27" s="13" t="s">
        <v>38</v>
      </c>
      <c r="C27">
        <f ca="1">SUMIFS(Other!$C$2:$C$41,Other!$A$2:$A$41,$B$2,Other!$B$2:$B$41,$B27)</f>
        <v>174.16666666666669</v>
      </c>
      <c r="D27">
        <f ca="1">C27-Calcs!B52</f>
        <v>0</v>
      </c>
    </row>
    <row r="28" spans="2:13" x14ac:dyDescent="0.2">
      <c r="B28" s="13" t="s">
        <v>39</v>
      </c>
      <c r="C28">
        <f ca="1">SUMIFS(Other!$C$2:$C$41,Other!$A$2:$A$41,$B$2,Other!$B$2:$B$41,$B28)</f>
        <v>130.625</v>
      </c>
      <c r="D28">
        <f ca="1">C28-Calcs!B53</f>
        <v>0</v>
      </c>
    </row>
    <row r="29" spans="2:13" x14ac:dyDescent="0.2">
      <c r="B29" s="13" t="s">
        <v>40</v>
      </c>
      <c r="C29">
        <f ca="1">SUMIFS(Other!$C$2:$C$41,Other!$A$2:$A$41,$B$2,Other!$B$2:$B$41,$B29)</f>
        <v>43.541666666666671</v>
      </c>
      <c r="D29">
        <f ca="1">C29-Calcs!B54</f>
        <v>0</v>
      </c>
    </row>
    <row r="30" spans="2:13" x14ac:dyDescent="0.2">
      <c r="B30" s="13" t="s">
        <v>0</v>
      </c>
      <c r="C30">
        <f ca="1">SUMIFS(Other!$C$2:$C$41,Other!$A$2:$A$41,$B$2,Other!$B$2:$B$41,$B30)</f>
        <v>435.41666666666669</v>
      </c>
      <c r="D30">
        <f ca="1">C30-Calcs!B55</f>
        <v>0</v>
      </c>
    </row>
    <row r="31" spans="2:13" x14ac:dyDescent="0.2">
      <c r="B31" s="13" t="s">
        <v>41</v>
      </c>
      <c r="C31">
        <f ca="1">SUMIFS(Other!$C$2:$C$41,Other!$A$2:$A$41,$B$2,Other!$B$2:$B$41,$B31)</f>
        <v>217.70833333333334</v>
      </c>
      <c r="D31">
        <f ca="1">C31-Calcs!B56</f>
        <v>0</v>
      </c>
    </row>
    <row r="32" spans="2:13" x14ac:dyDescent="0.2">
      <c r="B32" s="13" t="s">
        <v>42</v>
      </c>
      <c r="C32">
        <f ca="1">SUMIFS(Other!$C$2:$C$41,Other!$A$2:$A$41,$B$2,Other!$B$2:$B$41,$B32)</f>
        <v>54.427083333333336</v>
      </c>
      <c r="D32">
        <f ca="1">C32-Calcs!B57</f>
        <v>0</v>
      </c>
    </row>
    <row r="33" spans="2:13" x14ac:dyDescent="0.2">
      <c r="B33" s="13" t="s">
        <v>43</v>
      </c>
      <c r="C33">
        <f ca="1">SUMIFS(Other!$C$2:$C$41,Other!$A$2:$A$41,$B$2,Other!$B$2:$B$41,$B33)</f>
        <v>272.13541666666669</v>
      </c>
      <c r="D33">
        <f ca="1">C33-Calcs!B58</f>
        <v>0</v>
      </c>
    </row>
    <row r="34" spans="2:13" x14ac:dyDescent="0.2">
      <c r="B34" s="13" t="s">
        <v>44</v>
      </c>
      <c r="C34">
        <f ca="1">SUMIFS(Other!$C$2:$C$41,Other!$A$2:$A$41,$B$2,Other!$B$2:$B$41,$B34)</f>
        <v>163.28125</v>
      </c>
      <c r="D34">
        <f ca="1">C34-Calcs!B59</f>
        <v>0</v>
      </c>
    </row>
    <row r="36" spans="2:13" x14ac:dyDescent="0.2">
      <c r="B36" s="71" t="s">
        <v>115</v>
      </c>
      <c r="D36">
        <f ca="1">SUM(D26:D35)</f>
        <v>0</v>
      </c>
      <c r="M36" s="106">
        <f ca="1">SUM(C36:L36)</f>
        <v>0</v>
      </c>
    </row>
    <row r="38" spans="2:13" x14ac:dyDescent="0.2">
      <c r="B38" s="73" t="s">
        <v>77</v>
      </c>
      <c r="C38" s="75" t="str">
        <f ca="1">Calcs!B45</f>
        <v>FY 12</v>
      </c>
      <c r="D38" s="75" t="str">
        <f ca="1">Calcs!C45</f>
        <v>FY 13</v>
      </c>
      <c r="E38" s="75" t="str">
        <f ca="1">Calcs!D45</f>
        <v>FY 14</v>
      </c>
      <c r="F38" s="75" t="str">
        <f ca="1">Calcs!E45</f>
        <v>FY 15</v>
      </c>
      <c r="G38" s="75" t="str">
        <f ca="1">Calcs!F45</f>
        <v>FY 16</v>
      </c>
      <c r="H38" s="75" t="str">
        <f ca="1">Calcs!G45</f>
        <v>FY 17</v>
      </c>
      <c r="I38" s="75" t="str">
        <f ca="1">Calcs!H45</f>
        <v>FY 18</v>
      </c>
      <c r="J38" s="75" t="str">
        <f ca="1">Calcs!I45</f>
        <v>FY 19</v>
      </c>
      <c r="M38" s="88" t="s">
        <v>115</v>
      </c>
    </row>
    <row r="39" spans="2:13" x14ac:dyDescent="0.2">
      <c r="B39" t="s">
        <v>66</v>
      </c>
      <c r="C39">
        <f ca="1">SUMPRODUCT((Hires!$A$2:$A$10=$B39)*(Hires!$B$2:$B$10=$B$2)*(Hires!$C$1:$M$1=C$38)*(Hires!$C$2:$M$10))</f>
        <v>612</v>
      </c>
      <c r="D39">
        <f ca="1">SUMPRODUCT((Hires!$A$2:$A$10=$B39)*(Hires!$B$2:$B$10=$B$2)*(Hires!$C$1:$M$1=D$38)*(Hires!$C$2:$M$10))</f>
        <v>714</v>
      </c>
      <c r="E39">
        <f ca="1">SUMPRODUCT((Hires!$A$2:$A$10=$B39)*(Hires!$B$2:$B$10=$B$2)*(Hires!$C$1:$M$1=E$38)*(Hires!$C$2:$M$10))</f>
        <v>332</v>
      </c>
      <c r="F39">
        <f ca="1">SUMPRODUCT((Hires!$A$2:$A$10=$B39)*(Hires!$B$2:$B$10=$B$2)*(Hires!$C$1:$M$1=F$38)*(Hires!$C$2:$M$10))</f>
        <v>235</v>
      </c>
      <c r="G39">
        <f ca="1">SUMPRODUCT((Hires!$A$2:$A$10=$B39)*(Hires!$B$2:$B$10=$B$2)*(Hires!$C$1:$M$1=G$38)*(Hires!$C$2:$M$10))</f>
        <v>519</v>
      </c>
      <c r="H39">
        <f ca="1">SUMPRODUCT((Hires!$A$2:$A$10=$B39)*(Hires!$B$2:$B$10=$B$2)*(Hires!$C$1:$M$1=H$38)*(Hires!$C$2:$M$10))</f>
        <v>412</v>
      </c>
      <c r="I39">
        <f ca="1">SUMPRODUCT((Hires!$A$2:$A$10=$B39)*(Hires!$B$2:$B$10=$B$2)*(Hires!$C$1:$M$1=I$38)*(Hires!$C$2:$M$10))</f>
        <v>1020</v>
      </c>
      <c r="J39">
        <f ca="1">SUMPRODUCT((Hires!$A$2:$A$10=$B39)*(Hires!$B$2:$B$10=$B$2)*(Hires!$C$1:$M$1=J$38)*(Hires!$C$2:$M$10))</f>
        <v>1122</v>
      </c>
    </row>
    <row r="40" spans="2:13" x14ac:dyDescent="0.2">
      <c r="B40" s="1" t="s">
        <v>65</v>
      </c>
      <c r="C40">
        <f ca="1">SUMPRODUCT((Hires!$A$2:$A$10=$B40)*(Hires!$B$2:$B$10=$B$2)*(Hires!$C$1:$M$1=C$38)*(Hires!$C$2:$M$10))</f>
        <v>-816</v>
      </c>
      <c r="D40">
        <f ca="1">SUMPRODUCT((Hires!$A$2:$A$10=$B40)*(Hires!$B$2:$B$10=$B$2)*(Hires!$C$1:$M$1=D$38)*(Hires!$C$2:$M$10))</f>
        <v>-301</v>
      </c>
      <c r="E40">
        <f ca="1">SUMPRODUCT((Hires!$A$2:$A$10=$B40)*(Hires!$B$2:$B$10=$B$2)*(Hires!$C$1:$M$1=E$38)*(Hires!$C$2:$M$10))</f>
        <v>-301</v>
      </c>
      <c r="F40">
        <f ca="1">SUMPRODUCT((Hires!$A$2:$A$10=$B40)*(Hires!$B$2:$B$10=$B$2)*(Hires!$C$1:$M$1=F$38)*(Hires!$C$2:$M$10))</f>
        <v>-204</v>
      </c>
      <c r="G40">
        <f ca="1">SUMPRODUCT((Hires!$A$2:$A$10=$B40)*(Hires!$B$2:$B$10=$B$2)*(Hires!$C$1:$M$1=G$38)*(Hires!$C$2:$M$10))</f>
        <v>-354</v>
      </c>
      <c r="H40">
        <f ca="1">SUMPRODUCT((Hires!$A$2:$A$10=$B40)*(Hires!$B$2:$B$10=$B$2)*(Hires!$C$1:$M$1=H$38)*(Hires!$C$2:$M$10))</f>
        <v>-204</v>
      </c>
      <c r="I40">
        <f ca="1">SUMPRODUCT((Hires!$A$2:$A$10=$B40)*(Hires!$B$2:$B$10=$B$2)*(Hires!$C$1:$M$1=I$38)*(Hires!$C$2:$M$10))</f>
        <v>-612</v>
      </c>
      <c r="J40">
        <f ca="1">SUMPRODUCT((Hires!$A$2:$A$10=$B40)*(Hires!$B$2:$B$10=$B$2)*(Hires!$C$1:$M$1=J$38)*(Hires!$C$2:$M$10))</f>
        <v>-102</v>
      </c>
    </row>
    <row r="42" spans="2:13" x14ac:dyDescent="0.2">
      <c r="B42" s="5" t="s">
        <v>115</v>
      </c>
      <c r="C42">
        <f ca="1">SUM(C39:C41)-SUM(Calcs!B46:B47)</f>
        <v>0</v>
      </c>
      <c r="D42">
        <f ca="1">SUM(D39:D41)-SUM(Calcs!C46:C47)</f>
        <v>0</v>
      </c>
      <c r="E42">
        <f ca="1">SUM(E39:E41)-SUM(Calcs!D46:D47)</f>
        <v>0</v>
      </c>
      <c r="F42">
        <f ca="1">SUM(F39:F41)-SUM(Calcs!E46:E47)</f>
        <v>0</v>
      </c>
      <c r="G42">
        <f ca="1">SUM(G39:G41)-SUM(Calcs!F46:F47)</f>
        <v>0</v>
      </c>
      <c r="H42">
        <f ca="1">SUM(H39:H41)-SUM(Calcs!G46:G47)</f>
        <v>0</v>
      </c>
      <c r="I42">
        <f ca="1">SUM(I39:I41)-SUM(Calcs!H46:H47)</f>
        <v>0</v>
      </c>
      <c r="J42">
        <f ca="1">SUM(J39:J41)-SUM(Calcs!I46:I47)</f>
        <v>0</v>
      </c>
      <c r="M42" s="106">
        <f ca="1">SUM(C42:L42)</f>
        <v>0</v>
      </c>
    </row>
    <row r="44" spans="2:13" x14ac:dyDescent="0.2">
      <c r="B44" s="5" t="s">
        <v>140</v>
      </c>
      <c r="D44" t="str">
        <f ca="1">IF(M44=0,Lists!H2,Lists!H3)</f>
        <v>Model OK</v>
      </c>
      <c r="M44">
        <f ca="1">SUM(M3:M43)</f>
        <v>0</v>
      </c>
    </row>
  </sheetData>
  <conditionalFormatting sqref="C3:K18">
    <cfRule type="expression" dxfId="3" priority="1" stopIfTrue="1">
      <formula>IF(#REF!=#REF!,1,0)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">
    <tabColor theme="5" tint="0.39997558519241921"/>
  </sheetPr>
  <dimension ref="A1:U70"/>
  <sheetViews>
    <sheetView showZeros="0" tabSelected="1" showOutlineSymbols="0" zoomScale="85" zoomScaleNormal="85" workbookViewId="0">
      <selection activeCell="C2" sqref="C2"/>
    </sheetView>
  </sheetViews>
  <sheetFormatPr defaultColWidth="9.140625" defaultRowHeight="12.75" zeroHeight="1" x14ac:dyDescent="0.2"/>
  <cols>
    <col min="1" max="1" width="2.85546875" style="1" customWidth="1"/>
    <col min="2" max="2" width="9.140625" style="1" customWidth="1"/>
    <col min="3" max="3" width="16.5703125" style="1" customWidth="1"/>
    <col min="4" max="4" width="10.42578125" style="1" customWidth="1"/>
    <col min="5" max="5" width="14.140625" style="1" bestFit="1" customWidth="1"/>
    <col min="6" max="7" width="9.140625" style="1" customWidth="1"/>
    <col min="8" max="8" width="8.7109375" style="1" customWidth="1"/>
    <col min="9" max="9" width="1.28515625" style="1" customWidth="1"/>
    <col min="10" max="14" width="9.7109375" style="1" customWidth="1"/>
    <col min="15" max="15" width="11" style="1" bestFit="1" customWidth="1"/>
    <col min="16" max="16" width="4.7109375" style="1" customWidth="1"/>
    <col min="17" max="20" width="9.140625" style="16" customWidth="1"/>
    <col min="21" max="21" width="24" style="16" customWidth="1"/>
    <col min="22" max="22" width="10" style="1" customWidth="1"/>
    <col min="23" max="23" width="8.28515625" style="1" customWidth="1"/>
    <col min="24" max="24" width="7.7109375" style="1" customWidth="1"/>
    <col min="25" max="16383" width="9.140625" style="1"/>
    <col min="16384" max="16384" width="8.85546875" style="1" customWidth="1"/>
  </cols>
  <sheetData>
    <row r="1" spans="2:21" s="16" customFormat="1" x14ac:dyDescent="0.2"/>
    <row r="2" spans="2:21" s="16" customFormat="1" x14ac:dyDescent="0.2"/>
    <row r="3" spans="2:21" s="16" customFormat="1" ht="8.25" customHeight="1" x14ac:dyDescent="0.2"/>
    <row r="4" spans="2:21" s="16" customFormat="1" x14ac:dyDescent="0.2"/>
    <row r="5" spans="2:21" s="16" customFormat="1" x14ac:dyDescent="0.2">
      <c r="B5" s="17">
        <v>3</v>
      </c>
    </row>
    <row r="6" spans="2:21" s="16" customFormat="1" x14ac:dyDescent="0.2"/>
    <row r="7" spans="2:21" s="16" customFormat="1" x14ac:dyDescent="0.2"/>
    <row r="8" spans="2:21" s="16" customFormat="1" x14ac:dyDescent="0.2"/>
    <row r="9" spans="2:21" s="16" customFormat="1" x14ac:dyDescent="0.2">
      <c r="E9" s="18"/>
      <c r="F9" s="18"/>
      <c r="G9" s="18"/>
      <c r="H9" s="18"/>
      <c r="I9" s="18"/>
    </row>
    <row r="10" spans="2:21" s="16" customFormat="1" ht="18.75" customHeight="1" x14ac:dyDescent="0.25">
      <c r="E10" s="61" t="s">
        <v>16</v>
      </c>
      <c r="F10" s="19"/>
      <c r="G10" s="20"/>
      <c r="H10" s="20"/>
      <c r="I10" s="20"/>
      <c r="J10" s="21" t="str">
        <f ca="1">OFFSET(Lists!E1,$B$5,0,1,1)</f>
        <v>FY 14</v>
      </c>
      <c r="K10" s="21" t="str">
        <f ca="1">OFFSET(Lists!$E$1,MATCH(J10,Lists!$E$1:$E$12,0),0,1,1)</f>
        <v>FY 15</v>
      </c>
      <c r="L10" s="21" t="str">
        <f ca="1">OFFSET(Lists!$E$1,MATCH(K10,Lists!$E$1:$E$12,0),0,1,1)</f>
        <v>FY 16</v>
      </c>
      <c r="M10" s="21" t="str">
        <f ca="1">OFFSET(Lists!$E$1,MATCH(L10,Lists!$E$1:$E$12,0),0,1,1)</f>
        <v>FY 17</v>
      </c>
      <c r="N10" s="21" t="str">
        <f ca="1">OFFSET(Lists!$E$1,MATCH(M10,Lists!$E$1:$E$12,0),0,1,1)</f>
        <v>FY 18</v>
      </c>
      <c r="O10" s="21" t="str">
        <f ca="1">OFFSET(Lists!$E$1,MATCH(N10,Lists!$E$1:$E$12,0),0,1,1)</f>
        <v>FY 19</v>
      </c>
      <c r="Q10" s="94"/>
      <c r="R10" s="112" t="s">
        <v>77</v>
      </c>
      <c r="S10" s="111"/>
      <c r="T10" s="95"/>
      <c r="U10" s="95"/>
    </row>
    <row r="11" spans="2:21" s="16" customFormat="1" ht="12" customHeight="1" thickBot="1" x14ac:dyDescent="0.25">
      <c r="E11" s="62" t="s">
        <v>0</v>
      </c>
      <c r="F11" s="18"/>
      <c r="G11" s="18"/>
      <c r="H11" s="18"/>
      <c r="I11" s="18"/>
      <c r="J11" s="22">
        <f ca="1">Calcs!B27</f>
        <v>3818</v>
      </c>
      <c r="K11" s="23">
        <f ca="1">Calcs!C27</f>
        <v>4464</v>
      </c>
      <c r="L11" s="23">
        <f ca="1">Calcs!D27</f>
        <v>4794</v>
      </c>
      <c r="M11" s="23">
        <f ca="1">Calcs!E27</f>
        <v>5225</v>
      </c>
      <c r="N11" s="23">
        <f ca="1">Calcs!F27</f>
        <v>5376</v>
      </c>
      <c r="O11" s="24">
        <f ca="1">Calcs!G27</f>
        <v>4794</v>
      </c>
    </row>
    <row r="12" spans="2:21" s="16" customFormat="1" ht="12.75" customHeight="1" x14ac:dyDescent="0.2">
      <c r="B12" s="64" t="s">
        <v>51</v>
      </c>
      <c r="C12" s="45"/>
      <c r="D12" s="53">
        <f ca="1">Calcs!B71</f>
        <v>0.18</v>
      </c>
      <c r="E12" s="62" t="s">
        <v>1</v>
      </c>
      <c r="F12" s="18"/>
      <c r="G12" s="18"/>
      <c r="H12" s="18"/>
      <c r="I12" s="18"/>
      <c r="J12" s="25">
        <f ca="1">Calcs!B28</f>
        <v>15875.060000000001</v>
      </c>
      <c r="K12" s="26">
        <f ca="1">Calcs!C28</f>
        <v>16590.27</v>
      </c>
      <c r="L12" s="26">
        <f ca="1">Calcs!D28</f>
        <v>18318.719999999998</v>
      </c>
      <c r="M12" s="26">
        <f ca="1">Calcs!E28</f>
        <v>19006.649999999998</v>
      </c>
      <c r="N12" s="26">
        <f ca="1">Calcs!F28</f>
        <v>24008.400000000001</v>
      </c>
      <c r="O12" s="27">
        <f ca="1">Calcs!G28</f>
        <v>18318.719999999998</v>
      </c>
    </row>
    <row r="13" spans="2:21" s="16" customFormat="1" ht="12.75" customHeight="1" x14ac:dyDescent="0.2">
      <c r="B13" s="65" t="s">
        <v>52</v>
      </c>
      <c r="C13" s="18"/>
      <c r="D13" s="54">
        <f ca="1">Calcs!B72</f>
        <v>0.22</v>
      </c>
      <c r="E13" s="62" t="s">
        <v>2</v>
      </c>
      <c r="F13" s="18"/>
      <c r="G13" s="18"/>
      <c r="H13" s="18"/>
      <c r="I13" s="18"/>
      <c r="J13" s="28">
        <f ca="1">Calcs!B29</f>
        <v>2.35</v>
      </c>
      <c r="K13" s="29">
        <f ca="1">Calcs!C29</f>
        <v>2.4</v>
      </c>
      <c r="L13" s="29">
        <f ca="1">Calcs!D29</f>
        <v>2.4500000000000002</v>
      </c>
      <c r="M13" s="29">
        <f ca="1">Calcs!E29</f>
        <v>3.2</v>
      </c>
      <c r="N13" s="29">
        <f ca="1">Calcs!F29</f>
        <v>4.5</v>
      </c>
      <c r="O13" s="30">
        <f ca="1">Calcs!G29</f>
        <v>5.625</v>
      </c>
    </row>
    <row r="14" spans="2:21" s="16" customFormat="1" ht="12.75" customHeight="1" x14ac:dyDescent="0.2">
      <c r="B14" s="65" t="s">
        <v>53</v>
      </c>
      <c r="C14" s="18"/>
      <c r="D14" s="54">
        <f ca="1">Calcs!B73</f>
        <v>0.06</v>
      </c>
      <c r="E14" s="62" t="s">
        <v>3</v>
      </c>
      <c r="F14" s="18"/>
      <c r="G14" s="18"/>
      <c r="H14" s="18"/>
      <c r="I14" s="18"/>
      <c r="J14" s="28">
        <f ca="1">Calcs!B30</f>
        <v>0.87</v>
      </c>
      <c r="K14" s="29">
        <f ca="1">Calcs!C30</f>
        <v>0.97</v>
      </c>
      <c r="L14" s="29">
        <f ca="1">Calcs!D30</f>
        <v>0.67</v>
      </c>
      <c r="M14" s="29">
        <f ca="1">Calcs!E30</f>
        <v>0.77</v>
      </c>
      <c r="N14" s="29">
        <f ca="1">Calcs!F30</f>
        <v>0.87</v>
      </c>
      <c r="O14" s="30">
        <f ca="1">Calcs!G30</f>
        <v>0.97</v>
      </c>
    </row>
    <row r="15" spans="2:21" s="16" customFormat="1" ht="12.75" customHeight="1" x14ac:dyDescent="0.2">
      <c r="B15" s="65" t="s">
        <v>40</v>
      </c>
      <c r="C15" s="18"/>
      <c r="D15" s="54">
        <f ca="1">Calcs!B74</f>
        <v>0.01</v>
      </c>
      <c r="E15" s="62" t="s">
        <v>4</v>
      </c>
      <c r="F15" s="18"/>
      <c r="G15" s="18"/>
      <c r="H15" s="18"/>
      <c r="I15" s="18"/>
      <c r="J15" s="31">
        <f ca="1">Calcs!B31</f>
        <v>1.6</v>
      </c>
      <c r="K15" s="32">
        <f ca="1">Calcs!C31</f>
        <v>1.5</v>
      </c>
      <c r="L15" s="32">
        <f ca="1">Calcs!D31</f>
        <v>3.5</v>
      </c>
      <c r="M15" s="32">
        <f ca="1">Calcs!E31</f>
        <v>3.6</v>
      </c>
      <c r="N15" s="32">
        <f ca="1">Calcs!F31</f>
        <v>4.25</v>
      </c>
      <c r="O15" s="33">
        <f ca="1">Calcs!G31</f>
        <v>5.0625</v>
      </c>
    </row>
    <row r="16" spans="2:21" s="16" customFormat="1" ht="12.75" customHeight="1" x14ac:dyDescent="0.2">
      <c r="B16" s="65" t="s">
        <v>54</v>
      </c>
      <c r="C16" s="48"/>
      <c r="D16" s="55">
        <f ca="1">Calcs!B75</f>
        <v>0.04</v>
      </c>
      <c r="E16" s="62" t="s">
        <v>5</v>
      </c>
      <c r="F16" s="18"/>
      <c r="G16" s="18"/>
      <c r="H16" s="18"/>
      <c r="I16" s="18"/>
      <c r="J16" s="31">
        <f ca="1">Calcs!B32</f>
        <v>25.8</v>
      </c>
      <c r="K16" s="32">
        <f ca="1">Calcs!C32</f>
        <v>24.7</v>
      </c>
      <c r="L16" s="32">
        <f ca="1">Calcs!D32</f>
        <v>28.6</v>
      </c>
      <c r="M16" s="32">
        <f ca="1">Calcs!E32</f>
        <v>29.6</v>
      </c>
      <c r="N16" s="32">
        <f ca="1">Calcs!F32</f>
        <v>31.75</v>
      </c>
      <c r="O16" s="33">
        <f ca="1">Calcs!G32</f>
        <v>26.6875</v>
      </c>
    </row>
    <row r="17" spans="2:20" s="16" customFormat="1" ht="12.75" customHeight="1" x14ac:dyDescent="0.2">
      <c r="B17" s="65" t="s">
        <v>55</v>
      </c>
      <c r="C17" s="18"/>
      <c r="D17" s="54">
        <f ca="1">Calcs!B76</f>
        <v>0.12</v>
      </c>
      <c r="E17" s="62" t="s">
        <v>6</v>
      </c>
      <c r="F17" s="18"/>
      <c r="G17" s="18"/>
      <c r="H17" s="18"/>
      <c r="I17" s="18"/>
      <c r="J17" s="31">
        <f ca="1">Calcs!B33</f>
        <v>7.3000000000000007</v>
      </c>
      <c r="K17" s="32">
        <f ca="1">Calcs!C33</f>
        <v>7.3000000000000007</v>
      </c>
      <c r="L17" s="32">
        <f ca="1">Calcs!D33</f>
        <v>9.4</v>
      </c>
      <c r="M17" s="32">
        <f ca="1">Calcs!E33</f>
        <v>9.6999999999999993</v>
      </c>
      <c r="N17" s="32">
        <f ca="1">Calcs!F33</f>
        <v>9.875</v>
      </c>
      <c r="O17" s="33">
        <f ca="1">Calcs!G33</f>
        <v>10</v>
      </c>
    </row>
    <row r="18" spans="2:20" s="16" customFormat="1" ht="12.75" customHeight="1" x14ac:dyDescent="0.2">
      <c r="B18" s="65" t="s">
        <v>56</v>
      </c>
      <c r="C18" s="18"/>
      <c r="D18" s="54">
        <f ca="1">Calcs!B77</f>
        <v>0.15</v>
      </c>
      <c r="E18" s="62" t="s">
        <v>7</v>
      </c>
      <c r="F18" s="18"/>
      <c r="G18" s="18"/>
      <c r="H18" s="18"/>
      <c r="I18" s="18"/>
      <c r="J18" s="28">
        <f ca="1">Calcs!B34</f>
        <v>1.8399999999999999</v>
      </c>
      <c r="K18" s="29">
        <f ca="1">Calcs!C34</f>
        <v>1.94</v>
      </c>
      <c r="L18" s="29">
        <f ca="1">Calcs!D34</f>
        <v>1.8740000000000001</v>
      </c>
      <c r="M18" s="29">
        <f ca="1">Calcs!E34</f>
        <v>1.88</v>
      </c>
      <c r="N18" s="29">
        <f ca="1">Calcs!F34</f>
        <v>2.1</v>
      </c>
      <c r="O18" s="30">
        <f ca="1">Calcs!G34</f>
        <v>2.375</v>
      </c>
    </row>
    <row r="19" spans="2:20" s="16" customFormat="1" ht="12.75" customHeight="1" x14ac:dyDescent="0.2">
      <c r="B19" s="65" t="s">
        <v>57</v>
      </c>
      <c r="C19" s="48"/>
      <c r="D19" s="55">
        <f ca="1">Calcs!B78</f>
        <v>0.14000000000000001</v>
      </c>
      <c r="E19" s="62" t="s">
        <v>8</v>
      </c>
      <c r="F19" s="18"/>
      <c r="G19" s="18"/>
      <c r="H19" s="18"/>
      <c r="I19" s="18"/>
      <c r="J19" s="25">
        <f ca="1">Calcs!B35</f>
        <v>240000</v>
      </c>
      <c r="K19" s="26">
        <f ca="1">Calcs!C35</f>
        <v>200000</v>
      </c>
      <c r="L19" s="26">
        <f ca="1">Calcs!D35</f>
        <v>295000</v>
      </c>
      <c r="M19" s="26">
        <f ca="1">Calcs!E35</f>
        <v>340000</v>
      </c>
      <c r="N19" s="26">
        <f ca="1">Calcs!F35</f>
        <v>387500</v>
      </c>
      <c r="O19" s="27">
        <f ca="1">Calcs!G35</f>
        <v>484375</v>
      </c>
    </row>
    <row r="20" spans="2:20" s="16" customFormat="1" ht="12.75" customHeight="1" x14ac:dyDescent="0.2">
      <c r="B20" s="68" t="s">
        <v>58</v>
      </c>
      <c r="C20" s="46"/>
      <c r="D20" s="56">
        <f ca="1">Calcs!B79</f>
        <v>0.08</v>
      </c>
      <c r="E20" s="62" t="s">
        <v>9</v>
      </c>
      <c r="F20" s="18"/>
      <c r="G20" s="18"/>
      <c r="H20" s="18"/>
      <c r="I20" s="18"/>
      <c r="J20" s="25">
        <f ca="1">Calcs!B36</f>
        <v>129450</v>
      </c>
      <c r="K20" s="26">
        <f ca="1">Calcs!C36</f>
        <v>169382.5</v>
      </c>
      <c r="L20" s="26">
        <f ca="1">Calcs!D36</f>
        <v>176450</v>
      </c>
      <c r="M20" s="26">
        <f ca="1">Calcs!E36</f>
        <v>160492</v>
      </c>
      <c r="N20" s="26">
        <f ca="1">Calcs!F36</f>
        <v>200615</v>
      </c>
      <c r="O20" s="27">
        <f ca="1">Calcs!G36</f>
        <v>250768.75</v>
      </c>
    </row>
    <row r="21" spans="2:20" s="16" customFormat="1" ht="12.75" customHeight="1" x14ac:dyDescent="0.2">
      <c r="E21" s="62" t="s">
        <v>10</v>
      </c>
      <c r="F21" s="18"/>
      <c r="G21" s="18"/>
      <c r="H21" s="18"/>
      <c r="I21" s="18"/>
      <c r="J21" s="25">
        <f ca="1">Calcs!B37</f>
        <v>154465.5</v>
      </c>
      <c r="K21" s="26">
        <f ca="1">Calcs!C37</f>
        <v>137450</v>
      </c>
      <c r="L21" s="26">
        <f ca="1">Calcs!D37</f>
        <v>164575</v>
      </c>
      <c r="M21" s="26">
        <f ca="1">Calcs!E37</f>
        <v>152959</v>
      </c>
      <c r="N21" s="26">
        <f ca="1">Calcs!F37</f>
        <v>147959</v>
      </c>
      <c r="O21" s="27">
        <f ca="1">Calcs!G37</f>
        <v>153561.5</v>
      </c>
    </row>
    <row r="22" spans="2:20" s="16" customFormat="1" ht="12.75" customHeight="1" x14ac:dyDescent="0.2">
      <c r="E22" s="62" t="s">
        <v>11</v>
      </c>
      <c r="F22" s="18"/>
      <c r="G22" s="18"/>
      <c r="H22" s="18"/>
      <c r="I22" s="18"/>
      <c r="J22" s="25">
        <f ca="1">Calcs!B38</f>
        <v>15770</v>
      </c>
      <c r="K22" s="26">
        <f ca="1">Calcs!C38</f>
        <v>16350</v>
      </c>
      <c r="L22" s="26">
        <f ca="1">Calcs!D38</f>
        <v>16935</v>
      </c>
      <c r="M22" s="26">
        <f ca="1">Calcs!E38</f>
        <v>17450</v>
      </c>
      <c r="N22" s="26">
        <f ca="1">Calcs!F38</f>
        <v>17950</v>
      </c>
      <c r="O22" s="27">
        <f ca="1">Calcs!G38</f>
        <v>18450</v>
      </c>
    </row>
    <row r="23" spans="2:20" s="16" customFormat="1" ht="12.75" customHeight="1" x14ac:dyDescent="0.2">
      <c r="E23" s="62" t="s">
        <v>12</v>
      </c>
      <c r="F23" s="18"/>
      <c r="G23" s="18"/>
      <c r="H23" s="18"/>
      <c r="I23" s="18"/>
      <c r="J23" s="31">
        <f ca="1">Calcs!B39</f>
        <v>0.5</v>
      </c>
      <c r="K23" s="34">
        <f ca="1">Calcs!C39</f>
        <v>0.39999999999999991</v>
      </c>
      <c r="L23" s="34">
        <f ca="1">Calcs!D39</f>
        <v>2.2000000000000002</v>
      </c>
      <c r="M23" s="34">
        <f ca="1">Calcs!E39</f>
        <v>2.2999999999999998</v>
      </c>
      <c r="N23" s="34">
        <f ca="1">Calcs!F39</f>
        <v>2.7</v>
      </c>
      <c r="O23" s="35">
        <f ca="1">Calcs!G39</f>
        <v>2.5</v>
      </c>
    </row>
    <row r="24" spans="2:20" s="16" customFormat="1" ht="12.75" customHeight="1" x14ac:dyDescent="0.2">
      <c r="E24" s="62" t="s">
        <v>13</v>
      </c>
      <c r="F24" s="36"/>
      <c r="G24" s="36"/>
      <c r="H24" s="36"/>
      <c r="I24" s="36"/>
      <c r="J24" s="37">
        <f ca="1">Calcs!B40</f>
        <v>2</v>
      </c>
      <c r="K24" s="34">
        <f ca="1">Calcs!C40</f>
        <v>2</v>
      </c>
      <c r="L24" s="34">
        <f ca="1">Calcs!D40</f>
        <v>4.0999999999999996</v>
      </c>
      <c r="M24" s="34">
        <f ca="1">Calcs!E40</f>
        <v>4.2</v>
      </c>
      <c r="N24" s="34">
        <f ca="1">Calcs!F40</f>
        <v>3.9</v>
      </c>
      <c r="O24" s="35">
        <f ca="1">Calcs!G40</f>
        <v>3.9</v>
      </c>
    </row>
    <row r="25" spans="2:20" s="16" customFormat="1" ht="12.75" customHeight="1" x14ac:dyDescent="0.2">
      <c r="E25" s="63" t="s">
        <v>14</v>
      </c>
      <c r="F25" s="38"/>
      <c r="G25" s="36"/>
      <c r="H25" s="36"/>
      <c r="I25" s="36"/>
      <c r="J25" s="37">
        <f ca="1">Calcs!B41</f>
        <v>2.5499999999999998</v>
      </c>
      <c r="K25" s="34">
        <f ca="1">Calcs!C41</f>
        <v>2.65</v>
      </c>
      <c r="L25" s="34">
        <f ca="1">Calcs!D41</f>
        <v>4.7</v>
      </c>
      <c r="M25" s="34">
        <f ca="1">Calcs!E41</f>
        <v>4.9000000000000004</v>
      </c>
      <c r="N25" s="34">
        <f ca="1">Calcs!F41</f>
        <v>4.9000000000000004</v>
      </c>
      <c r="O25" s="35">
        <f ca="1">Calcs!G41</f>
        <v>4.5999999999999996</v>
      </c>
    </row>
    <row r="26" spans="2:20" s="16" customFormat="1" ht="12.75" customHeight="1" x14ac:dyDescent="0.2">
      <c r="E26" s="63" t="s">
        <v>15</v>
      </c>
      <c r="F26" s="38"/>
      <c r="G26" s="36"/>
      <c r="H26" s="36"/>
      <c r="I26" s="36"/>
      <c r="J26" s="39">
        <f ca="1">Calcs!B42</f>
        <v>0.60000000000000009</v>
      </c>
      <c r="K26" s="40">
        <f ca="1">Calcs!C42</f>
        <v>0.60000000000000009</v>
      </c>
      <c r="L26" s="40">
        <f ca="1">Calcs!D42</f>
        <v>2.5</v>
      </c>
      <c r="M26" s="40">
        <f ca="1">Calcs!E42</f>
        <v>2.4</v>
      </c>
      <c r="N26" s="40">
        <f ca="1">Calcs!F42</f>
        <v>2.2999999999999998</v>
      </c>
      <c r="O26" s="41">
        <f ca="1">Calcs!G42</f>
        <v>2.6</v>
      </c>
    </row>
    <row r="27" spans="2:20" s="16" customFormat="1" x14ac:dyDescent="0.2">
      <c r="E27" s="36"/>
      <c r="F27" s="38"/>
      <c r="G27" s="36"/>
      <c r="H27" s="36"/>
      <c r="I27" s="36"/>
      <c r="J27" s="42"/>
      <c r="K27" s="42"/>
      <c r="L27" s="42"/>
      <c r="M27" s="42"/>
      <c r="N27" s="42"/>
    </row>
    <row r="28" spans="2:20" s="16" customFormat="1" x14ac:dyDescent="0.2">
      <c r="E28" s="36"/>
      <c r="F28" s="38"/>
      <c r="G28" s="36"/>
      <c r="H28" s="36"/>
      <c r="I28" s="36"/>
      <c r="J28" s="42"/>
      <c r="K28" s="42"/>
      <c r="L28" s="42"/>
      <c r="M28" s="42"/>
      <c r="N28" s="42"/>
    </row>
    <row r="29" spans="2:20" s="16" customFormat="1" x14ac:dyDescent="0.2">
      <c r="E29" s="36"/>
      <c r="F29" s="38"/>
      <c r="G29" s="36"/>
      <c r="H29" s="36"/>
      <c r="I29" s="36"/>
      <c r="J29" s="42"/>
      <c r="K29" s="42"/>
      <c r="L29" s="42"/>
      <c r="M29" s="42"/>
      <c r="N29" s="42"/>
    </row>
    <row r="30" spans="2:20" s="16" customFormat="1" ht="15" x14ac:dyDescent="0.2">
      <c r="E30" s="98" t="s">
        <v>76</v>
      </c>
      <c r="G30" s="36"/>
      <c r="H30" s="36"/>
      <c r="I30" s="36"/>
      <c r="J30" s="42"/>
      <c r="K30" s="42"/>
      <c r="L30" s="97" t="str">
        <f>Calcs!A3&amp;" Trend"</f>
        <v>Core Deposits Trend</v>
      </c>
      <c r="M30" s="42"/>
      <c r="N30" s="42"/>
      <c r="T30" s="97" t="s">
        <v>93</v>
      </c>
    </row>
    <row r="31" spans="2:20" s="16" customFormat="1" x14ac:dyDescent="0.2">
      <c r="E31" s="36"/>
      <c r="G31" s="36"/>
      <c r="H31" s="36"/>
      <c r="I31" s="36"/>
      <c r="J31" s="42"/>
      <c r="K31" s="42"/>
      <c r="M31" s="42"/>
      <c r="N31" s="42"/>
    </row>
    <row r="32" spans="2:20" s="16" customFormat="1" x14ac:dyDescent="0.2">
      <c r="E32" s="36"/>
      <c r="F32" s="38"/>
      <c r="G32" s="36"/>
      <c r="H32" s="36"/>
      <c r="I32" s="36"/>
      <c r="J32" s="42"/>
      <c r="K32" s="42"/>
      <c r="L32" s="42"/>
      <c r="M32" s="42"/>
      <c r="N32" s="42"/>
    </row>
    <row r="33" spans="1:21" s="16" customFormat="1" x14ac:dyDescent="0.2">
      <c r="E33" s="42"/>
      <c r="F33" s="43"/>
      <c r="G33" s="42"/>
      <c r="H33" s="42"/>
      <c r="I33" s="42"/>
      <c r="J33" s="42"/>
      <c r="K33" s="42"/>
      <c r="L33" s="42"/>
      <c r="M33" s="42"/>
      <c r="N33" s="42"/>
    </row>
    <row r="34" spans="1:21" s="16" customFormat="1" ht="13.5" thickBot="1" x14ac:dyDescent="0.25">
      <c r="E34" s="42"/>
      <c r="F34" s="43"/>
      <c r="G34" s="42"/>
      <c r="H34" s="42"/>
      <c r="I34" s="42"/>
      <c r="J34" s="42"/>
      <c r="K34" s="42"/>
      <c r="L34" s="42"/>
      <c r="M34" s="42"/>
      <c r="N34" s="42"/>
    </row>
    <row r="35" spans="1:21" s="16" customFormat="1" x14ac:dyDescent="0.2">
      <c r="B35" s="64" t="s">
        <v>37</v>
      </c>
      <c r="C35" s="45"/>
      <c r="D35" s="57">
        <f ca="1">Calcs!B51</f>
        <v>87.083333333333343</v>
      </c>
      <c r="E35" s="42"/>
      <c r="F35" s="43"/>
      <c r="G35" s="42"/>
      <c r="H35" s="42"/>
      <c r="I35" s="42"/>
      <c r="J35" s="42"/>
      <c r="K35" s="42"/>
      <c r="L35" s="42"/>
      <c r="M35" s="42"/>
      <c r="N35" s="42"/>
    </row>
    <row r="36" spans="1:21" s="16" customFormat="1" x14ac:dyDescent="0.2">
      <c r="B36" s="65" t="s">
        <v>38</v>
      </c>
      <c r="C36" s="18"/>
      <c r="D36" s="58">
        <f ca="1">Calcs!B52</f>
        <v>174.16666666666669</v>
      </c>
      <c r="E36" s="42"/>
      <c r="F36" s="43"/>
      <c r="G36" s="42"/>
      <c r="H36" s="42"/>
      <c r="I36" s="42"/>
      <c r="J36" s="42"/>
      <c r="K36" s="42"/>
      <c r="L36" s="42"/>
      <c r="M36" s="42"/>
      <c r="N36" s="42"/>
    </row>
    <row r="37" spans="1:21" s="16" customFormat="1" x14ac:dyDescent="0.2">
      <c r="B37" s="65" t="s">
        <v>39</v>
      </c>
      <c r="C37" s="18"/>
      <c r="D37" s="58">
        <f ca="1">Calcs!B53</f>
        <v>130.625</v>
      </c>
      <c r="E37" s="42"/>
      <c r="F37" s="43"/>
      <c r="G37" s="42"/>
      <c r="H37" s="42"/>
      <c r="I37" s="42"/>
      <c r="J37" s="42"/>
      <c r="K37" s="42"/>
      <c r="L37" s="42"/>
      <c r="M37" s="42"/>
      <c r="N37" s="42"/>
    </row>
    <row r="38" spans="1:21" s="16" customFormat="1" x14ac:dyDescent="0.2">
      <c r="B38" s="65" t="s">
        <v>40</v>
      </c>
      <c r="C38" s="18"/>
      <c r="D38" s="58">
        <f ca="1">Calcs!B54</f>
        <v>43.541666666666671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1:21" s="16" customFormat="1" x14ac:dyDescent="0.2">
      <c r="A39" s="47"/>
      <c r="B39" s="66" t="s">
        <v>0</v>
      </c>
      <c r="C39" s="48"/>
      <c r="D39" s="59">
        <f ca="1">Calcs!B55</f>
        <v>435.41666666666669</v>
      </c>
    </row>
    <row r="40" spans="1:21" s="16" customFormat="1" x14ac:dyDescent="0.2">
      <c r="B40" s="65" t="s">
        <v>41</v>
      </c>
      <c r="C40" s="18"/>
      <c r="D40" s="58">
        <f ca="1">Calcs!B56</f>
        <v>217.70833333333334</v>
      </c>
    </row>
    <row r="41" spans="1:21" s="16" customFormat="1" x14ac:dyDescent="0.2">
      <c r="B41" s="65" t="s">
        <v>42</v>
      </c>
      <c r="C41" s="18"/>
      <c r="D41" s="58">
        <f ca="1">Calcs!B57</f>
        <v>54.427083333333336</v>
      </c>
    </row>
    <row r="42" spans="1:21" s="16" customFormat="1" x14ac:dyDescent="0.2">
      <c r="A42" s="47"/>
      <c r="B42" s="66" t="s">
        <v>43</v>
      </c>
      <c r="C42" s="48"/>
      <c r="D42" s="59">
        <f ca="1">Calcs!B58</f>
        <v>272.13541666666669</v>
      </c>
    </row>
    <row r="43" spans="1:21" s="16" customFormat="1" ht="15" customHeight="1" x14ac:dyDescent="0.2">
      <c r="B43" s="67" t="s">
        <v>44</v>
      </c>
      <c r="C43" s="46"/>
      <c r="D43" s="60">
        <f ca="1">Calcs!B59</f>
        <v>163.28125</v>
      </c>
    </row>
    <row r="44" spans="1:21" s="16" customFormat="1" x14ac:dyDescent="0.2">
      <c r="B44" s="17"/>
      <c r="C44" s="17"/>
      <c r="D44" s="17"/>
      <c r="E44" s="44"/>
    </row>
    <row r="45" spans="1:21" s="16" customFormat="1" x14ac:dyDescent="0.2">
      <c r="B45" s="17"/>
      <c r="C45" s="17"/>
      <c r="D45" s="17"/>
    </row>
    <row r="46" spans="1:21" s="16" customFormat="1" x14ac:dyDescent="0.2">
      <c r="B46" s="108" t="s">
        <v>141</v>
      </c>
      <c r="C46" s="109"/>
      <c r="D46" s="109" t="str">
        <f ca="1">Check!D44</f>
        <v>Model OK</v>
      </c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</row>
    <row r="47" spans="1:21" s="16" customFormat="1" x14ac:dyDescent="0.2"/>
    <row r="48" spans="1:21" s="16" customFormat="1" x14ac:dyDescent="0.2"/>
    <row r="49" spans="1:16" s="16" customFormat="1" x14ac:dyDescent="0.2"/>
    <row r="50" spans="1:16" s="16" customFormat="1" x14ac:dyDescent="0.2"/>
    <row r="51" spans="1:16" s="16" customFormat="1" x14ac:dyDescent="0.2"/>
    <row r="52" spans="1:16" s="16" customFormat="1" x14ac:dyDescent="0.2"/>
    <row r="53" spans="1:16" s="16" customFormat="1" x14ac:dyDescent="0.2"/>
    <row r="54" spans="1:16" s="16" customFormat="1" x14ac:dyDescent="0.2"/>
    <row r="55" spans="1:16" s="16" customFormat="1" x14ac:dyDescent="0.2"/>
    <row r="56" spans="1:16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ht="34.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70" spans="1:16" x14ac:dyDescent="0.2"/>
  </sheetData>
  <phoneticPr fontId="3" type="noConversion"/>
  <conditionalFormatting sqref="J10:O10">
    <cfRule type="expression" dxfId="2" priority="3" stopIfTrue="1">
      <formula>IF(RIGHT(J$10,2)*1&gt;13,1,0)</formula>
    </cfRule>
  </conditionalFormatting>
  <pageMargins left="0.75" right="0.75" top="1" bottom="1" header="0.5" footer="0.5"/>
  <pageSetup paperSize="9" scale="61" orientation="landscape" horizontalDpi="4294967293" verticalDpi="300" r:id="rId1"/>
  <headerFooter alignWithMargins="0"/>
  <rowBreaks count="1" manualBreakCount="1">
    <brk id="45" max="16383" man="1"/>
  </rowBreaks>
  <ignoredErrors>
    <ignoredError sqref="D46" unlockedFormula="1"/>
  </ignoredErrors>
  <drawing r:id="rId2"/>
  <legacyDrawing r:id="rId3"/>
  <controls>
    <mc:AlternateContent xmlns:mc="http://schemas.openxmlformats.org/markup-compatibility/2006">
      <mc:Choice Requires="x14">
        <control shapeId="26707" r:id="rId4" name="ScrollBar1">
          <controlPr defaultSize="0" autoLine="0" linkedCell="$B5" r:id="rId5">
            <anchor moveWithCells="1">
              <from>
                <xdr:col>6</xdr:col>
                <xdr:colOff>419100</xdr:colOff>
                <xdr:row>9</xdr:row>
                <xdr:rowOff>19050</xdr:rowOff>
              </from>
              <to>
                <xdr:col>8</xdr:col>
                <xdr:colOff>9525</xdr:colOff>
                <xdr:row>9</xdr:row>
                <xdr:rowOff>180975</xdr:rowOff>
              </to>
            </anchor>
          </controlPr>
        </control>
      </mc:Choice>
      <mc:Fallback>
        <control shapeId="26707" r:id="rId4" name="ScrollBar1"/>
      </mc:Fallback>
    </mc:AlternateContent>
    <mc:AlternateContent xmlns:mc="http://schemas.openxmlformats.org/markup-compatibility/2006">
      <mc:Choice Requires="x14">
        <control shapeId="26701" r:id="rId6" name="ListBox1">
          <controlPr defaultSize="0" autoFill="0" autoLine="0" autoPict="0" linkedCell="Lists!B3" listFillRange="E11:E26" r:id="rId7">
            <anchor moveWithCells="1" sizeWithCells="1">
              <from>
                <xdr:col>4</xdr:col>
                <xdr:colOff>352425</xdr:colOff>
                <xdr:row>9</xdr:row>
                <xdr:rowOff>190500</xdr:rowOff>
              </from>
              <to>
                <xdr:col>8</xdr:col>
                <xdr:colOff>76200</xdr:colOff>
                <xdr:row>26</xdr:row>
                <xdr:rowOff>104775</xdr:rowOff>
              </to>
            </anchor>
          </controlPr>
        </control>
      </mc:Choice>
      <mc:Fallback>
        <control shapeId="26701" r:id="rId6" name="ListBox1"/>
      </mc:Fallback>
    </mc:AlternateContent>
    <mc:AlternateContent xmlns:mc="http://schemas.openxmlformats.org/markup-compatibility/2006">
      <mc:Choice Requires="x14">
        <control shapeId="26708" r:id="rId8" name="Drop Down 84">
          <controlPr defaultSize="0" autoLine="0" autoPict="0">
            <anchor moveWithCells="1">
              <from>
                <xdr:col>20</xdr:col>
                <xdr:colOff>495300</xdr:colOff>
                <xdr:row>9</xdr:row>
                <xdr:rowOff>0</xdr:rowOff>
              </from>
              <to>
                <xdr:col>20</xdr:col>
                <xdr:colOff>1571625</xdr:colOff>
                <xdr:row>9</xdr:row>
                <xdr:rowOff>209550</xdr:rowOff>
              </to>
            </anchor>
          </controlPr>
        </control>
      </mc:Choice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F2969F99-E5CE-4242-BCDA-B9B26960953D}">
            <xm:f>IF($E11=Lists!$B$3,1,0)</xm:f>
            <x14:dxf>
              <fill>
                <patternFill>
                  <bgColor theme="5" tint="0.59996337778862885"/>
                </patternFill>
              </fill>
            </x14:dxf>
          </x14:cfRule>
          <xm:sqref>J11:O26</xm:sqref>
        </x14:conditionalFormatting>
        <x14:conditionalFormatting xmlns:xm="http://schemas.microsoft.com/office/excel/2006/main">
          <x14:cfRule type="expression" priority="1" id="{31F3101F-D1F6-4A90-A2A4-2EBFEED7A167}">
            <xm:f>$D$46=Lists!$H$3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B46:U46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Model</vt:lpstr>
      <vt:lpstr>Lists</vt:lpstr>
      <vt:lpstr>Data</vt:lpstr>
      <vt:lpstr>Plan</vt:lpstr>
      <vt:lpstr>Cust</vt:lpstr>
      <vt:lpstr>Hires</vt:lpstr>
      <vt:lpstr>Sick</vt:lpstr>
      <vt:lpstr>FTE</vt:lpstr>
      <vt:lpstr>General</vt:lpstr>
      <vt:lpstr>Other</vt:lpstr>
      <vt:lpstr>Calcs</vt:lpstr>
      <vt:lpstr>Check</vt:lpstr>
      <vt:lpstr>Summary</vt:lpstr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2021-09-05T17:04:37Z</cp:lastPrinted>
  <dcterms:created xsi:type="dcterms:W3CDTF">2004-09-26T05:23:07Z</dcterms:created>
  <dcterms:modified xsi:type="dcterms:W3CDTF">2022-10-20T09:21:08Z</dcterms:modified>
</cp:coreProperties>
</file>