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CF2177C-588D-4FE5-9531-91B026DC25E8}" xr6:coauthVersionLast="47" xr6:coauthVersionMax="47" xr10:uidLastSave="{00000000-0000-0000-0000-000000000000}"/>
  <bookViews>
    <workbookView xWindow="-120" yWindow="-120" windowWidth="20730" windowHeight="11040" tabRatio="693" activeTab="2" xr2:uid="{00000000-000D-0000-FFFF-FFFF00000000}"/>
  </bookViews>
  <sheets>
    <sheet name="DB Defects" sheetId="2" r:id="rId1"/>
    <sheet name="DB Test" sheetId="6" r:id="rId2"/>
    <sheet name="DB CRs" sheetId="9" r:id="rId3"/>
    <sheet name="Data Defects" sheetId="1" r:id="rId4"/>
    <sheet name="Data Test" sheetId="7" r:id="rId5"/>
    <sheet name="Data CRs" sheetId="10" r:id="rId6"/>
    <sheet name="Control Defects" sheetId="5" r:id="rId7"/>
    <sheet name="Control Test" sheetId="8" r:id="rId8"/>
    <sheet name="Control CRs" sheetId="11" r:id="rId9"/>
    <sheet name="Control General" sheetId="12" r:id="rId10"/>
  </sheets>
  <definedNames>
    <definedName name="myCompletionRateThreshold">'Data Test'!$D$12</definedName>
    <definedName name="myCRcumulated">OFFSET('Control CRs'!$D$9,0,0,'Control General'!$C$4,1)</definedName>
    <definedName name="myCRcumulated_D1">OFFSET('Control CRs'!$K$9,0,0,'Control General'!$C$4,1)</definedName>
    <definedName name="myCRcumulated_D2">OFFSET('Control CRs'!$L$9,0,0,'Control General'!$C$4,1)</definedName>
    <definedName name="myCRcumulated_D3">OFFSET('Control CRs'!$M$9,0,0,'Control General'!$C$4,1)</definedName>
    <definedName name="myCRcumulated_D4">OFFSET('Control CRs'!$N$9,0,0,'Control General'!$C$4,1)</definedName>
    <definedName name="myCRcumulated_D5">OFFSET('Control CRs'!$O$9,0,0,'Control General'!$C$4,1)</definedName>
    <definedName name="myCRcumulated_IT">OFFSET('Control CRs'!$P$9,0,0,'Control General'!$C$4,1)</definedName>
    <definedName name="myDashboard01">'DB Defects'!$B$4:$R$28</definedName>
    <definedName name="myDashboard02">'DB Test'!$B$4:$O$28</definedName>
    <definedName name="myDashboard03">'DB CRs'!$B$4:$M$35</definedName>
    <definedName name="myInputStartTitles">'Control General'!$B$21</definedName>
    <definedName name="myReportDate">'Control General'!$C$9</definedName>
    <definedName name="myReportWeek">'Control General'!$C$11</definedName>
    <definedName name="myScaleFactor">'Control General'!$C$19</definedName>
    <definedName name="mySuccessThreshold">'Data Test'!$D$11</definedName>
    <definedName name="myTimeLine">OFFSET('Control CRs'!$C$9,0,0,'Control General'!$C$4,1)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1" i="8" l="1"/>
  <c r="E112" i="8"/>
  <c r="E113" i="8"/>
  <c r="E114" i="8"/>
  <c r="E115" i="8"/>
  <c r="E110" i="8"/>
  <c r="C37" i="5"/>
  <c r="C38" i="5" s="1"/>
  <c r="C39" i="5" s="1"/>
  <c r="D39" i="5" s="1"/>
  <c r="C5" i="12"/>
  <c r="C6" i="12" s="1"/>
  <c r="D36" i="5"/>
  <c r="D37" i="5"/>
  <c r="D38" i="5"/>
  <c r="B8" i="8"/>
  <c r="B9" i="8" s="1"/>
  <c r="C9" i="8" s="1"/>
  <c r="C24" i="8" s="1"/>
  <c r="C39" i="8" s="1"/>
  <c r="C54" i="8" s="1"/>
  <c r="C69" i="8" s="1"/>
  <c r="C84" i="8" s="1"/>
  <c r="B9" i="11"/>
  <c r="B10" i="11" s="1"/>
  <c r="D6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E19" i="8" s="1"/>
  <c r="D21" i="8"/>
  <c r="D23" i="8" s="1"/>
  <c r="D24" i="8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E34" i="8" s="1"/>
  <c r="D36" i="8"/>
  <c r="D38" i="8"/>
  <c r="D51" i="8"/>
  <c r="D53" i="8" s="1"/>
  <c r="D66" i="8"/>
  <c r="D68" i="8"/>
  <c r="D69" i="8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E79" i="8" s="1"/>
  <c r="B23" i="8"/>
  <c r="F23" i="8" s="1"/>
  <c r="P9" i="11" a="1"/>
  <c r="O9" i="11" a="1"/>
  <c r="N9" i="11" a="1"/>
  <c r="M9" i="11" a="1"/>
  <c r="M9" i="11" s="1"/>
  <c r="L9" i="11" a="1"/>
  <c r="K9" i="11" a="1"/>
  <c r="K9" i="11" s="1"/>
  <c r="I9" i="11" a="1"/>
  <c r="I9" i="11" s="1"/>
  <c r="H9" i="11" a="1"/>
  <c r="H9" i="11" s="1"/>
  <c r="G9" i="11" a="1"/>
  <c r="F9" i="11" a="1"/>
  <c r="F9" i="11" s="1"/>
  <c r="D9" i="11" a="1"/>
  <c r="C9" i="11"/>
  <c r="D9" i="11"/>
  <c r="G10" i="11" a="1"/>
  <c r="G10" i="11" s="1"/>
  <c r="G9" i="11"/>
  <c r="L9" i="11"/>
  <c r="N9" i="11"/>
  <c r="O9" i="11"/>
  <c r="P9" i="11"/>
  <c r="L10" i="11" a="1"/>
  <c r="M10" i="11" a="1"/>
  <c r="N10" i="11" a="1"/>
  <c r="N10" i="11" s="1"/>
  <c r="P10" i="11" a="1"/>
  <c r="P10" i="11" s="1"/>
  <c r="L10" i="11"/>
  <c r="M10" i="11"/>
  <c r="B17" i="9"/>
  <c r="B16" i="9"/>
  <c r="B15" i="9"/>
  <c r="B14" i="9"/>
  <c r="B13" i="9"/>
  <c r="B12" i="9"/>
  <c r="C10" i="11"/>
  <c r="I10" i="11" a="1"/>
  <c r="I10" i="11" s="1"/>
  <c r="D10" i="11" a="1"/>
  <c r="D10" i="11" s="1"/>
  <c r="K23" i="8"/>
  <c r="I8" i="8"/>
  <c r="I23" i="8"/>
  <c r="G8" i="8"/>
  <c r="G23" i="8"/>
  <c r="G21" i="7"/>
  <c r="G26" i="7"/>
  <c r="G31" i="7"/>
  <c r="G36" i="7"/>
  <c r="G41" i="7"/>
  <c r="G46" i="7"/>
  <c r="G51" i="7"/>
  <c r="G56" i="7"/>
  <c r="G61" i="7"/>
  <c r="G66" i="7"/>
  <c r="G71" i="7"/>
  <c r="G17" i="7"/>
  <c r="G22" i="7"/>
  <c r="G27" i="7"/>
  <c r="G32" i="7"/>
  <c r="G37" i="7"/>
  <c r="G42" i="7"/>
  <c r="G47" i="7"/>
  <c r="G52" i="7"/>
  <c r="G57" i="7"/>
  <c r="G62" i="7"/>
  <c r="G67" i="7"/>
  <c r="G72" i="7"/>
  <c r="G18" i="7"/>
  <c r="G23" i="7"/>
  <c r="G28" i="7"/>
  <c r="G33" i="7"/>
  <c r="G38" i="7"/>
  <c r="G43" i="7"/>
  <c r="G48" i="7"/>
  <c r="G53" i="7"/>
  <c r="G58" i="7"/>
  <c r="G63" i="7"/>
  <c r="G68" i="7"/>
  <c r="G19" i="7"/>
  <c r="G24" i="7"/>
  <c r="G29" i="7"/>
  <c r="G34" i="7"/>
  <c r="G39" i="7"/>
  <c r="G44" i="7"/>
  <c r="G49" i="7"/>
  <c r="G54" i="7"/>
  <c r="G59" i="7"/>
  <c r="G64" i="7"/>
  <c r="G69" i="7"/>
  <c r="G20" i="7"/>
  <c r="G25" i="7"/>
  <c r="G30" i="7"/>
  <c r="G35" i="7"/>
  <c r="G40" i="7"/>
  <c r="G45" i="7"/>
  <c r="G50" i="7"/>
  <c r="G55" i="7"/>
  <c r="G60" i="7"/>
  <c r="G65" i="7"/>
  <c r="G70" i="7"/>
  <c r="G75" i="7"/>
  <c r="G16" i="7"/>
  <c r="H82" i="8"/>
  <c r="C145" i="8"/>
  <c r="C82" i="8"/>
  <c r="B129" i="8" s="1"/>
  <c r="F82" i="8"/>
  <c r="D129" i="8" s="1"/>
  <c r="E82" i="8"/>
  <c r="C67" i="8"/>
  <c r="B124" i="8"/>
  <c r="B123" i="8"/>
  <c r="B122" i="8"/>
  <c r="B121" i="8"/>
  <c r="B120" i="8"/>
  <c r="B114" i="8"/>
  <c r="B113" i="8"/>
  <c r="B112" i="8"/>
  <c r="B111" i="8"/>
  <c r="B110" i="8"/>
  <c r="B104" i="8"/>
  <c r="B103" i="8"/>
  <c r="B102" i="8"/>
  <c r="B101" i="8"/>
  <c r="B100" i="8"/>
  <c r="G9" i="8"/>
  <c r="L82" i="8"/>
  <c r="K82" i="8"/>
  <c r="J82" i="8"/>
  <c r="I82" i="8"/>
  <c r="G82" i="8"/>
  <c r="D82" i="8"/>
  <c r="B82" i="8"/>
  <c r="L67" i="8"/>
  <c r="K67" i="8"/>
  <c r="J67" i="8"/>
  <c r="I67" i="8"/>
  <c r="H67" i="8"/>
  <c r="G67" i="8"/>
  <c r="F67" i="8"/>
  <c r="E67" i="8"/>
  <c r="D67" i="8"/>
  <c r="B67" i="8"/>
  <c r="L52" i="8"/>
  <c r="K52" i="8"/>
  <c r="J52" i="8"/>
  <c r="I52" i="8"/>
  <c r="H52" i="8"/>
  <c r="G52" i="8"/>
  <c r="F52" i="8"/>
  <c r="E52" i="8"/>
  <c r="D52" i="8"/>
  <c r="C52" i="8"/>
  <c r="B52" i="8"/>
  <c r="L37" i="8"/>
  <c r="K37" i="8"/>
  <c r="J37" i="8"/>
  <c r="I37" i="8"/>
  <c r="H37" i="8"/>
  <c r="G37" i="8"/>
  <c r="F37" i="8"/>
  <c r="E37" i="8"/>
  <c r="D37" i="8"/>
  <c r="C37" i="8"/>
  <c r="B37" i="8"/>
  <c r="L22" i="8"/>
  <c r="K22" i="8"/>
  <c r="J22" i="8"/>
  <c r="I22" i="8"/>
  <c r="H22" i="8"/>
  <c r="G22" i="8"/>
  <c r="F22" i="8"/>
  <c r="E22" i="8"/>
  <c r="D22" i="8"/>
  <c r="C22" i="8"/>
  <c r="B22" i="8"/>
  <c r="D6" i="6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16" i="7"/>
  <c r="B9" i="6"/>
  <c r="B10" i="6"/>
  <c r="B11" i="6"/>
  <c r="B12" i="6"/>
  <c r="B8" i="6"/>
  <c r="J6" i="6"/>
  <c r="G74" i="7"/>
  <c r="G73" i="7"/>
  <c r="I9" i="8"/>
  <c r="B36" i="5"/>
  <c r="B37" i="5"/>
  <c r="B38" i="5"/>
  <c r="B39" i="5"/>
  <c r="H8" i="8"/>
  <c r="H9" i="8"/>
  <c r="E10" i="11" l="1"/>
  <c r="B131" i="8"/>
  <c r="B147" i="8"/>
  <c r="E9" i="11"/>
  <c r="K10" i="11" a="1"/>
  <c r="K10" i="11" s="1"/>
  <c r="O10" i="11" a="1"/>
  <c r="O10" i="11" s="1"/>
  <c r="F10" i="11" a="1"/>
  <c r="F10" i="11" s="1"/>
  <c r="H10" i="11" a="1"/>
  <c r="H10" i="11" s="1"/>
  <c r="B11" i="11"/>
  <c r="F8" i="8"/>
  <c r="K8" i="8" s="1"/>
  <c r="B24" i="8"/>
  <c r="B38" i="8"/>
  <c r="F9" i="8"/>
  <c r="B10" i="8"/>
  <c r="H23" i="8"/>
  <c r="B145" i="8"/>
  <c r="H24" i="8"/>
  <c r="F24" i="8"/>
  <c r="B39" i="8"/>
  <c r="D54" i="8"/>
  <c r="D55" i="8" s="1"/>
  <c r="C8" i="8"/>
  <c r="D39" i="8"/>
  <c r="D40" i="8" s="1"/>
  <c r="D41" i="8" s="1"/>
  <c r="D42" i="8" s="1"/>
  <c r="C10" i="8"/>
  <c r="C25" i="8" s="1"/>
  <c r="C40" i="8" s="1"/>
  <c r="C55" i="8" s="1"/>
  <c r="C70" i="8" s="1"/>
  <c r="C85" i="8" s="1"/>
  <c r="D83" i="8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C40" i="5"/>
  <c r="J9" i="8" l="1"/>
  <c r="K9" i="8"/>
  <c r="F11" i="11" a="1"/>
  <c r="F11" i="11" s="1"/>
  <c r="M11" i="11" a="1"/>
  <c r="M11" i="11" s="1"/>
  <c r="P11" i="11" a="1"/>
  <c r="P11" i="11" s="1"/>
  <c r="B12" i="11"/>
  <c r="D11" i="11" a="1"/>
  <c r="D11" i="11" s="1"/>
  <c r="G11" i="11" a="1"/>
  <c r="G11" i="11" s="1"/>
  <c r="C11" i="11"/>
  <c r="O11" i="11" a="1"/>
  <c r="O11" i="11" s="1"/>
  <c r="H11" i="11" a="1"/>
  <c r="H11" i="11" s="1"/>
  <c r="L11" i="11" a="1"/>
  <c r="L11" i="11" s="1"/>
  <c r="I11" i="11" a="1"/>
  <c r="I11" i="11" s="1"/>
  <c r="N11" i="11" a="1"/>
  <c r="N11" i="11" s="1"/>
  <c r="K11" i="11" a="1"/>
  <c r="K11" i="11" s="1"/>
  <c r="B53" i="8"/>
  <c r="F38" i="8"/>
  <c r="K38" i="8" s="1"/>
  <c r="I38" i="8"/>
  <c r="G38" i="8"/>
  <c r="H38" i="8"/>
  <c r="J38" i="8" s="1"/>
  <c r="I24" i="8"/>
  <c r="G24" i="8"/>
  <c r="B11" i="8"/>
  <c r="B25" i="8"/>
  <c r="F10" i="8"/>
  <c r="G10" i="8"/>
  <c r="I10" i="8"/>
  <c r="H10" i="8"/>
  <c r="J8" i="8"/>
  <c r="C23" i="8"/>
  <c r="C38" i="8" s="1"/>
  <c r="C53" i="8" s="1"/>
  <c r="C68" i="8" s="1"/>
  <c r="C83" i="8" s="1"/>
  <c r="F39" i="8"/>
  <c r="B54" i="8"/>
  <c r="G39" i="8"/>
  <c r="H39" i="8"/>
  <c r="I39" i="8"/>
  <c r="K24" i="8"/>
  <c r="J24" i="8"/>
  <c r="C41" i="5"/>
  <c r="D40" i="5"/>
  <c r="B40" i="5"/>
  <c r="D43" i="8"/>
  <c r="D44" i="8" s="1"/>
  <c r="D45" i="8" s="1"/>
  <c r="D46" i="8" s="1"/>
  <c r="D47" i="8" s="1"/>
  <c r="D48" i="8" s="1"/>
  <c r="D49" i="8" s="1"/>
  <c r="E49" i="8" s="1"/>
  <c r="D56" i="8"/>
  <c r="D57" i="8" s="1"/>
  <c r="B148" i="8"/>
  <c r="B132" i="8"/>
  <c r="J23" i="8"/>
  <c r="F25" i="8" l="1"/>
  <c r="K25" i="8" s="1"/>
  <c r="B40" i="8"/>
  <c r="I25" i="8"/>
  <c r="G25" i="8"/>
  <c r="H25" i="8"/>
  <c r="I53" i="8"/>
  <c r="G53" i="8"/>
  <c r="H53" i="8"/>
  <c r="F53" i="8"/>
  <c r="B68" i="8"/>
  <c r="C11" i="8"/>
  <c r="C26" i="8" s="1"/>
  <c r="C41" i="8" s="1"/>
  <c r="C56" i="8" s="1"/>
  <c r="C71" i="8" s="1"/>
  <c r="C86" i="8" s="1"/>
  <c r="F11" i="8"/>
  <c r="K11" i="8" s="1"/>
  <c r="B26" i="8"/>
  <c r="B12" i="8"/>
  <c r="G11" i="8"/>
  <c r="H11" i="8"/>
  <c r="J11" i="8" s="1"/>
  <c r="I11" i="8"/>
  <c r="E11" i="11"/>
  <c r="B13" i="11"/>
  <c r="H12" i="11" a="1"/>
  <c r="H12" i="11" s="1"/>
  <c r="M12" i="11" a="1"/>
  <c r="M12" i="11" s="1"/>
  <c r="D12" i="11" a="1"/>
  <c r="D12" i="11" s="1"/>
  <c r="K12" i="11" a="1"/>
  <c r="K12" i="11" s="1"/>
  <c r="N12" i="11" a="1"/>
  <c r="N12" i="11" s="1"/>
  <c r="F12" i="11" a="1"/>
  <c r="F12" i="11" s="1"/>
  <c r="P12" i="11" a="1"/>
  <c r="P12" i="11" s="1"/>
  <c r="L12" i="11" a="1"/>
  <c r="L12" i="11" s="1"/>
  <c r="I12" i="11" a="1"/>
  <c r="I12" i="11" s="1"/>
  <c r="G12" i="11" a="1"/>
  <c r="G12" i="11" s="1"/>
  <c r="O12" i="11" a="1"/>
  <c r="O12" i="11" s="1"/>
  <c r="C12" i="11"/>
  <c r="K10" i="8"/>
  <c r="J10" i="8"/>
  <c r="C42" i="5"/>
  <c r="D41" i="5"/>
  <c r="B41" i="5"/>
  <c r="J39" i="8"/>
  <c r="K39" i="8"/>
  <c r="B146" i="8"/>
  <c r="B130" i="8"/>
  <c r="D58" i="8"/>
  <c r="D59" i="8" s="1"/>
  <c r="D60" i="8" s="1"/>
  <c r="D61" i="8" s="1"/>
  <c r="D62" i="8" s="1"/>
  <c r="D63" i="8" s="1"/>
  <c r="D64" i="8" s="1"/>
  <c r="E64" i="8" s="1"/>
  <c r="E94" i="8" s="1"/>
  <c r="F54" i="8"/>
  <c r="B69" i="8"/>
  <c r="I54" i="8"/>
  <c r="H54" i="8"/>
  <c r="G54" i="8"/>
  <c r="B14" i="11" l="1"/>
  <c r="F13" i="11" a="1"/>
  <c r="F13" i="11" s="1"/>
  <c r="M13" i="11" a="1"/>
  <c r="M13" i="11" s="1"/>
  <c r="P13" i="11" a="1"/>
  <c r="P13" i="11" s="1"/>
  <c r="G13" i="11" a="1"/>
  <c r="G13" i="11" s="1"/>
  <c r="N13" i="11" a="1"/>
  <c r="N13" i="11" s="1"/>
  <c r="K13" i="11" a="1"/>
  <c r="K13" i="11" s="1"/>
  <c r="D13" i="11" a="1"/>
  <c r="D13" i="11" s="1"/>
  <c r="O13" i="11" a="1"/>
  <c r="O13" i="11" s="1"/>
  <c r="H13" i="11" a="1"/>
  <c r="H13" i="11" s="1"/>
  <c r="L13" i="11" a="1"/>
  <c r="L13" i="11" s="1"/>
  <c r="I13" i="11" a="1"/>
  <c r="I13" i="11" s="1"/>
  <c r="C13" i="11"/>
  <c r="B149" i="8"/>
  <c r="B133" i="8"/>
  <c r="E12" i="11"/>
  <c r="B13" i="8"/>
  <c r="F12" i="8"/>
  <c r="B27" i="8"/>
  <c r="G12" i="8"/>
  <c r="H12" i="8"/>
  <c r="I12" i="8"/>
  <c r="C12" i="8"/>
  <c r="C27" i="8" s="1"/>
  <c r="C42" i="8" s="1"/>
  <c r="C57" i="8" s="1"/>
  <c r="C72" i="8" s="1"/>
  <c r="C87" i="8" s="1"/>
  <c r="F68" i="8"/>
  <c r="I68" i="8"/>
  <c r="I83" i="8" s="1"/>
  <c r="B83" i="8"/>
  <c r="H68" i="8"/>
  <c r="H83" i="8" s="1"/>
  <c r="G68" i="8"/>
  <c r="G83" i="8" s="1"/>
  <c r="B55" i="8"/>
  <c r="H40" i="8"/>
  <c r="I40" i="8"/>
  <c r="G40" i="8"/>
  <c r="F40" i="8"/>
  <c r="H26" i="8"/>
  <c r="I26" i="8"/>
  <c r="G26" i="8"/>
  <c r="F26" i="8"/>
  <c r="B41" i="8"/>
  <c r="J53" i="8"/>
  <c r="K53" i="8"/>
  <c r="F83" i="8"/>
  <c r="J25" i="8"/>
  <c r="C43" i="5"/>
  <c r="D42" i="5"/>
  <c r="B42" i="5"/>
  <c r="F69" i="8"/>
  <c r="F84" i="8" s="1"/>
  <c r="H69" i="8"/>
  <c r="H84" i="8" s="1"/>
  <c r="G69" i="8"/>
  <c r="G84" i="8" s="1"/>
  <c r="B84" i="8"/>
  <c r="I69" i="8"/>
  <c r="I84" i="8" s="1"/>
  <c r="J54" i="8"/>
  <c r="K54" i="8"/>
  <c r="J26" i="8" l="1"/>
  <c r="K26" i="8"/>
  <c r="J40" i="8"/>
  <c r="K40" i="8"/>
  <c r="B70" i="8"/>
  <c r="F55" i="8"/>
  <c r="K55" i="8" s="1"/>
  <c r="I55" i="8"/>
  <c r="G55" i="8"/>
  <c r="H55" i="8"/>
  <c r="C13" i="8"/>
  <c r="C28" i="8" s="1"/>
  <c r="C43" i="8" s="1"/>
  <c r="C58" i="8" s="1"/>
  <c r="C73" i="8" s="1"/>
  <c r="C88" i="8" s="1"/>
  <c r="F13" i="8"/>
  <c r="B28" i="8"/>
  <c r="G13" i="8"/>
  <c r="H13" i="8"/>
  <c r="I13" i="8"/>
  <c r="B14" i="8"/>
  <c r="I41" i="8"/>
  <c r="F41" i="8"/>
  <c r="G41" i="8"/>
  <c r="B56" i="8"/>
  <c r="H41" i="8"/>
  <c r="J83" i="8"/>
  <c r="K83" i="8"/>
  <c r="K68" i="8"/>
  <c r="J68" i="8"/>
  <c r="B15" i="11"/>
  <c r="D14" i="11" a="1"/>
  <c r="D14" i="11" s="1"/>
  <c r="L14" i="11" a="1"/>
  <c r="L14" i="11" s="1"/>
  <c r="C14" i="11"/>
  <c r="H14" i="11" a="1"/>
  <c r="H14" i="11" s="1"/>
  <c r="G14" i="11" a="1"/>
  <c r="G14" i="11" s="1"/>
  <c r="P14" i="11" a="1"/>
  <c r="P14" i="11" s="1"/>
  <c r="F14" i="11" a="1"/>
  <c r="F14" i="11" s="1"/>
  <c r="O14" i="11" a="1"/>
  <c r="O14" i="11" s="1"/>
  <c r="I14" i="11" a="1"/>
  <c r="I14" i="11" s="1"/>
  <c r="K14" i="11" a="1"/>
  <c r="K14" i="11" s="1"/>
  <c r="N14" i="11" a="1"/>
  <c r="N14" i="11" s="1"/>
  <c r="M14" i="11" a="1"/>
  <c r="M14" i="11" s="1"/>
  <c r="K12" i="8"/>
  <c r="J12" i="8"/>
  <c r="B150" i="8"/>
  <c r="B134" i="8"/>
  <c r="F27" i="8"/>
  <c r="K27" i="8" s="1"/>
  <c r="B42" i="8"/>
  <c r="G27" i="8"/>
  <c r="I27" i="8"/>
  <c r="H27" i="8"/>
  <c r="J27" i="8" s="1"/>
  <c r="E13" i="11"/>
  <c r="K84" i="8"/>
  <c r="J84" i="8"/>
  <c r="K69" i="8"/>
  <c r="J69" i="8"/>
  <c r="D43" i="5"/>
  <c r="C44" i="5"/>
  <c r="B43" i="5"/>
  <c r="E14" i="11" l="1"/>
  <c r="J41" i="8"/>
  <c r="K41" i="8"/>
  <c r="J13" i="8"/>
  <c r="B151" i="8"/>
  <c r="B135" i="8"/>
  <c r="K13" i="8"/>
  <c r="B16" i="11"/>
  <c r="I15" i="11" a="1"/>
  <c r="I15" i="11" s="1"/>
  <c r="O15" i="11" a="1"/>
  <c r="O15" i="11" s="1"/>
  <c r="C15" i="11"/>
  <c r="D15" i="11" a="1"/>
  <c r="D15" i="11" s="1"/>
  <c r="G15" i="11" a="1"/>
  <c r="G15" i="11" s="1"/>
  <c r="N15" i="11" a="1"/>
  <c r="N15" i="11" s="1"/>
  <c r="M15" i="11" a="1"/>
  <c r="M15" i="11" s="1"/>
  <c r="H15" i="11" a="1"/>
  <c r="H15" i="11" s="1"/>
  <c r="L15" i="11" a="1"/>
  <c r="L15" i="11" s="1"/>
  <c r="F15" i="11" a="1"/>
  <c r="F15" i="11" s="1"/>
  <c r="P15" i="11" a="1"/>
  <c r="P15" i="11" s="1"/>
  <c r="K15" i="11" a="1"/>
  <c r="K15" i="11" s="1"/>
  <c r="F85" i="8"/>
  <c r="K85" i="8" s="1"/>
  <c r="B57" i="8"/>
  <c r="F42" i="8"/>
  <c r="K42" i="8" s="1"/>
  <c r="I42" i="8"/>
  <c r="G42" i="8"/>
  <c r="H42" i="8"/>
  <c r="H56" i="8"/>
  <c r="B71" i="8"/>
  <c r="I56" i="8"/>
  <c r="F56" i="8"/>
  <c r="G56" i="8"/>
  <c r="F14" i="8"/>
  <c r="B15" i="8"/>
  <c r="G14" i="8"/>
  <c r="C14" i="8"/>
  <c r="C29" i="8" s="1"/>
  <c r="C44" i="8" s="1"/>
  <c r="C59" i="8" s="1"/>
  <c r="C74" i="8" s="1"/>
  <c r="C89" i="8" s="1"/>
  <c r="I14" i="8"/>
  <c r="B29" i="8"/>
  <c r="H14" i="8"/>
  <c r="G28" i="8"/>
  <c r="I28" i="8"/>
  <c r="B43" i="8"/>
  <c r="F28" i="8"/>
  <c r="H28" i="8"/>
  <c r="J55" i="8"/>
  <c r="F70" i="8"/>
  <c r="K70" i="8" s="1"/>
  <c r="I70" i="8"/>
  <c r="I85" i="8" s="1"/>
  <c r="G70" i="8"/>
  <c r="G85" i="8" s="1"/>
  <c r="B85" i="8"/>
  <c r="H70" i="8"/>
  <c r="J70" i="8" s="1"/>
  <c r="C45" i="5"/>
  <c r="D44" i="5"/>
  <c r="B44" i="5"/>
  <c r="K56" i="8" l="1"/>
  <c r="J56" i="8"/>
  <c r="B152" i="8"/>
  <c r="B136" i="8"/>
  <c r="J28" i="8"/>
  <c r="K28" i="8"/>
  <c r="H43" i="8"/>
  <c r="G43" i="8"/>
  <c r="F43" i="8"/>
  <c r="I43" i="8"/>
  <c r="B58" i="8"/>
  <c r="F29" i="8"/>
  <c r="B44" i="8"/>
  <c r="I29" i="8"/>
  <c r="G29" i="8"/>
  <c r="H29" i="8"/>
  <c r="B16" i="8"/>
  <c r="I15" i="8"/>
  <c r="G15" i="8"/>
  <c r="B30" i="8"/>
  <c r="H15" i="8"/>
  <c r="F15" i="8"/>
  <c r="C15" i="8"/>
  <c r="C30" i="8" s="1"/>
  <c r="C45" i="8" s="1"/>
  <c r="C60" i="8" s="1"/>
  <c r="C75" i="8" s="1"/>
  <c r="C90" i="8" s="1"/>
  <c r="E15" i="11"/>
  <c r="B17" i="11"/>
  <c r="N16" i="11" a="1"/>
  <c r="N16" i="11" s="1"/>
  <c r="L16" i="11" a="1"/>
  <c r="L16" i="11" s="1"/>
  <c r="I16" i="11" a="1"/>
  <c r="I16" i="11" s="1"/>
  <c r="G16" i="11" a="1"/>
  <c r="G16" i="11" s="1"/>
  <c r="D16" i="11" a="1"/>
  <c r="D16" i="11" s="1"/>
  <c r="C16" i="11"/>
  <c r="P16" i="11" a="1"/>
  <c r="P16" i="11" s="1"/>
  <c r="O16" i="11" a="1"/>
  <c r="O16" i="11" s="1"/>
  <c r="M16" i="11" a="1"/>
  <c r="M16" i="11" s="1"/>
  <c r="K16" i="11" a="1"/>
  <c r="K16" i="11" s="1"/>
  <c r="H16" i="11" a="1"/>
  <c r="H16" i="11" s="1"/>
  <c r="F16" i="11" a="1"/>
  <c r="F16" i="11" s="1"/>
  <c r="J14" i="8"/>
  <c r="K14" i="8"/>
  <c r="F71" i="8"/>
  <c r="F86" i="8" s="1"/>
  <c r="B86" i="8"/>
  <c r="G71" i="8"/>
  <c r="G86" i="8" s="1"/>
  <c r="H71" i="8"/>
  <c r="H86" i="8" s="1"/>
  <c r="I71" i="8"/>
  <c r="I86" i="8" s="1"/>
  <c r="J42" i="8"/>
  <c r="B72" i="8"/>
  <c r="F57" i="8"/>
  <c r="I57" i="8"/>
  <c r="G57" i="8"/>
  <c r="H57" i="8"/>
  <c r="H85" i="8"/>
  <c r="J85" i="8" s="1"/>
  <c r="C46" i="5"/>
  <c r="D45" i="5"/>
  <c r="B45" i="5"/>
  <c r="K86" i="8" l="1"/>
  <c r="J86" i="8"/>
  <c r="J57" i="8"/>
  <c r="F72" i="8"/>
  <c r="K72" i="8" s="1"/>
  <c r="H72" i="8"/>
  <c r="J72" i="8" s="1"/>
  <c r="I72" i="8"/>
  <c r="I87" i="8" s="1"/>
  <c r="B87" i="8"/>
  <c r="G72" i="8"/>
  <c r="G87" i="8" s="1"/>
  <c r="B153" i="8"/>
  <c r="B137" i="8"/>
  <c r="E16" i="11"/>
  <c r="J15" i="8"/>
  <c r="K15" i="8"/>
  <c r="K57" i="8"/>
  <c r="F30" i="8"/>
  <c r="G30" i="8"/>
  <c r="B45" i="8"/>
  <c r="I30" i="8"/>
  <c r="H30" i="8"/>
  <c r="K29" i="8"/>
  <c r="J29" i="8"/>
  <c r="B73" i="8"/>
  <c r="G58" i="8"/>
  <c r="F58" i="8"/>
  <c r="I58" i="8"/>
  <c r="H58" i="8"/>
  <c r="J71" i="8"/>
  <c r="K71" i="8"/>
  <c r="B18" i="11"/>
  <c r="I17" i="11" a="1"/>
  <c r="I17" i="11" s="1"/>
  <c r="O17" i="11" a="1"/>
  <c r="O17" i="11" s="1"/>
  <c r="C17" i="11"/>
  <c r="H17" i="11" a="1"/>
  <c r="H17" i="11" s="1"/>
  <c r="M17" i="11" a="1"/>
  <c r="M17" i="11" s="1"/>
  <c r="G17" i="11" a="1"/>
  <c r="G17" i="11" s="1"/>
  <c r="P17" i="11" a="1"/>
  <c r="P17" i="11" s="1"/>
  <c r="K17" i="11" a="1"/>
  <c r="K17" i="11" s="1"/>
  <c r="D17" i="11" a="1"/>
  <c r="D17" i="11" s="1"/>
  <c r="E17" i="11" s="1"/>
  <c r="L17" i="11" a="1"/>
  <c r="L17" i="11" s="1"/>
  <c r="F17" i="11" a="1"/>
  <c r="F17" i="11" s="1"/>
  <c r="N17" i="11" a="1"/>
  <c r="N17" i="11" s="1"/>
  <c r="B31" i="8"/>
  <c r="B17" i="8"/>
  <c r="G16" i="8"/>
  <c r="C16" i="8"/>
  <c r="I16" i="8"/>
  <c r="H16" i="8"/>
  <c r="F16" i="8"/>
  <c r="B59" i="8"/>
  <c r="I44" i="8"/>
  <c r="G44" i="8"/>
  <c r="F44" i="8"/>
  <c r="H44" i="8"/>
  <c r="K43" i="8"/>
  <c r="J43" i="8"/>
  <c r="C47" i="5"/>
  <c r="D46" i="5"/>
  <c r="B46" i="5"/>
  <c r="C17" i="8" l="1"/>
  <c r="C32" i="8" s="1"/>
  <c r="C47" i="8" s="1"/>
  <c r="C62" i="8" s="1"/>
  <c r="C77" i="8" s="1"/>
  <c r="C92" i="8" s="1"/>
  <c r="I17" i="8"/>
  <c r="B18" i="8"/>
  <c r="G17" i="8"/>
  <c r="B32" i="8"/>
  <c r="H17" i="8"/>
  <c r="F17" i="8"/>
  <c r="H87" i="8"/>
  <c r="J87" i="8" s="1"/>
  <c r="G59" i="8"/>
  <c r="B74" i="8"/>
  <c r="I59" i="8"/>
  <c r="F59" i="8"/>
  <c r="H59" i="8"/>
  <c r="C31" i="8"/>
  <c r="C46" i="8" s="1"/>
  <c r="C61" i="8" s="1"/>
  <c r="C76" i="8" s="1"/>
  <c r="C91" i="8" s="1"/>
  <c r="B19" i="11"/>
  <c r="G18" i="11" a="1"/>
  <c r="G18" i="11" s="1"/>
  <c r="C18" i="11"/>
  <c r="F18" i="11" a="1"/>
  <c r="F18" i="11" s="1"/>
  <c r="O18" i="11" a="1"/>
  <c r="O18" i="11" s="1"/>
  <c r="H18" i="11" a="1"/>
  <c r="H18" i="11" s="1"/>
  <c r="N18" i="11" a="1"/>
  <c r="N18" i="11" s="1"/>
  <c r="K18" i="11" a="1"/>
  <c r="K18" i="11" s="1"/>
  <c r="P18" i="11" a="1"/>
  <c r="P18" i="11" s="1"/>
  <c r="I18" i="11" a="1"/>
  <c r="I18" i="11" s="1"/>
  <c r="M18" i="11" a="1"/>
  <c r="M18" i="11" s="1"/>
  <c r="D18" i="11" a="1"/>
  <c r="D18" i="11" s="1"/>
  <c r="E18" i="11" s="1"/>
  <c r="L18" i="11" a="1"/>
  <c r="L18" i="11" s="1"/>
  <c r="H73" i="8"/>
  <c r="H88" i="8" s="1"/>
  <c r="F73" i="8"/>
  <c r="B88" i="8"/>
  <c r="I73" i="8"/>
  <c r="I88" i="8" s="1"/>
  <c r="G73" i="8"/>
  <c r="G88" i="8" s="1"/>
  <c r="F87" i="8"/>
  <c r="K87" i="8" s="1"/>
  <c r="K58" i="8"/>
  <c r="J58" i="8"/>
  <c r="F31" i="8"/>
  <c r="I31" i="8"/>
  <c r="G31" i="8"/>
  <c r="B46" i="8"/>
  <c r="H31" i="8"/>
  <c r="K30" i="8"/>
  <c r="J30" i="8"/>
  <c r="K44" i="8"/>
  <c r="J44" i="8"/>
  <c r="K16" i="8"/>
  <c r="J16" i="8"/>
  <c r="G45" i="8"/>
  <c r="B60" i="8"/>
  <c r="H45" i="8"/>
  <c r="F45" i="8"/>
  <c r="I45" i="8"/>
  <c r="D47" i="5"/>
  <c r="C48" i="5"/>
  <c r="B47" i="5"/>
  <c r="K59" i="8" l="1"/>
  <c r="J59" i="8"/>
  <c r="F89" i="8"/>
  <c r="J73" i="8"/>
  <c r="K73" i="8"/>
  <c r="F18" i="8"/>
  <c r="H18" i="8"/>
  <c r="B33" i="8"/>
  <c r="C18" i="8"/>
  <c r="I18" i="8"/>
  <c r="B19" i="8"/>
  <c r="G18" i="8"/>
  <c r="H46" i="8"/>
  <c r="G46" i="8"/>
  <c r="B61" i="8"/>
  <c r="F46" i="8"/>
  <c r="I46" i="8"/>
  <c r="F88" i="8"/>
  <c r="B138" i="8"/>
  <c r="B154" i="8"/>
  <c r="G74" i="8"/>
  <c r="G89" i="8" s="1"/>
  <c r="F74" i="8"/>
  <c r="B89" i="8"/>
  <c r="H74" i="8"/>
  <c r="H89" i="8" s="1"/>
  <c r="I74" i="8"/>
  <c r="I89" i="8" s="1"/>
  <c r="B20" i="11"/>
  <c r="I19" i="11" a="1"/>
  <c r="I19" i="11" s="1"/>
  <c r="O19" i="11" a="1"/>
  <c r="O19" i="11" s="1"/>
  <c r="C19" i="11"/>
  <c r="D19" i="11" a="1"/>
  <c r="D19" i="11" s="1"/>
  <c r="K19" i="11" a="1"/>
  <c r="K19" i="11" s="1"/>
  <c r="P19" i="11" a="1"/>
  <c r="P19" i="11" s="1"/>
  <c r="G19" i="11" a="1"/>
  <c r="G19" i="11" s="1"/>
  <c r="M19" i="11" a="1"/>
  <c r="M19" i="11" s="1"/>
  <c r="H19" i="11" a="1"/>
  <c r="H19" i="11" s="1"/>
  <c r="L19" i="11" a="1"/>
  <c r="L19" i="11" s="1"/>
  <c r="F19" i="11" a="1"/>
  <c r="F19" i="11" s="1"/>
  <c r="N19" i="11" a="1"/>
  <c r="N19" i="11" s="1"/>
  <c r="I60" i="8"/>
  <c r="F60" i="8"/>
  <c r="H60" i="8"/>
  <c r="G60" i="8"/>
  <c r="B75" i="8"/>
  <c r="K31" i="8"/>
  <c r="J31" i="8"/>
  <c r="K17" i="8"/>
  <c r="J17" i="8"/>
  <c r="J45" i="8"/>
  <c r="K45" i="8"/>
  <c r="B47" i="8"/>
  <c r="I32" i="8"/>
  <c r="F32" i="8"/>
  <c r="H32" i="8"/>
  <c r="G32" i="8"/>
  <c r="B139" i="8"/>
  <c r="B155" i="8"/>
  <c r="C49" i="5"/>
  <c r="D48" i="5"/>
  <c r="B48" i="5"/>
  <c r="J60" i="8" l="1"/>
  <c r="K60" i="8"/>
  <c r="J46" i="8"/>
  <c r="K46" i="8"/>
  <c r="F61" i="8"/>
  <c r="I61" i="8"/>
  <c r="G61" i="8"/>
  <c r="B76" i="8"/>
  <c r="H61" i="8"/>
  <c r="I19" i="8"/>
  <c r="C19" i="8"/>
  <c r="C34" i="8" s="1"/>
  <c r="C49" i="8" s="1"/>
  <c r="C64" i="8" s="1"/>
  <c r="C79" i="8" s="1"/>
  <c r="C94" i="8" s="1"/>
  <c r="H19" i="8"/>
  <c r="B34" i="8"/>
  <c r="F19" i="8"/>
  <c r="G19" i="8"/>
  <c r="J89" i="8"/>
  <c r="K89" i="8"/>
  <c r="E19" i="11"/>
  <c r="B21" i="11"/>
  <c r="G20" i="11" a="1"/>
  <c r="G20" i="11" s="1"/>
  <c r="C20" i="11"/>
  <c r="D20" i="11" a="1"/>
  <c r="D20" i="11" s="1"/>
  <c r="M20" i="11" a="1"/>
  <c r="M20" i="11" s="1"/>
  <c r="P20" i="11" a="1"/>
  <c r="P20" i="11" s="1"/>
  <c r="F20" i="11" a="1"/>
  <c r="F20" i="11" s="1"/>
  <c r="H20" i="11" a="1"/>
  <c r="H20" i="11" s="1"/>
  <c r="N20" i="11" a="1"/>
  <c r="N20" i="11" s="1"/>
  <c r="K20" i="11" a="1"/>
  <c r="K20" i="11" s="1"/>
  <c r="I20" i="11" a="1"/>
  <c r="I20" i="11" s="1"/>
  <c r="O20" i="11" a="1"/>
  <c r="O20" i="11" s="1"/>
  <c r="L20" i="11" a="1"/>
  <c r="L20" i="11" s="1"/>
  <c r="K74" i="8"/>
  <c r="J74" i="8"/>
  <c r="J88" i="8"/>
  <c r="K88" i="8"/>
  <c r="J18" i="8"/>
  <c r="K18" i="8"/>
  <c r="F33" i="8"/>
  <c r="B48" i="8"/>
  <c r="I33" i="8"/>
  <c r="H33" i="8"/>
  <c r="G33" i="8"/>
  <c r="J32" i="8"/>
  <c r="K32" i="8"/>
  <c r="F75" i="8"/>
  <c r="H75" i="8"/>
  <c r="H90" i="8" s="1"/>
  <c r="B90" i="8"/>
  <c r="G75" i="8"/>
  <c r="G90" i="8" s="1"/>
  <c r="I75" i="8"/>
  <c r="I90" i="8" s="1"/>
  <c r="F47" i="8"/>
  <c r="H47" i="8"/>
  <c r="I47" i="8"/>
  <c r="B62" i="8"/>
  <c r="G47" i="8"/>
  <c r="C33" i="8"/>
  <c r="C48" i="8" s="1"/>
  <c r="C63" i="8" s="1"/>
  <c r="C78" i="8" s="1"/>
  <c r="C93" i="8" s="1"/>
  <c r="C16" i="12"/>
  <c r="C50" i="5"/>
  <c r="D49" i="5"/>
  <c r="B49" i="5"/>
  <c r="J75" i="8" l="1"/>
  <c r="K75" i="8"/>
  <c r="B140" i="8"/>
  <c r="B156" i="8"/>
  <c r="B91" i="8"/>
  <c r="F76" i="8"/>
  <c r="I76" i="8"/>
  <c r="I91" i="8" s="1"/>
  <c r="H76" i="8"/>
  <c r="H91" i="8" s="1"/>
  <c r="G76" i="8"/>
  <c r="G91" i="8" s="1"/>
  <c r="J47" i="8"/>
  <c r="K47" i="8"/>
  <c r="I48" i="8"/>
  <c r="F48" i="8"/>
  <c r="H48" i="8"/>
  <c r="B63" i="8"/>
  <c r="G48" i="8"/>
  <c r="B22" i="11"/>
  <c r="I21" i="11" a="1"/>
  <c r="I21" i="11" s="1"/>
  <c r="O21" i="11" a="1"/>
  <c r="O21" i="11" s="1"/>
  <c r="C21" i="11"/>
  <c r="G21" i="11" a="1"/>
  <c r="G21" i="11" s="1"/>
  <c r="N21" i="11" a="1"/>
  <c r="N21" i="11" s="1"/>
  <c r="K21" i="11" a="1"/>
  <c r="K21" i="11" s="1"/>
  <c r="D21" i="11" a="1"/>
  <c r="D21" i="11" s="1"/>
  <c r="M21" i="11" a="1"/>
  <c r="M21" i="11" s="1"/>
  <c r="H21" i="11" a="1"/>
  <c r="H21" i="11" s="1"/>
  <c r="L21" i="11" a="1"/>
  <c r="L21" i="11" s="1"/>
  <c r="F21" i="11" a="1"/>
  <c r="F21" i="11" s="1"/>
  <c r="P21" i="11" a="1"/>
  <c r="P21" i="11" s="1"/>
  <c r="B157" i="8"/>
  <c r="B141" i="8"/>
  <c r="I62" i="8"/>
  <c r="F62" i="8"/>
  <c r="G62" i="8"/>
  <c r="B77" i="8"/>
  <c r="H62" i="8"/>
  <c r="J33" i="8"/>
  <c r="K33" i="8"/>
  <c r="E20" i="11"/>
  <c r="L19" i="8"/>
  <c r="J19" i="8"/>
  <c r="K19" i="8"/>
  <c r="E38" i="8"/>
  <c r="E68" i="8"/>
  <c r="E23" i="8"/>
  <c r="E8" i="8"/>
  <c r="E53" i="8"/>
  <c r="F90" i="8"/>
  <c r="I34" i="8"/>
  <c r="G34" i="8"/>
  <c r="B49" i="8"/>
  <c r="H34" i="8"/>
  <c r="F34" i="8"/>
  <c r="K61" i="8"/>
  <c r="J61" i="8"/>
  <c r="F91" i="8"/>
  <c r="C51" i="5"/>
  <c r="D50" i="5"/>
  <c r="B50" i="5"/>
  <c r="K34" i="8" l="1"/>
  <c r="J34" i="8"/>
  <c r="L34" i="8"/>
  <c r="L23" i="8"/>
  <c r="E24" i="8"/>
  <c r="K91" i="8"/>
  <c r="J91" i="8"/>
  <c r="K90" i="8"/>
  <c r="J90" i="8"/>
  <c r="E69" i="8"/>
  <c r="L68" i="8"/>
  <c r="J62" i="8"/>
  <c r="K62" i="8"/>
  <c r="B23" i="11"/>
  <c r="G22" i="11" a="1"/>
  <c r="G22" i="11" s="1"/>
  <c r="C22" i="11"/>
  <c r="I22" i="11" a="1"/>
  <c r="I22" i="11" s="1"/>
  <c r="K22" i="11" a="1"/>
  <c r="K22" i="11" s="1"/>
  <c r="N22" i="11" a="1"/>
  <c r="N22" i="11" s="1"/>
  <c r="F22" i="11" a="1"/>
  <c r="F22" i="11" s="1"/>
  <c r="H22" i="11" a="1"/>
  <c r="H22" i="11" s="1"/>
  <c r="P22" i="11" a="1"/>
  <c r="P22" i="11" s="1"/>
  <c r="M22" i="11" a="1"/>
  <c r="M22" i="11" s="1"/>
  <c r="D22" i="11" a="1"/>
  <c r="D22" i="11" s="1"/>
  <c r="O22" i="11" a="1"/>
  <c r="O22" i="11" s="1"/>
  <c r="L22" i="11" a="1"/>
  <c r="L22" i="11" s="1"/>
  <c r="J48" i="8"/>
  <c r="K48" i="8"/>
  <c r="K76" i="8"/>
  <c r="J76" i="8"/>
  <c r="E9" i="8"/>
  <c r="E83" i="8"/>
  <c r="L83" i="8" s="1"/>
  <c r="L8" i="8"/>
  <c r="B92" i="8"/>
  <c r="F77" i="8"/>
  <c r="G77" i="8"/>
  <c r="G92" i="8" s="1"/>
  <c r="I77" i="8"/>
  <c r="I92" i="8" s="1"/>
  <c r="H77" i="8"/>
  <c r="H92" i="8" s="1"/>
  <c r="G63" i="8"/>
  <c r="F63" i="8"/>
  <c r="B78" i="8"/>
  <c r="H63" i="8"/>
  <c r="I63" i="8"/>
  <c r="F49" i="8"/>
  <c r="I49" i="8"/>
  <c r="B64" i="8"/>
  <c r="H49" i="8"/>
  <c r="G49" i="8"/>
  <c r="L53" i="8"/>
  <c r="E54" i="8"/>
  <c r="E39" i="8"/>
  <c r="L38" i="8"/>
  <c r="E21" i="11"/>
  <c r="D51" i="5"/>
  <c r="C52" i="5"/>
  <c r="B51" i="5"/>
  <c r="E40" i="8" l="1"/>
  <c r="L39" i="8"/>
  <c r="J63" i="8"/>
  <c r="K63" i="8"/>
  <c r="E22" i="11"/>
  <c r="K77" i="8"/>
  <c r="J77" i="8"/>
  <c r="F92" i="8"/>
  <c r="E10" i="8"/>
  <c r="L9" i="8"/>
  <c r="E84" i="8"/>
  <c r="L84" i="8" s="1"/>
  <c r="B24" i="11"/>
  <c r="I23" i="11" a="1"/>
  <c r="I23" i="11" s="1"/>
  <c r="O23" i="11" a="1"/>
  <c r="O23" i="11" s="1"/>
  <c r="C23" i="11"/>
  <c r="F23" i="11" a="1"/>
  <c r="F23" i="11" s="1"/>
  <c r="L23" i="11" a="1"/>
  <c r="L23" i="11" s="1"/>
  <c r="K23" i="11" a="1"/>
  <c r="K23" i="11" s="1"/>
  <c r="D23" i="11" a="1"/>
  <c r="D23" i="11" s="1"/>
  <c r="M23" i="11" a="1"/>
  <c r="M23" i="11" s="1"/>
  <c r="H23" i="11" a="1"/>
  <c r="H23" i="11" s="1"/>
  <c r="N23" i="11" a="1"/>
  <c r="N23" i="11" s="1"/>
  <c r="G23" i="11" a="1"/>
  <c r="G23" i="11" s="1"/>
  <c r="P23" i="11" a="1"/>
  <c r="P23" i="11" s="1"/>
  <c r="L69" i="8"/>
  <c r="E70" i="8"/>
  <c r="E55" i="8"/>
  <c r="L54" i="8"/>
  <c r="I64" i="8"/>
  <c r="H64" i="8"/>
  <c r="B79" i="8"/>
  <c r="G64" i="8"/>
  <c r="F64" i="8"/>
  <c r="J49" i="8"/>
  <c r="L49" i="8"/>
  <c r="K49" i="8"/>
  <c r="H78" i="8"/>
  <c r="H93" i="8" s="1"/>
  <c r="B93" i="8"/>
  <c r="G78" i="8"/>
  <c r="G93" i="8" s="1"/>
  <c r="F78" i="8"/>
  <c r="I78" i="8"/>
  <c r="I93" i="8" s="1"/>
  <c r="L24" i="8"/>
  <c r="E25" i="8"/>
  <c r="C53" i="5"/>
  <c r="D52" i="5"/>
  <c r="B52" i="5"/>
  <c r="E71" i="8" l="1"/>
  <c r="L70" i="8"/>
  <c r="L64" i="8"/>
  <c r="K64" i="8"/>
  <c r="J64" i="8"/>
  <c r="E11" i="8"/>
  <c r="E85" i="8"/>
  <c r="L85" i="8" s="1"/>
  <c r="L10" i="8"/>
  <c r="J78" i="8"/>
  <c r="K78" i="8"/>
  <c r="B25" i="11"/>
  <c r="G24" i="11" a="1"/>
  <c r="G24" i="11" s="1"/>
  <c r="C24" i="11"/>
  <c r="H24" i="11" a="1"/>
  <c r="H24" i="11" s="1"/>
  <c r="L24" i="11" a="1"/>
  <c r="L24" i="11" s="1"/>
  <c r="F24" i="11" a="1"/>
  <c r="F24" i="11" s="1"/>
  <c r="K24" i="11" a="1"/>
  <c r="K24" i="11" s="1"/>
  <c r="P24" i="11" a="1"/>
  <c r="P24" i="11" s="1"/>
  <c r="I24" i="11" a="1"/>
  <c r="I24" i="11" s="1"/>
  <c r="M24" i="11" a="1"/>
  <c r="M24" i="11" s="1"/>
  <c r="D24" i="11" a="1"/>
  <c r="D24" i="11" s="1"/>
  <c r="O24" i="11" a="1"/>
  <c r="O24" i="11" s="1"/>
  <c r="N24" i="11" a="1"/>
  <c r="N24" i="11" s="1"/>
  <c r="K92" i="8"/>
  <c r="J92" i="8"/>
  <c r="F93" i="8"/>
  <c r="E41" i="8"/>
  <c r="L40" i="8"/>
  <c r="E26" i="8"/>
  <c r="L25" i="8"/>
  <c r="G79" i="8"/>
  <c r="G94" i="8" s="1"/>
  <c r="H79" i="8"/>
  <c r="H94" i="8" s="1"/>
  <c r="I79" i="8"/>
  <c r="I94" i="8" s="1"/>
  <c r="F79" i="8"/>
  <c r="B94" i="8"/>
  <c r="E56" i="8"/>
  <c r="L55" i="8"/>
  <c r="E23" i="11"/>
  <c r="C54" i="5"/>
  <c r="D53" i="5"/>
  <c r="B53" i="5"/>
  <c r="E57" i="8" l="1"/>
  <c r="L56" i="8"/>
  <c r="K79" i="8"/>
  <c r="L79" i="8"/>
  <c r="J79" i="8"/>
  <c r="J93" i="8"/>
  <c r="K93" i="8"/>
  <c r="F94" i="8"/>
  <c r="E42" i="8"/>
  <c r="L41" i="8"/>
  <c r="B26" i="11"/>
  <c r="I25" i="11" a="1"/>
  <c r="I25" i="11" s="1"/>
  <c r="O25" i="11" a="1"/>
  <c r="O25" i="11" s="1"/>
  <c r="C25" i="11"/>
  <c r="H25" i="11" a="1"/>
  <c r="H25" i="11" s="1"/>
  <c r="M25" i="11" a="1"/>
  <c r="M25" i="11" s="1"/>
  <c r="K25" i="11" a="1"/>
  <c r="K25" i="11" s="1"/>
  <c r="D25" i="11" a="1"/>
  <c r="D25" i="11" s="1"/>
  <c r="L25" i="11" a="1"/>
  <c r="L25" i="11" s="1"/>
  <c r="F25" i="11" a="1"/>
  <c r="F25" i="11" s="1"/>
  <c r="N25" i="11" a="1"/>
  <c r="N25" i="11" s="1"/>
  <c r="G25" i="11" a="1"/>
  <c r="G25" i="11" s="1"/>
  <c r="P25" i="11" a="1"/>
  <c r="P25" i="11" s="1"/>
  <c r="E86" i="8"/>
  <c r="L86" i="8" s="1"/>
  <c r="E12" i="8"/>
  <c r="L11" i="8"/>
  <c r="L26" i="8"/>
  <c r="E27" i="8"/>
  <c r="E24" i="11"/>
  <c r="E72" i="8"/>
  <c r="L71" i="8"/>
  <c r="C55" i="5"/>
  <c r="D54" i="5"/>
  <c r="B54" i="5"/>
  <c r="E28" i="8" l="1"/>
  <c r="L27" i="8"/>
  <c r="L94" i="8"/>
  <c r="K94" i="8"/>
  <c r="J94" i="8"/>
  <c r="B27" i="11"/>
  <c r="G26" i="11" a="1"/>
  <c r="G26" i="11" s="1"/>
  <c r="C26" i="11"/>
  <c r="F26" i="11" a="1"/>
  <c r="F26" i="11" s="1"/>
  <c r="O26" i="11" a="1"/>
  <c r="O26" i="11" s="1"/>
  <c r="K26" i="11" a="1"/>
  <c r="K26" i="11" s="1"/>
  <c r="P26" i="11" a="1"/>
  <c r="P26" i="11" s="1"/>
  <c r="I26" i="11" a="1"/>
  <c r="I26" i="11" s="1"/>
  <c r="M26" i="11" a="1"/>
  <c r="M26" i="11" s="1"/>
  <c r="D26" i="11" a="1"/>
  <c r="D26" i="11" s="1"/>
  <c r="E26" i="11" s="1"/>
  <c r="L26" i="11" a="1"/>
  <c r="L26" i="11" s="1"/>
  <c r="H26" i="11" a="1"/>
  <c r="H26" i="11" s="1"/>
  <c r="N26" i="11" a="1"/>
  <c r="N26" i="11" s="1"/>
  <c r="E25" i="11"/>
  <c r="E73" i="8"/>
  <c r="L72" i="8"/>
  <c r="E87" i="8"/>
  <c r="L87" i="8" s="1"/>
  <c r="E13" i="8"/>
  <c r="L12" i="8"/>
  <c r="L42" i="8"/>
  <c r="E43" i="8"/>
  <c r="E58" i="8"/>
  <c r="L57" i="8"/>
  <c r="D55" i="5"/>
  <c r="C56" i="5"/>
  <c r="B55" i="5"/>
  <c r="E74" i="8" l="1"/>
  <c r="L73" i="8"/>
  <c r="E14" i="8"/>
  <c r="E88" i="8"/>
  <c r="L88" i="8" s="1"/>
  <c r="L13" i="8"/>
  <c r="B28" i="11"/>
  <c r="I27" i="11" a="1"/>
  <c r="I27" i="11" s="1"/>
  <c r="O27" i="11" a="1"/>
  <c r="O27" i="11" s="1"/>
  <c r="C27" i="11"/>
  <c r="D27" i="11" a="1"/>
  <c r="D27" i="11" s="1"/>
  <c r="K27" i="11" a="1"/>
  <c r="K27" i="11" s="1"/>
  <c r="P27" i="11" a="1"/>
  <c r="P27" i="11" s="1"/>
  <c r="M27" i="11" a="1"/>
  <c r="M27" i="11" s="1"/>
  <c r="H27" i="11" a="1"/>
  <c r="H27" i="11" s="1"/>
  <c r="L27" i="11" a="1"/>
  <c r="L27" i="11" s="1"/>
  <c r="F27" i="11" a="1"/>
  <c r="F27" i="11" s="1"/>
  <c r="N27" i="11" a="1"/>
  <c r="N27" i="11" s="1"/>
  <c r="G27" i="11" a="1"/>
  <c r="G27" i="11" s="1"/>
  <c r="E59" i="8"/>
  <c r="L58" i="8"/>
  <c r="L43" i="8"/>
  <c r="E44" i="8"/>
  <c r="L28" i="8"/>
  <c r="E29" i="8"/>
  <c r="C57" i="5"/>
  <c r="D56" i="5"/>
  <c r="B56" i="5"/>
  <c r="E30" i="8" l="1"/>
  <c r="L29" i="8"/>
  <c r="L14" i="8"/>
  <c r="E15" i="8"/>
  <c r="E89" i="8"/>
  <c r="L89" i="8" s="1"/>
  <c r="L59" i="8"/>
  <c r="E60" i="8"/>
  <c r="E45" i="8"/>
  <c r="L44" i="8"/>
  <c r="E27" i="11"/>
  <c r="B29" i="11"/>
  <c r="D28" i="11" a="1"/>
  <c r="D28" i="11" s="1"/>
  <c r="M28" i="11" a="1"/>
  <c r="M28" i="11" s="1"/>
  <c r="C28" i="11"/>
  <c r="I28" i="11" a="1"/>
  <c r="I28" i="11" s="1"/>
  <c r="H28" i="11" a="1"/>
  <c r="H28" i="11" s="1"/>
  <c r="N28" i="11" a="1"/>
  <c r="N28" i="11" s="1"/>
  <c r="G28" i="11" a="1"/>
  <c r="G28" i="11" s="1"/>
  <c r="O28" i="11" a="1"/>
  <c r="O28" i="11" s="1"/>
  <c r="P28" i="11" a="1"/>
  <c r="P28" i="11" s="1"/>
  <c r="F28" i="11" a="1"/>
  <c r="F28" i="11" s="1"/>
  <c r="K28" i="11" a="1"/>
  <c r="K28" i="11" s="1"/>
  <c r="L28" i="11" a="1"/>
  <c r="L28" i="11" s="1"/>
  <c r="E75" i="8"/>
  <c r="L74" i="8"/>
  <c r="C58" i="5"/>
  <c r="D57" i="5"/>
  <c r="B57" i="5"/>
  <c r="B30" i="11" l="1"/>
  <c r="D29" i="11" a="1"/>
  <c r="D29" i="11" s="1"/>
  <c r="F29" i="11" a="1"/>
  <c r="F29" i="11" s="1"/>
  <c r="K29" i="11" a="1"/>
  <c r="K29" i="11" s="1"/>
  <c r="L29" i="11" a="1"/>
  <c r="L29" i="11" s="1"/>
  <c r="P29" i="11" a="1"/>
  <c r="P29" i="11" s="1"/>
  <c r="C29" i="11"/>
  <c r="G29" i="11" a="1"/>
  <c r="G29" i="11" s="1"/>
  <c r="O29" i="11" a="1"/>
  <c r="O29" i="11" s="1"/>
  <c r="I29" i="11" a="1"/>
  <c r="I29" i="11" s="1"/>
  <c r="H29" i="11" a="1"/>
  <c r="H29" i="11" s="1"/>
  <c r="M29" i="11" a="1"/>
  <c r="M29" i="11" s="1"/>
  <c r="N29" i="11" a="1"/>
  <c r="N29" i="11" s="1"/>
  <c r="E61" i="8"/>
  <c r="L60" i="8"/>
  <c r="E76" i="8"/>
  <c r="L75" i="8"/>
  <c r="E46" i="8"/>
  <c r="L45" i="8"/>
  <c r="E16" i="8"/>
  <c r="E90" i="8"/>
  <c r="L90" i="8" s="1"/>
  <c r="L15" i="8"/>
  <c r="E28" i="11"/>
  <c r="E31" i="8"/>
  <c r="L30" i="8"/>
  <c r="C59" i="5"/>
  <c r="D58" i="5"/>
  <c r="B58" i="5"/>
  <c r="E32" i="8" l="1"/>
  <c r="L31" i="8"/>
  <c r="E91" i="8"/>
  <c r="L91" i="8" s="1"/>
  <c r="E17" i="8"/>
  <c r="L16" i="8"/>
  <c r="L76" i="8"/>
  <c r="E77" i="8"/>
  <c r="L46" i="8"/>
  <c r="E47" i="8"/>
  <c r="E62" i="8"/>
  <c r="L61" i="8"/>
  <c r="E29" i="11"/>
  <c r="B31" i="11"/>
  <c r="I30" i="11" a="1"/>
  <c r="I30" i="11" s="1"/>
  <c r="D30" i="11" a="1"/>
  <c r="D30" i="11" s="1"/>
  <c r="L30" i="11" a="1"/>
  <c r="L30" i="11" s="1"/>
  <c r="P30" i="11" a="1"/>
  <c r="P30" i="11" s="1"/>
  <c r="K30" i="11" a="1"/>
  <c r="K30" i="11" s="1"/>
  <c r="C30" i="11"/>
  <c r="G30" i="11" a="1"/>
  <c r="G30" i="11" s="1"/>
  <c r="O30" i="11" a="1"/>
  <c r="O30" i="11" s="1"/>
  <c r="F30" i="11" a="1"/>
  <c r="F30" i="11" s="1"/>
  <c r="M30" i="11" a="1"/>
  <c r="M30" i="11" s="1"/>
  <c r="N30" i="11" a="1"/>
  <c r="N30" i="11" s="1"/>
  <c r="H30" i="11" a="1"/>
  <c r="H30" i="11" s="1"/>
  <c r="D59" i="5"/>
  <c r="C60" i="5"/>
  <c r="B59" i="5"/>
  <c r="E92" i="8" l="1"/>
  <c r="L92" i="8" s="1"/>
  <c r="L17" i="8"/>
  <c r="E18" i="8"/>
  <c r="L77" i="8"/>
  <c r="E78" i="8"/>
  <c r="L78" i="8" s="1"/>
  <c r="E30" i="11"/>
  <c r="E63" i="8"/>
  <c r="L63" i="8" s="1"/>
  <c r="L62" i="8"/>
  <c r="B32" i="11"/>
  <c r="L31" i="11" a="1"/>
  <c r="L31" i="11" s="1"/>
  <c r="M31" i="11" a="1"/>
  <c r="M31" i="11" s="1"/>
  <c r="H31" i="11" a="1"/>
  <c r="H31" i="11" s="1"/>
  <c r="I31" i="11" a="1"/>
  <c r="I31" i="11" s="1"/>
  <c r="P31" i="11" a="1"/>
  <c r="P31" i="11" s="1"/>
  <c r="G31" i="11" a="1"/>
  <c r="G31" i="11" s="1"/>
  <c r="K31" i="11" a="1"/>
  <c r="K31" i="11" s="1"/>
  <c r="D31" i="11" a="1"/>
  <c r="D31" i="11" s="1"/>
  <c r="C31" i="11"/>
  <c r="O31" i="11" a="1"/>
  <c r="O31" i="11" s="1"/>
  <c r="F31" i="11" a="1"/>
  <c r="F31" i="11" s="1"/>
  <c r="N31" i="11" a="1"/>
  <c r="N31" i="11" s="1"/>
  <c r="E48" i="8"/>
  <c r="L48" i="8" s="1"/>
  <c r="L47" i="8"/>
  <c r="L32" i="8"/>
  <c r="E33" i="8"/>
  <c r="L33" i="8" s="1"/>
  <c r="C61" i="5"/>
  <c r="D60" i="5"/>
  <c r="B60" i="5"/>
  <c r="E93" i="8" l="1"/>
  <c r="L93" i="8" s="1"/>
  <c r="L18" i="8"/>
  <c r="E31" i="11"/>
  <c r="B33" i="11"/>
  <c r="D32" i="11" a="1"/>
  <c r="D32" i="11" s="1"/>
  <c r="L32" i="11" a="1"/>
  <c r="L32" i="11" s="1"/>
  <c r="P32" i="11" a="1"/>
  <c r="P32" i="11" s="1"/>
  <c r="M32" i="11" a="1"/>
  <c r="M32" i="11" s="1"/>
  <c r="I32" i="11" a="1"/>
  <c r="I32" i="11" s="1"/>
  <c r="K32" i="11" a="1"/>
  <c r="K32" i="11" s="1"/>
  <c r="H32" i="11" a="1"/>
  <c r="H32" i="11" s="1"/>
  <c r="N32" i="11" a="1"/>
  <c r="N32" i="11" s="1"/>
  <c r="G32" i="11" a="1"/>
  <c r="G32" i="11" s="1"/>
  <c r="F32" i="11" a="1"/>
  <c r="F32" i="11" s="1"/>
  <c r="C32" i="11"/>
  <c r="O32" i="11" a="1"/>
  <c r="O32" i="11" s="1"/>
  <c r="C62" i="5"/>
  <c r="D61" i="5"/>
  <c r="B61" i="5"/>
  <c r="B34" i="11" l="1"/>
  <c r="D33" i="11" a="1"/>
  <c r="D33" i="11" s="1"/>
  <c r="F33" i="11" a="1"/>
  <c r="F33" i="11" s="1"/>
  <c r="L33" i="11" a="1"/>
  <c r="L33" i="11" s="1"/>
  <c r="P33" i="11" a="1"/>
  <c r="P33" i="11" s="1"/>
  <c r="O33" i="11" a="1"/>
  <c r="O33" i="11" s="1"/>
  <c r="I33" i="11" a="1"/>
  <c r="I33" i="11" s="1"/>
  <c r="N33" i="11" a="1"/>
  <c r="N33" i="11" s="1"/>
  <c r="K33" i="11" a="1"/>
  <c r="K33" i="11" s="1"/>
  <c r="G33" i="11" a="1"/>
  <c r="G33" i="11" s="1"/>
  <c r="H33" i="11" a="1"/>
  <c r="H33" i="11" s="1"/>
  <c r="M33" i="11" a="1"/>
  <c r="M33" i="11" s="1"/>
  <c r="C33" i="11"/>
  <c r="E32" i="11"/>
  <c r="C8" i="12"/>
  <c r="C63" i="5"/>
  <c r="D62" i="5"/>
  <c r="B62" i="5"/>
  <c r="R2" i="2" s="1"/>
  <c r="E33" i="11" l="1"/>
  <c r="B35" i="11"/>
  <c r="I34" i="11" a="1"/>
  <c r="I34" i="11" s="1"/>
  <c r="D34" i="11" a="1"/>
  <c r="D34" i="11" s="1"/>
  <c r="L34" i="11" a="1"/>
  <c r="L34" i="11" s="1"/>
  <c r="K34" i="11" a="1"/>
  <c r="K34" i="11" s="1"/>
  <c r="H34" i="11" a="1"/>
  <c r="H34" i="11" s="1"/>
  <c r="M34" i="11" a="1"/>
  <c r="M34" i="11" s="1"/>
  <c r="G34" i="11" a="1"/>
  <c r="G34" i="11" s="1"/>
  <c r="O34" i="11" a="1"/>
  <c r="O34" i="11" s="1"/>
  <c r="F34" i="11" a="1"/>
  <c r="F34" i="11" s="1"/>
  <c r="N34" i="11" a="1"/>
  <c r="N34" i="11" s="1"/>
  <c r="C34" i="11"/>
  <c r="P34" i="11" a="1"/>
  <c r="P34" i="11" s="1"/>
  <c r="O2" i="6"/>
  <c r="M2" i="9"/>
  <c r="D63" i="5"/>
  <c r="C64" i="5"/>
  <c r="B63" i="5"/>
  <c r="C10" i="12"/>
  <c r="C9" i="12"/>
  <c r="N2" i="2"/>
  <c r="D64" i="11" l="1"/>
  <c r="B7" i="9" s="1"/>
  <c r="E34" i="11"/>
  <c r="B36" i="11"/>
  <c r="H35" i="11" a="1"/>
  <c r="H35" i="11" s="1"/>
  <c r="G73" i="11" s="1"/>
  <c r="F16" i="9" s="1"/>
  <c r="N35" i="11" a="1"/>
  <c r="N35" i="11" s="1"/>
  <c r="C82" i="11" s="1"/>
  <c r="E82" i="11" s="1"/>
  <c r="C35" i="11"/>
  <c r="G35" i="11" a="1"/>
  <c r="G35" i="11" s="1"/>
  <c r="F73" i="11" s="1"/>
  <c r="F15" i="9" s="1"/>
  <c r="P35" i="11" a="1"/>
  <c r="P35" i="11" s="1"/>
  <c r="K35" i="11" a="1"/>
  <c r="K35" i="11" s="1"/>
  <c r="C79" i="11" s="1"/>
  <c r="E79" i="11" s="1"/>
  <c r="F35" i="11" a="1"/>
  <c r="F35" i="11" s="1"/>
  <c r="L35" i="11" a="1"/>
  <c r="L35" i="11" s="1"/>
  <c r="C80" i="11" s="1"/>
  <c r="E80" i="11" s="1"/>
  <c r="O35" i="11" a="1"/>
  <c r="O35" i="11" s="1"/>
  <c r="C83" i="11" s="1"/>
  <c r="E83" i="11" s="1"/>
  <c r="D35" i="11" a="1"/>
  <c r="D35" i="11" s="1"/>
  <c r="I35" i="11" a="1"/>
  <c r="I35" i="11" s="1"/>
  <c r="H73" i="11" s="1"/>
  <c r="F17" i="9" s="1"/>
  <c r="M35" i="11" a="1"/>
  <c r="M35" i="11" s="1"/>
  <c r="C81" i="11" s="1"/>
  <c r="E81" i="11" s="1"/>
  <c r="C65" i="5"/>
  <c r="D64" i="5"/>
  <c r="B64" i="5"/>
  <c r="N2" i="6"/>
  <c r="K2" i="9"/>
  <c r="C11" i="12"/>
  <c r="D7" i="5"/>
  <c r="D9" i="2" s="1"/>
  <c r="G33" i="5" a="1"/>
  <c r="G33" i="5" s="1"/>
  <c r="I25" i="2" s="1"/>
  <c r="E33" i="5" a="1"/>
  <c r="E33" i="5" s="1"/>
  <c r="G25" i="2" s="1"/>
  <c r="E31" i="5" a="1"/>
  <c r="E31" i="5" s="1"/>
  <c r="G23" i="2" s="1"/>
  <c r="F32" i="5" a="1"/>
  <c r="F32" i="5" s="1"/>
  <c r="H24" i="2" s="1"/>
  <c r="E7" i="5"/>
  <c r="E9" i="2" s="1"/>
  <c r="F7" i="5"/>
  <c r="F9" i="2" s="1"/>
  <c r="C33" i="5" a="1"/>
  <c r="C33" i="5" s="1"/>
  <c r="E25" i="2" s="1"/>
  <c r="C32" i="5" a="1"/>
  <c r="C32" i="5" s="1"/>
  <c r="E24" i="2" s="1"/>
  <c r="D28" i="5"/>
  <c r="C6" i="5"/>
  <c r="F5" i="5"/>
  <c r="D5" i="5"/>
  <c r="G32" i="5" a="1"/>
  <c r="G32" i="5" s="1"/>
  <c r="I24" i="2" s="1"/>
  <c r="D33" i="5" a="1"/>
  <c r="D33" i="5" s="1"/>
  <c r="F25" i="2" s="1"/>
  <c r="D32" i="5" a="1"/>
  <c r="D32" i="5" s="1"/>
  <c r="F24" i="2" s="1"/>
  <c r="C7" i="5"/>
  <c r="P2" i="2"/>
  <c r="E6" i="5"/>
  <c r="E8" i="2" s="1"/>
  <c r="C5" i="5"/>
  <c r="F33" i="5" a="1"/>
  <c r="F33" i="5" s="1"/>
  <c r="H25" i="2" s="1"/>
  <c r="D31" i="5" a="1"/>
  <c r="D31" i="5" s="1"/>
  <c r="F23" i="2" s="1"/>
  <c r="C31" i="5" a="1"/>
  <c r="C31" i="5" s="1"/>
  <c r="E23" i="2" s="1"/>
  <c r="F6" i="5"/>
  <c r="F8" i="2" s="1"/>
  <c r="G31" i="5" a="1"/>
  <c r="G31" i="5" s="1"/>
  <c r="I23" i="2" s="1"/>
  <c r="F31" i="5" a="1"/>
  <c r="F31" i="5" s="1"/>
  <c r="H23" i="2" s="1"/>
  <c r="E5" i="5"/>
  <c r="E32" i="5" a="1"/>
  <c r="E32" i="5" s="1"/>
  <c r="G24" i="2" s="1"/>
  <c r="D6" i="5"/>
  <c r="D8" i="2" s="1"/>
  <c r="C84" i="11" l="1"/>
  <c r="E84" i="11" s="1"/>
  <c r="F81" i="11" s="1"/>
  <c r="D68" i="11"/>
  <c r="F7" i="9" s="1"/>
  <c r="B37" i="11"/>
  <c r="I36" i="11" a="1"/>
  <c r="I36" i="11" s="1"/>
  <c r="L36" i="11" a="1"/>
  <c r="L36" i="11" s="1"/>
  <c r="O36" i="11" a="1"/>
  <c r="O36" i="11" s="1"/>
  <c r="G36" i="11" a="1"/>
  <c r="G36" i="11" s="1"/>
  <c r="M36" i="11" a="1"/>
  <c r="M36" i="11" s="1"/>
  <c r="C36" i="11"/>
  <c r="D36" i="11" a="1"/>
  <c r="D36" i="11" s="1"/>
  <c r="N36" i="11" a="1"/>
  <c r="N36" i="11" s="1"/>
  <c r="K36" i="11" a="1"/>
  <c r="K36" i="11" s="1"/>
  <c r="F36" i="11" a="1"/>
  <c r="F36" i="11" s="1"/>
  <c r="H36" i="11" a="1"/>
  <c r="H36" i="11" s="1"/>
  <c r="P36" i="11" a="1"/>
  <c r="P36" i="11" s="1"/>
  <c r="E73" i="11"/>
  <c r="F14" i="9" s="1"/>
  <c r="D66" i="11"/>
  <c r="E35" i="11"/>
  <c r="D73" i="11" s="1"/>
  <c r="F79" i="11"/>
  <c r="F82" i="11"/>
  <c r="F84" i="11"/>
  <c r="F83" i="11"/>
  <c r="F80" i="11"/>
  <c r="E8" i="5"/>
  <c r="E10" i="2" s="1"/>
  <c r="E7" i="2"/>
  <c r="I28" i="5"/>
  <c r="O28" i="5" a="1"/>
  <c r="O28" i="5" s="1"/>
  <c r="L28" i="5" s="1"/>
  <c r="J28" i="5"/>
  <c r="D27" i="5"/>
  <c r="C28" i="5"/>
  <c r="P28" i="5" a="1"/>
  <c r="P28" i="5" s="1"/>
  <c r="M28" i="5" s="1"/>
  <c r="H28" i="5"/>
  <c r="N28" i="5" a="1"/>
  <c r="N28" i="5" s="1"/>
  <c r="K28" i="5" s="1"/>
  <c r="C9" i="2"/>
  <c r="G7" i="5"/>
  <c r="G9" i="2" s="1"/>
  <c r="D8" i="5"/>
  <c r="D10" i="2" s="1"/>
  <c r="D7" i="2"/>
  <c r="G5" i="5"/>
  <c r="G7" i="2" s="1"/>
  <c r="C8" i="5"/>
  <c r="C7" i="2"/>
  <c r="F8" i="5"/>
  <c r="F10" i="2" s="1"/>
  <c r="F7" i="2"/>
  <c r="C8" i="2"/>
  <c r="G6" i="5"/>
  <c r="G8" i="2" s="1"/>
  <c r="C66" i="5"/>
  <c r="D65" i="5"/>
  <c r="B65" i="5"/>
  <c r="H82" i="11" l="1"/>
  <c r="G82" i="11"/>
  <c r="H80" i="11"/>
  <c r="G80" i="11"/>
  <c r="G79" i="11"/>
  <c r="H79" i="11"/>
  <c r="B38" i="11"/>
  <c r="I37" i="11" a="1"/>
  <c r="I37" i="11" s="1"/>
  <c r="N37" i="11" a="1"/>
  <c r="N37" i="11" s="1"/>
  <c r="H37" i="11" a="1"/>
  <c r="H37" i="11" s="1"/>
  <c r="E37" i="11" s="1"/>
  <c r="G37" i="11" a="1"/>
  <c r="G37" i="11" s="1"/>
  <c r="C37" i="11"/>
  <c r="F37" i="11" a="1"/>
  <c r="F37" i="11" s="1"/>
  <c r="P37" i="11" a="1"/>
  <c r="P37" i="11" s="1"/>
  <c r="K37" i="11" a="1"/>
  <c r="K37" i="11" s="1"/>
  <c r="D37" i="11" a="1"/>
  <c r="D37" i="11" s="1"/>
  <c r="L37" i="11" a="1"/>
  <c r="L37" i="11" s="1"/>
  <c r="M37" i="11" a="1"/>
  <c r="M37" i="11" s="1"/>
  <c r="O37" i="11" a="1"/>
  <c r="O37" i="11" s="1"/>
  <c r="G83" i="11"/>
  <c r="H83" i="11"/>
  <c r="E74" i="11"/>
  <c r="G74" i="11"/>
  <c r="F13" i="9"/>
  <c r="H74" i="11"/>
  <c r="F74" i="11"/>
  <c r="E36" i="11"/>
  <c r="H84" i="11"/>
  <c r="G84" i="11"/>
  <c r="C73" i="11"/>
  <c r="F12" i="9" s="1"/>
  <c r="D7" i="9"/>
  <c r="E68" i="11"/>
  <c r="F8" i="9" s="1"/>
  <c r="D67" i="11"/>
  <c r="E7" i="9" s="1"/>
  <c r="D65" i="11"/>
  <c r="C7" i="9" s="1"/>
  <c r="H81" i="11"/>
  <c r="G81" i="11"/>
  <c r="C67" i="5"/>
  <c r="D66" i="5"/>
  <c r="B66" i="5"/>
  <c r="G28" i="5"/>
  <c r="E28" i="5"/>
  <c r="B28" i="5"/>
  <c r="F28" i="5"/>
  <c r="P27" i="5" a="1"/>
  <c r="P27" i="5" s="1"/>
  <c r="M27" i="5" s="1"/>
  <c r="D26" i="5"/>
  <c r="O27" i="5" a="1"/>
  <c r="O27" i="5" s="1"/>
  <c r="L27" i="5" s="1"/>
  <c r="J27" i="5"/>
  <c r="H27" i="5"/>
  <c r="C27" i="5"/>
  <c r="N27" i="5" a="1"/>
  <c r="N27" i="5" s="1"/>
  <c r="K27" i="5" s="1"/>
  <c r="I27" i="5"/>
  <c r="G8" i="5"/>
  <c r="G10" i="2" s="1"/>
  <c r="C10" i="2"/>
  <c r="E67" i="11" l="1"/>
  <c r="E8" i="9" s="1"/>
  <c r="B39" i="11"/>
  <c r="D38" i="11" a="1"/>
  <c r="D38" i="11" s="1"/>
  <c r="K38" i="11" a="1"/>
  <c r="K38" i="11" s="1"/>
  <c r="F38" i="11" a="1"/>
  <c r="F38" i="11" s="1"/>
  <c r="H38" i="11" a="1"/>
  <c r="H38" i="11" s="1"/>
  <c r="P38" i="11" a="1"/>
  <c r="P38" i="11" s="1"/>
  <c r="O38" i="11" a="1"/>
  <c r="O38" i="11" s="1"/>
  <c r="I38" i="11" a="1"/>
  <c r="I38" i="11" s="1"/>
  <c r="L38" i="11" a="1"/>
  <c r="L38" i="11" s="1"/>
  <c r="M38" i="11" a="1"/>
  <c r="M38" i="11" s="1"/>
  <c r="G38" i="11" a="1"/>
  <c r="G38" i="11" s="1"/>
  <c r="N38" i="11" a="1"/>
  <c r="N38" i="11" s="1"/>
  <c r="C38" i="11"/>
  <c r="D67" i="5"/>
  <c r="C68" i="5"/>
  <c r="B67" i="5"/>
  <c r="F27" i="5"/>
  <c r="E27" i="5"/>
  <c r="B27" i="5"/>
  <c r="G27" i="5"/>
  <c r="N26" i="5" a="1"/>
  <c r="N26" i="5" s="1"/>
  <c r="K26" i="5" s="1"/>
  <c r="C26" i="5"/>
  <c r="H26" i="5"/>
  <c r="P26" i="5" a="1"/>
  <c r="P26" i="5" s="1"/>
  <c r="M26" i="5" s="1"/>
  <c r="J26" i="5"/>
  <c r="O26" i="5" a="1"/>
  <c r="O26" i="5" s="1"/>
  <c r="L26" i="5" s="1"/>
  <c r="I26" i="5"/>
  <c r="D25" i="5"/>
  <c r="E38" i="11" l="1"/>
  <c r="B40" i="11"/>
  <c r="D39" i="11" a="1"/>
  <c r="D39" i="11" s="1"/>
  <c r="L39" i="11" a="1"/>
  <c r="L39" i="11" s="1"/>
  <c r="C39" i="11"/>
  <c r="O39" i="11" a="1"/>
  <c r="O39" i="11" s="1"/>
  <c r="F39" i="11" a="1"/>
  <c r="F39" i="11" s="1"/>
  <c r="N39" i="11" a="1"/>
  <c r="N39" i="11" s="1"/>
  <c r="K39" i="11" a="1"/>
  <c r="K39" i="11" s="1"/>
  <c r="H39" i="11" a="1"/>
  <c r="H39" i="11" s="1"/>
  <c r="I39" i="11" a="1"/>
  <c r="I39" i="11" s="1"/>
  <c r="G39" i="11" a="1"/>
  <c r="G39" i="11" s="1"/>
  <c r="P39" i="11" a="1"/>
  <c r="P39" i="11" s="1"/>
  <c r="M39" i="11" a="1"/>
  <c r="M39" i="11" s="1"/>
  <c r="D24" i="5"/>
  <c r="N25" i="5" a="1"/>
  <c r="N25" i="5" s="1"/>
  <c r="K25" i="5" s="1"/>
  <c r="P25" i="5" a="1"/>
  <c r="P25" i="5" s="1"/>
  <c r="M25" i="5" s="1"/>
  <c r="I25" i="5"/>
  <c r="O25" i="5" a="1"/>
  <c r="O25" i="5" s="1"/>
  <c r="L25" i="5" s="1"/>
  <c r="H25" i="5"/>
  <c r="J25" i="5"/>
  <c r="C25" i="5"/>
  <c r="D68" i="5"/>
  <c r="B68" i="5"/>
  <c r="C69" i="5"/>
  <c r="G26" i="5"/>
  <c r="F26" i="5"/>
  <c r="E26" i="5"/>
  <c r="B26" i="5"/>
  <c r="E39" i="11" l="1"/>
  <c r="B41" i="11"/>
  <c r="G40" i="11" a="1"/>
  <c r="G40" i="11" s="1"/>
  <c r="N40" i="11" a="1"/>
  <c r="N40" i="11" s="1"/>
  <c r="C40" i="11"/>
  <c r="M40" i="11" a="1"/>
  <c r="M40" i="11" s="1"/>
  <c r="K40" i="11" a="1"/>
  <c r="K40" i="11" s="1"/>
  <c r="P40" i="11" a="1"/>
  <c r="P40" i="11" s="1"/>
  <c r="I40" i="11" a="1"/>
  <c r="I40" i="11" s="1"/>
  <c r="H40" i="11" a="1"/>
  <c r="H40" i="11" s="1"/>
  <c r="L40" i="11" a="1"/>
  <c r="L40" i="11" s="1"/>
  <c r="F40" i="11" a="1"/>
  <c r="F40" i="11" s="1"/>
  <c r="O40" i="11" a="1"/>
  <c r="O40" i="11" s="1"/>
  <c r="D40" i="11" a="1"/>
  <c r="D40" i="11" s="1"/>
  <c r="E25" i="5"/>
  <c r="G25" i="5"/>
  <c r="B25" i="5"/>
  <c r="F25" i="5"/>
  <c r="C70" i="5"/>
  <c r="B69" i="5"/>
  <c r="D69" i="5"/>
  <c r="D23" i="5"/>
  <c r="I24" i="5"/>
  <c r="H24" i="5"/>
  <c r="N24" i="5" a="1"/>
  <c r="N24" i="5" s="1"/>
  <c r="K24" i="5" s="1"/>
  <c r="C24" i="5"/>
  <c r="P24" i="5" a="1"/>
  <c r="P24" i="5" s="1"/>
  <c r="M24" i="5" s="1"/>
  <c r="O24" i="5" a="1"/>
  <c r="O24" i="5" s="1"/>
  <c r="L24" i="5" s="1"/>
  <c r="J24" i="5"/>
  <c r="E40" i="11" l="1"/>
  <c r="G41" i="11" a="1"/>
  <c r="G41" i="11" s="1"/>
  <c r="H41" i="11" a="1"/>
  <c r="H41" i="11" s="1"/>
  <c r="M41" i="11" a="1"/>
  <c r="M41" i="11" s="1"/>
  <c r="B42" i="11"/>
  <c r="O41" i="11" a="1"/>
  <c r="O41" i="11" s="1"/>
  <c r="K41" i="11" a="1"/>
  <c r="K41" i="11" s="1"/>
  <c r="P41" i="11" a="1"/>
  <c r="P41" i="11" s="1"/>
  <c r="N41" i="11" a="1"/>
  <c r="N41" i="11" s="1"/>
  <c r="F41" i="11" a="1"/>
  <c r="F41" i="11" s="1"/>
  <c r="C41" i="11"/>
  <c r="L41" i="11" a="1"/>
  <c r="L41" i="11" s="1"/>
  <c r="I41" i="11" a="1"/>
  <c r="I41" i="11" s="1"/>
  <c r="D41" i="11" a="1"/>
  <c r="D41" i="11" s="1"/>
  <c r="E41" i="11" s="1"/>
  <c r="E24" i="5"/>
  <c r="G24" i="5"/>
  <c r="B24" i="5"/>
  <c r="F24" i="5"/>
  <c r="I23" i="5"/>
  <c r="N23" i="5" a="1"/>
  <c r="N23" i="5" s="1"/>
  <c r="K23" i="5" s="1"/>
  <c r="C23" i="5"/>
  <c r="D22" i="5"/>
  <c r="P23" i="5" a="1"/>
  <c r="P23" i="5" s="1"/>
  <c r="M23" i="5" s="1"/>
  <c r="O23" i="5" a="1"/>
  <c r="O23" i="5" s="1"/>
  <c r="L23" i="5" s="1"/>
  <c r="H23" i="5"/>
  <c r="J23" i="5"/>
  <c r="D70" i="5"/>
  <c r="C71" i="5"/>
  <c r="B70" i="5"/>
  <c r="L42" i="11" l="1" a="1"/>
  <c r="L42" i="11" s="1"/>
  <c r="O42" i="11" a="1"/>
  <c r="O42" i="11" s="1"/>
  <c r="K42" i="11" a="1"/>
  <c r="K42" i="11" s="1"/>
  <c r="M42" i="11" a="1"/>
  <c r="M42" i="11" s="1"/>
  <c r="H42" i="11" a="1"/>
  <c r="H42" i="11" s="1"/>
  <c r="I42" i="11" a="1"/>
  <c r="I42" i="11" s="1"/>
  <c r="G42" i="11" a="1"/>
  <c r="G42" i="11" s="1"/>
  <c r="N42" i="11" a="1"/>
  <c r="N42" i="11" s="1"/>
  <c r="F42" i="11" a="1"/>
  <c r="F42" i="11" s="1"/>
  <c r="C42" i="11"/>
  <c r="P42" i="11" a="1"/>
  <c r="P42" i="11" s="1"/>
  <c r="B43" i="11"/>
  <c r="D42" i="11" a="1"/>
  <c r="D42" i="11" s="1"/>
  <c r="E42" i="11" s="1"/>
  <c r="C72" i="5"/>
  <c r="D71" i="5"/>
  <c r="B71" i="5"/>
  <c r="O22" i="5" a="1"/>
  <c r="O22" i="5" s="1"/>
  <c r="L22" i="5" s="1"/>
  <c r="C22" i="5"/>
  <c r="D21" i="5"/>
  <c r="J22" i="5"/>
  <c r="H22" i="5"/>
  <c r="I22" i="5"/>
  <c r="N22" i="5" a="1"/>
  <c r="N22" i="5" s="1"/>
  <c r="K22" i="5" s="1"/>
  <c r="P22" i="5" a="1"/>
  <c r="P22" i="5" s="1"/>
  <c r="M22" i="5" s="1"/>
  <c r="B23" i="5"/>
  <c r="F23" i="5"/>
  <c r="E23" i="5"/>
  <c r="G23" i="5"/>
  <c r="C43" i="11" l="1"/>
  <c r="O43" i="11" a="1"/>
  <c r="O43" i="11" s="1"/>
  <c r="B44" i="11"/>
  <c r="I43" i="11" a="1"/>
  <c r="I43" i="11" s="1"/>
  <c r="L43" i="11" a="1"/>
  <c r="L43" i="11" s="1"/>
  <c r="N43" i="11" a="1"/>
  <c r="N43" i="11" s="1"/>
  <c r="M43" i="11" a="1"/>
  <c r="M43" i="11" s="1"/>
  <c r="G43" i="11" a="1"/>
  <c r="G43" i="11" s="1"/>
  <c r="H43" i="11" a="1"/>
  <c r="H43" i="11" s="1"/>
  <c r="D43" i="11" a="1"/>
  <c r="D43" i="11" s="1"/>
  <c r="P43" i="11" a="1"/>
  <c r="P43" i="11" s="1"/>
  <c r="F43" i="11" a="1"/>
  <c r="F43" i="11" s="1"/>
  <c r="K43" i="11" a="1"/>
  <c r="K43" i="11" s="1"/>
  <c r="O21" i="5" a="1"/>
  <c r="O21" i="5" s="1"/>
  <c r="L21" i="5" s="1"/>
  <c r="P21" i="5" a="1"/>
  <c r="P21" i="5" s="1"/>
  <c r="M21" i="5" s="1"/>
  <c r="C21" i="5"/>
  <c r="J21" i="5"/>
  <c r="N21" i="5" a="1"/>
  <c r="N21" i="5" s="1"/>
  <c r="K21" i="5" s="1"/>
  <c r="D20" i="5"/>
  <c r="H21" i="5"/>
  <c r="I21" i="5"/>
  <c r="F22" i="5"/>
  <c r="E22" i="5"/>
  <c r="G22" i="5"/>
  <c r="B22" i="5"/>
  <c r="C73" i="5"/>
  <c r="D72" i="5"/>
  <c r="B72" i="5"/>
  <c r="C44" i="11" l="1"/>
  <c r="M44" i="11" a="1"/>
  <c r="M44" i="11" s="1"/>
  <c r="F44" i="11" a="1"/>
  <c r="F44" i="11" s="1"/>
  <c r="P44" i="11" a="1"/>
  <c r="P44" i="11" s="1"/>
  <c r="H44" i="11" a="1"/>
  <c r="H44" i="11" s="1"/>
  <c r="O44" i="11" a="1"/>
  <c r="O44" i="11" s="1"/>
  <c r="I44" i="11" a="1"/>
  <c r="I44" i="11" s="1"/>
  <c r="G44" i="11" a="1"/>
  <c r="G44" i="11" s="1"/>
  <c r="B45" i="11"/>
  <c r="L44" i="11" a="1"/>
  <c r="L44" i="11" s="1"/>
  <c r="K44" i="11" a="1"/>
  <c r="K44" i="11" s="1"/>
  <c r="N44" i="11" a="1"/>
  <c r="N44" i="11" s="1"/>
  <c r="D44" i="11" a="1"/>
  <c r="D44" i="11" s="1"/>
  <c r="E44" i="11" s="1"/>
  <c r="E43" i="11"/>
  <c r="F21" i="5"/>
  <c r="G21" i="5"/>
  <c r="B21" i="5"/>
  <c r="E21" i="5"/>
  <c r="C20" i="5"/>
  <c r="I20" i="5"/>
  <c r="H20" i="5"/>
  <c r="N20" i="5" a="1"/>
  <c r="N20" i="5" s="1"/>
  <c r="K20" i="5" s="1"/>
  <c r="D19" i="5"/>
  <c r="J20" i="5"/>
  <c r="P20" i="5" a="1"/>
  <c r="P20" i="5" s="1"/>
  <c r="M20" i="5" s="1"/>
  <c r="O20" i="5" a="1"/>
  <c r="O20" i="5" s="1"/>
  <c r="L20" i="5" s="1"/>
  <c r="C74" i="5"/>
  <c r="D73" i="5"/>
  <c r="B73" i="5"/>
  <c r="L45" i="11" l="1" a="1"/>
  <c r="L45" i="11" s="1"/>
  <c r="G45" i="11" a="1"/>
  <c r="G45" i="11" s="1"/>
  <c r="I45" i="11" a="1"/>
  <c r="I45" i="11" s="1"/>
  <c r="O45" i="11" a="1"/>
  <c r="O45" i="11" s="1"/>
  <c r="M45" i="11" a="1"/>
  <c r="M45" i="11" s="1"/>
  <c r="K45" i="11" a="1"/>
  <c r="K45" i="11" s="1"/>
  <c r="F45" i="11" a="1"/>
  <c r="F45" i="11" s="1"/>
  <c r="C45" i="11"/>
  <c r="P45" i="11" a="1"/>
  <c r="P45" i="11" s="1"/>
  <c r="N45" i="11" a="1"/>
  <c r="N45" i="11" s="1"/>
  <c r="H45" i="11" a="1"/>
  <c r="H45" i="11" s="1"/>
  <c r="D45" i="11" a="1"/>
  <c r="D45" i="11" s="1"/>
  <c r="E45" i="11" s="1"/>
  <c r="B46" i="11"/>
  <c r="D74" i="5"/>
  <c r="C75" i="5"/>
  <c r="B74" i="5"/>
  <c r="C19" i="5"/>
  <c r="I19" i="5"/>
  <c r="J19" i="5"/>
  <c r="N19" i="5" a="1"/>
  <c r="N19" i="5" s="1"/>
  <c r="K19" i="5" s="1"/>
  <c r="H19" i="5"/>
  <c r="D18" i="5"/>
  <c r="P19" i="5" a="1"/>
  <c r="P19" i="5" s="1"/>
  <c r="M19" i="5" s="1"/>
  <c r="O19" i="5" a="1"/>
  <c r="O19" i="5" s="1"/>
  <c r="L19" i="5" s="1"/>
  <c r="G20" i="5"/>
  <c r="E20" i="5"/>
  <c r="F20" i="5"/>
  <c r="B20" i="5"/>
  <c r="P46" i="11" l="1" a="1"/>
  <c r="P46" i="11" s="1"/>
  <c r="F46" i="11" a="1"/>
  <c r="F46" i="11" s="1"/>
  <c r="O46" i="11" a="1"/>
  <c r="O46" i="11" s="1"/>
  <c r="C46" i="11"/>
  <c r="B47" i="11"/>
  <c r="D46" i="11" a="1"/>
  <c r="D46" i="11" s="1"/>
  <c r="N46" i="11" a="1"/>
  <c r="N46" i="11" s="1"/>
  <c r="M46" i="11" a="1"/>
  <c r="M46" i="11" s="1"/>
  <c r="K46" i="11" a="1"/>
  <c r="K46" i="11" s="1"/>
  <c r="L46" i="11" a="1"/>
  <c r="L46" i="11" s="1"/>
  <c r="I46" i="11" a="1"/>
  <c r="I46" i="11" s="1"/>
  <c r="H46" i="11" a="1"/>
  <c r="H46" i="11" s="1"/>
  <c r="G46" i="11" a="1"/>
  <c r="G46" i="11" s="1"/>
  <c r="C76" i="5"/>
  <c r="D75" i="5"/>
  <c r="B75" i="5"/>
  <c r="G19" i="5"/>
  <c r="E19" i="5"/>
  <c r="B19" i="5"/>
  <c r="F19" i="5"/>
  <c r="O18" i="5" a="1"/>
  <c r="O18" i="5" s="1"/>
  <c r="L18" i="5" s="1"/>
  <c r="P18" i="5" a="1"/>
  <c r="P18" i="5" s="1"/>
  <c r="M18" i="5" s="1"/>
  <c r="D17" i="5"/>
  <c r="C18" i="5"/>
  <c r="H18" i="5"/>
  <c r="I18" i="5"/>
  <c r="J18" i="5"/>
  <c r="N18" i="5" a="1"/>
  <c r="N18" i="5" s="1"/>
  <c r="K18" i="5" s="1"/>
  <c r="E46" i="11" l="1"/>
  <c r="D47" i="11" a="1"/>
  <c r="D47" i="11" s="1"/>
  <c r="L47" i="11" a="1"/>
  <c r="L47" i="11" s="1"/>
  <c r="P47" i="11" a="1"/>
  <c r="P47" i="11" s="1"/>
  <c r="H47" i="11" a="1"/>
  <c r="H47" i="11" s="1"/>
  <c r="K47" i="11" a="1"/>
  <c r="K47" i="11" s="1"/>
  <c r="C47" i="11"/>
  <c r="M47" i="11" a="1"/>
  <c r="M47" i="11" s="1"/>
  <c r="I47" i="11" a="1"/>
  <c r="I47" i="11" s="1"/>
  <c r="O47" i="11" a="1"/>
  <c r="O47" i="11" s="1"/>
  <c r="F47" i="11" a="1"/>
  <c r="F47" i="11" s="1"/>
  <c r="N47" i="11" a="1"/>
  <c r="N47" i="11" s="1"/>
  <c r="G47" i="11" a="1"/>
  <c r="G47" i="11" s="1"/>
  <c r="B48" i="11"/>
  <c r="E18" i="5"/>
  <c r="G18" i="5"/>
  <c r="B18" i="5"/>
  <c r="F18" i="5"/>
  <c r="P17" i="5" a="1"/>
  <c r="P17" i="5" s="1"/>
  <c r="M17" i="5" s="1"/>
  <c r="I17" i="5"/>
  <c r="J17" i="5"/>
  <c r="N17" i="5" a="1"/>
  <c r="N17" i="5" s="1"/>
  <c r="K17" i="5" s="1"/>
  <c r="O17" i="5" a="1"/>
  <c r="O17" i="5" s="1"/>
  <c r="L17" i="5" s="1"/>
  <c r="C17" i="5"/>
  <c r="D16" i="5"/>
  <c r="H17" i="5"/>
  <c r="D76" i="5"/>
  <c r="C77" i="5"/>
  <c r="B76" i="5"/>
  <c r="K48" i="11" l="1" a="1"/>
  <c r="K48" i="11" s="1"/>
  <c r="F48" i="11" a="1"/>
  <c r="F48" i="11" s="1"/>
  <c r="D48" i="11" a="1"/>
  <c r="D48" i="11" s="1"/>
  <c r="H48" i="11" a="1"/>
  <c r="H48" i="11" s="1"/>
  <c r="O48" i="11" a="1"/>
  <c r="O48" i="11" s="1"/>
  <c r="I48" i="11" a="1"/>
  <c r="I48" i="11" s="1"/>
  <c r="G48" i="11" a="1"/>
  <c r="G48" i="11" s="1"/>
  <c r="B49" i="11"/>
  <c r="N48" i="11" a="1"/>
  <c r="N48" i="11" s="1"/>
  <c r="C48" i="11"/>
  <c r="M48" i="11" a="1"/>
  <c r="M48" i="11" s="1"/>
  <c r="L48" i="11" a="1"/>
  <c r="L48" i="11" s="1"/>
  <c r="P48" i="11" a="1"/>
  <c r="P48" i="11" s="1"/>
  <c r="E47" i="11"/>
  <c r="N16" i="5" a="1"/>
  <c r="N16" i="5" s="1"/>
  <c r="K16" i="5" s="1"/>
  <c r="I16" i="5"/>
  <c r="C16" i="5"/>
  <c r="H16" i="5"/>
  <c r="J16" i="5"/>
  <c r="O16" i="5" a="1"/>
  <c r="O16" i="5" s="1"/>
  <c r="L16" i="5" s="1"/>
  <c r="D15" i="5"/>
  <c r="P16" i="5" a="1"/>
  <c r="P16" i="5" s="1"/>
  <c r="M16" i="5" s="1"/>
  <c r="C78" i="5"/>
  <c r="D77" i="5"/>
  <c r="B77" i="5"/>
  <c r="E17" i="5"/>
  <c r="G17" i="5"/>
  <c r="B17" i="5"/>
  <c r="F17" i="5"/>
  <c r="I49" i="11" l="1" a="1"/>
  <c r="I49" i="11" s="1"/>
  <c r="G49" i="11" a="1"/>
  <c r="G49" i="11" s="1"/>
  <c r="H49" i="11" a="1"/>
  <c r="H49" i="11" s="1"/>
  <c r="F49" i="11" a="1"/>
  <c r="F49" i="11" s="1"/>
  <c r="O49" i="11" a="1"/>
  <c r="O49" i="11" s="1"/>
  <c r="P49" i="11" a="1"/>
  <c r="P49" i="11" s="1"/>
  <c r="N49" i="11" a="1"/>
  <c r="N49" i="11" s="1"/>
  <c r="M49" i="11" a="1"/>
  <c r="M49" i="11" s="1"/>
  <c r="L49" i="11" a="1"/>
  <c r="L49" i="11" s="1"/>
  <c r="K49" i="11" a="1"/>
  <c r="K49" i="11" s="1"/>
  <c r="C49" i="11"/>
  <c r="D49" i="11" a="1"/>
  <c r="D49" i="11" s="1"/>
  <c r="E49" i="11" s="1"/>
  <c r="B50" i="11"/>
  <c r="E48" i="11"/>
  <c r="D14" i="5"/>
  <c r="N15" i="5" a="1"/>
  <c r="N15" i="5" s="1"/>
  <c r="K15" i="5" s="1"/>
  <c r="H15" i="5"/>
  <c r="J15" i="5"/>
  <c r="O15" i="5" a="1"/>
  <c r="O15" i="5" s="1"/>
  <c r="L15" i="5" s="1"/>
  <c r="I15" i="5"/>
  <c r="P15" i="5" a="1"/>
  <c r="P15" i="5" s="1"/>
  <c r="M15" i="5" s="1"/>
  <c r="C15" i="5"/>
  <c r="B16" i="5"/>
  <c r="F16" i="5"/>
  <c r="E16" i="5"/>
  <c r="G16" i="5"/>
  <c r="D78" i="5"/>
  <c r="C79" i="5"/>
  <c r="B78" i="5"/>
  <c r="P50" i="11" l="1" a="1"/>
  <c r="P50" i="11" s="1"/>
  <c r="M50" i="11" a="1"/>
  <c r="M50" i="11" s="1"/>
  <c r="O50" i="11" a="1"/>
  <c r="O50" i="11" s="1"/>
  <c r="B51" i="11"/>
  <c r="C50" i="11"/>
  <c r="N50" i="11" a="1"/>
  <c r="N50" i="11" s="1"/>
  <c r="F50" i="11" a="1"/>
  <c r="F50" i="11" s="1"/>
  <c r="I50" i="11" a="1"/>
  <c r="I50" i="11" s="1"/>
  <c r="D50" i="11" a="1"/>
  <c r="D50" i="11" s="1"/>
  <c r="L50" i="11" a="1"/>
  <c r="L50" i="11" s="1"/>
  <c r="K50" i="11" a="1"/>
  <c r="K50" i="11" s="1"/>
  <c r="H50" i="11" a="1"/>
  <c r="H50" i="11" s="1"/>
  <c r="G50" i="11" a="1"/>
  <c r="G50" i="11" s="1"/>
  <c r="C80" i="5"/>
  <c r="D79" i="5"/>
  <c r="B79" i="5"/>
  <c r="G15" i="5"/>
  <c r="B15" i="5"/>
  <c r="F15" i="5"/>
  <c r="E15" i="5"/>
  <c r="J14" i="5"/>
  <c r="O14" i="5" a="1"/>
  <c r="O14" i="5" s="1"/>
  <c r="L14" i="5" s="1"/>
  <c r="I14" i="5"/>
  <c r="C14" i="5"/>
  <c r="N14" i="5" a="1"/>
  <c r="N14" i="5" s="1"/>
  <c r="K14" i="5" s="1"/>
  <c r="H14" i="5"/>
  <c r="D13" i="5"/>
  <c r="P14" i="5" a="1"/>
  <c r="P14" i="5" s="1"/>
  <c r="M14" i="5" s="1"/>
  <c r="G51" i="11" l="1" a="1"/>
  <c r="G51" i="11" s="1"/>
  <c r="O51" i="11" a="1"/>
  <c r="O51" i="11" s="1"/>
  <c r="H51" i="11" a="1"/>
  <c r="H51" i="11" s="1"/>
  <c r="D51" i="11" a="1"/>
  <c r="D51" i="11" s="1"/>
  <c r="C51" i="11"/>
  <c r="N51" i="11" a="1"/>
  <c r="N51" i="11" s="1"/>
  <c r="I51" i="11" a="1"/>
  <c r="I51" i="11" s="1"/>
  <c r="B52" i="11"/>
  <c r="P51" i="11" a="1"/>
  <c r="P51" i="11" s="1"/>
  <c r="F51" i="11" a="1"/>
  <c r="F51" i="11" s="1"/>
  <c r="K51" i="11" a="1"/>
  <c r="K51" i="11" s="1"/>
  <c r="M51" i="11" a="1"/>
  <c r="M51" i="11" s="1"/>
  <c r="L51" i="11" a="1"/>
  <c r="L51" i="11" s="1"/>
  <c r="E50" i="11"/>
  <c r="E14" i="5"/>
  <c r="G14" i="5"/>
  <c r="B14" i="5"/>
  <c r="F14" i="5"/>
  <c r="P13" i="5" a="1"/>
  <c r="P13" i="5" s="1"/>
  <c r="M13" i="5" s="1"/>
  <c r="H13" i="5"/>
  <c r="I13" i="5"/>
  <c r="O13" i="5" a="1"/>
  <c r="O13" i="5" s="1"/>
  <c r="L13" i="5" s="1"/>
  <c r="N13" i="5" a="1"/>
  <c r="N13" i="5" s="1"/>
  <c r="K13" i="5" s="1"/>
  <c r="C13" i="5"/>
  <c r="D12" i="5"/>
  <c r="J13" i="5"/>
  <c r="C81" i="5"/>
  <c r="D80" i="5"/>
  <c r="B80" i="5"/>
  <c r="C52" i="11" l="1"/>
  <c r="M52" i="11" a="1"/>
  <c r="M52" i="11" s="1"/>
  <c r="F52" i="11" a="1"/>
  <c r="F52" i="11" s="1"/>
  <c r="P52" i="11" a="1"/>
  <c r="P52" i="11" s="1"/>
  <c r="G52" i="11" a="1"/>
  <c r="G52" i="11" s="1"/>
  <c r="B53" i="11"/>
  <c r="D52" i="11" a="1"/>
  <c r="D52" i="11" s="1"/>
  <c r="H52" i="11" a="1"/>
  <c r="H52" i="11" s="1"/>
  <c r="O52" i="11" a="1"/>
  <c r="O52" i="11" s="1"/>
  <c r="N52" i="11" a="1"/>
  <c r="N52" i="11" s="1"/>
  <c r="K52" i="11" a="1"/>
  <c r="K52" i="11" s="1"/>
  <c r="I52" i="11" a="1"/>
  <c r="I52" i="11" s="1"/>
  <c r="L52" i="11" a="1"/>
  <c r="L52" i="11" s="1"/>
  <c r="E51" i="11"/>
  <c r="N12" i="5" a="1"/>
  <c r="N12" i="5" s="1"/>
  <c r="K12" i="5" s="1"/>
  <c r="P12" i="5" a="1"/>
  <c r="P12" i="5" s="1"/>
  <c r="M12" i="5" s="1"/>
  <c r="D11" i="5"/>
  <c r="O12" i="5" a="1"/>
  <c r="O12" i="5" s="1"/>
  <c r="L12" i="5" s="1"/>
  <c r="J12" i="5"/>
  <c r="I12" i="5"/>
  <c r="C12" i="5"/>
  <c r="H12" i="5"/>
  <c r="C82" i="5"/>
  <c r="D81" i="5"/>
  <c r="B81" i="5"/>
  <c r="F13" i="5"/>
  <c r="B13" i="5"/>
  <c r="E13" i="5"/>
  <c r="G13" i="5"/>
  <c r="E52" i="11" l="1"/>
  <c r="F53" i="11" a="1"/>
  <c r="F53" i="11" s="1"/>
  <c r="I53" i="11" a="1"/>
  <c r="I53" i="11" s="1"/>
  <c r="L53" i="11" a="1"/>
  <c r="L53" i="11" s="1"/>
  <c r="N53" i="11" a="1"/>
  <c r="N53" i="11" s="1"/>
  <c r="D53" i="11" a="1"/>
  <c r="D53" i="11" s="1"/>
  <c r="O53" i="11" a="1"/>
  <c r="O53" i="11" s="1"/>
  <c r="M53" i="11" a="1"/>
  <c r="M53" i="11" s="1"/>
  <c r="K53" i="11" a="1"/>
  <c r="K53" i="11" s="1"/>
  <c r="C53" i="11"/>
  <c r="B54" i="11"/>
  <c r="P53" i="11" a="1"/>
  <c r="P53" i="11" s="1"/>
  <c r="G53" i="11" a="1"/>
  <c r="G53" i="11" s="1"/>
  <c r="H53" i="11" a="1"/>
  <c r="H53" i="11" s="1"/>
  <c r="F12" i="5"/>
  <c r="G12" i="5"/>
  <c r="B12" i="5"/>
  <c r="E12" i="5"/>
  <c r="P11" i="5" a="1"/>
  <c r="P11" i="5" s="1"/>
  <c r="M11" i="5" s="1"/>
  <c r="C11" i="5"/>
  <c r="J11" i="5"/>
  <c r="H11" i="5"/>
  <c r="O11" i="5" a="1"/>
  <c r="O11" i="5" s="1"/>
  <c r="L11" i="5" s="1"/>
  <c r="N11" i="5" a="1"/>
  <c r="N11" i="5" s="1"/>
  <c r="K11" i="5" s="1"/>
  <c r="I11" i="5"/>
  <c r="C83" i="5"/>
  <c r="D82" i="5"/>
  <c r="B82" i="5"/>
  <c r="N54" i="11" l="1" a="1"/>
  <c r="N54" i="11" s="1"/>
  <c r="B55" i="11"/>
  <c r="I54" i="11" a="1"/>
  <c r="I54" i="11" s="1"/>
  <c r="F54" i="11" a="1"/>
  <c r="F54" i="11" s="1"/>
  <c r="M54" i="11" a="1"/>
  <c r="M54" i="11" s="1"/>
  <c r="O54" i="11" a="1"/>
  <c r="O54" i="11" s="1"/>
  <c r="L54" i="11" a="1"/>
  <c r="L54" i="11" s="1"/>
  <c r="G54" i="11" a="1"/>
  <c r="G54" i="11" s="1"/>
  <c r="H54" i="11" a="1"/>
  <c r="H54" i="11" s="1"/>
  <c r="C54" i="11"/>
  <c r="P54" i="11" a="1"/>
  <c r="P54" i="11" s="1"/>
  <c r="D54" i="11" a="1"/>
  <c r="D54" i="11" s="1"/>
  <c r="E54" i="11" s="1"/>
  <c r="K54" i="11" a="1"/>
  <c r="K54" i="11" s="1"/>
  <c r="E53" i="11"/>
  <c r="B83" i="5"/>
  <c r="D83" i="5"/>
  <c r="C84" i="5"/>
  <c r="B11" i="5"/>
  <c r="F11" i="5"/>
  <c r="G11" i="5"/>
  <c r="E11" i="5"/>
  <c r="I55" i="11" l="1" a="1"/>
  <c r="I55" i="11" s="1"/>
  <c r="C55" i="11"/>
  <c r="M55" i="11" a="1"/>
  <c r="M55" i="11" s="1"/>
  <c r="L55" i="11" a="1"/>
  <c r="L55" i="11" s="1"/>
  <c r="K55" i="11" a="1"/>
  <c r="K55" i="11" s="1"/>
  <c r="O55" i="11" a="1"/>
  <c r="O55" i="11" s="1"/>
  <c r="F55" i="11" a="1"/>
  <c r="F55" i="11" s="1"/>
  <c r="G55" i="11" a="1"/>
  <c r="G55" i="11" s="1"/>
  <c r="D55" i="11" a="1"/>
  <c r="D55" i="11" s="1"/>
  <c r="B56" i="11"/>
  <c r="N55" i="11" a="1"/>
  <c r="N55" i="11" s="1"/>
  <c r="H55" i="11" a="1"/>
  <c r="H55" i="11" s="1"/>
  <c r="P55" i="11" a="1"/>
  <c r="P55" i="11" s="1"/>
  <c r="C85" i="5"/>
  <c r="D84" i="5"/>
  <c r="B84" i="5"/>
  <c r="I56" i="11" l="1" a="1"/>
  <c r="I56" i="11" s="1"/>
  <c r="C56" i="11"/>
  <c r="M56" i="11" a="1"/>
  <c r="M56" i="11" s="1"/>
  <c r="D56" i="11" a="1"/>
  <c r="D56" i="11" s="1"/>
  <c r="L56" i="11" a="1"/>
  <c r="L56" i="11" s="1"/>
  <c r="H56" i="11" a="1"/>
  <c r="H56" i="11" s="1"/>
  <c r="O56" i="11" a="1"/>
  <c r="O56" i="11" s="1"/>
  <c r="P56" i="11" a="1"/>
  <c r="P56" i="11" s="1"/>
  <c r="G56" i="11" a="1"/>
  <c r="G56" i="11" s="1"/>
  <c r="B57" i="11"/>
  <c r="N56" i="11" a="1"/>
  <c r="N56" i="11" s="1"/>
  <c r="K56" i="11" a="1"/>
  <c r="K56" i="11" s="1"/>
  <c r="F56" i="11" a="1"/>
  <c r="F56" i="11" s="1"/>
  <c r="E55" i="11"/>
  <c r="D85" i="5"/>
  <c r="C86" i="5"/>
  <c r="B85" i="5"/>
  <c r="E56" i="11" l="1"/>
  <c r="F57" i="11" a="1"/>
  <c r="F57" i="11" s="1"/>
  <c r="G57" i="11" a="1"/>
  <c r="G57" i="11" s="1"/>
  <c r="L57" i="11" a="1"/>
  <c r="L57" i="11" s="1"/>
  <c r="M57" i="11" a="1"/>
  <c r="M57" i="11" s="1"/>
  <c r="D57" i="11" a="1"/>
  <c r="D57" i="11" s="1"/>
  <c r="E57" i="11" s="1"/>
  <c r="N57" i="11" a="1"/>
  <c r="N57" i="11" s="1"/>
  <c r="O57" i="11" a="1"/>
  <c r="O57" i="11" s="1"/>
  <c r="B58" i="11"/>
  <c r="C57" i="11"/>
  <c r="K57" i="11" a="1"/>
  <c r="K57" i="11" s="1"/>
  <c r="P57" i="11" a="1"/>
  <c r="P57" i="11" s="1"/>
  <c r="H57" i="11" a="1"/>
  <c r="H57" i="11" s="1"/>
  <c r="I57" i="11" a="1"/>
  <c r="I57" i="11" s="1"/>
  <c r="D86" i="5"/>
  <c r="B86" i="5"/>
  <c r="C87" i="5"/>
  <c r="I58" i="11" l="1" a="1"/>
  <c r="I58" i="11" s="1"/>
  <c r="H58" i="11" a="1"/>
  <c r="H58" i="11" s="1"/>
  <c r="C58" i="11"/>
  <c r="D58" i="11" a="1"/>
  <c r="D58" i="11" s="1"/>
  <c r="K58" i="11" a="1"/>
  <c r="K58" i="11" s="1"/>
  <c r="B59" i="11"/>
  <c r="G58" i="11" a="1"/>
  <c r="G58" i="11" s="1"/>
  <c r="M58" i="11" a="1"/>
  <c r="M58" i="11" s="1"/>
  <c r="N58" i="11" a="1"/>
  <c r="N58" i="11" s="1"/>
  <c r="L58" i="11" a="1"/>
  <c r="L58" i="11" s="1"/>
  <c r="P58" i="11" a="1"/>
  <c r="P58" i="11" s="1"/>
  <c r="O58" i="11" a="1"/>
  <c r="O58" i="11" s="1"/>
  <c r="F58" i="11" a="1"/>
  <c r="F58" i="11" s="1"/>
  <c r="B87" i="5"/>
  <c r="D87" i="5"/>
  <c r="E58" i="11" l="1"/>
  <c r="H59" i="11" a="1"/>
  <c r="H59" i="11" s="1"/>
  <c r="K59" i="11" a="1"/>
  <c r="K59" i="11" s="1"/>
  <c r="C59" i="11"/>
  <c r="O59" i="11" a="1"/>
  <c r="O59" i="11" s="1"/>
  <c r="P59" i="11" a="1"/>
  <c r="P59" i="11" s="1"/>
  <c r="M59" i="11" a="1"/>
  <c r="M59" i="11" s="1"/>
  <c r="I59" i="11" a="1"/>
  <c r="I59" i="11" s="1"/>
  <c r="F59" i="11" a="1"/>
  <c r="F59" i="11" s="1"/>
  <c r="D59" i="11" a="1"/>
  <c r="D59" i="11" s="1"/>
  <c r="N59" i="11" a="1"/>
  <c r="N59" i="11" s="1"/>
  <c r="G59" i="11" a="1"/>
  <c r="G59" i="11" s="1"/>
  <c r="B60" i="11"/>
  <c r="L59" i="11" a="1"/>
  <c r="L59" i="11" s="1"/>
  <c r="E59" i="11" l="1"/>
  <c r="C14" i="12"/>
  <c r="C60" i="11"/>
  <c r="G60" i="11" a="1"/>
  <c r="G60" i="11" s="1"/>
  <c r="O60" i="11" a="1"/>
  <c r="O60" i="11" s="1"/>
  <c r="I60" i="11" a="1"/>
  <c r="I60" i="11" s="1"/>
  <c r="N60" i="11" a="1"/>
  <c r="N60" i="11" s="1"/>
  <c r="H60" i="11" a="1"/>
  <c r="H60" i="11" s="1"/>
  <c r="M60" i="11" a="1"/>
  <c r="M60" i="11" s="1"/>
  <c r="F60" i="11" a="1"/>
  <c r="F60" i="11" s="1"/>
  <c r="D60" i="11" a="1"/>
  <c r="D60" i="11" s="1"/>
  <c r="L60" i="11" a="1"/>
  <c r="L60" i="11" s="1"/>
  <c r="K60" i="11" a="1"/>
  <c r="K60" i="11" s="1"/>
  <c r="P60" i="11" a="1"/>
  <c r="P60" i="11" s="1"/>
  <c r="E60" i="11" l="1"/>
  <c r="C15" i="12"/>
  <c r="C17" i="12"/>
  <c r="C151" i="8" l="1"/>
  <c r="D137" i="8"/>
  <c r="C140" i="8"/>
  <c r="C134" i="8"/>
  <c r="C141" i="8"/>
  <c r="C152" i="8"/>
  <c r="D141" i="8"/>
  <c r="D136" i="8"/>
  <c r="C154" i="8"/>
  <c r="C150" i="8"/>
  <c r="D138" i="8"/>
  <c r="C148" i="8"/>
  <c r="E152" i="8"/>
  <c r="E155" i="8"/>
  <c r="C102" i="8"/>
  <c r="C10" i="6" s="1"/>
  <c r="E154" i="8"/>
  <c r="C101" i="8"/>
  <c r="C9" i="6" s="1"/>
  <c r="K103" i="8"/>
  <c r="M11" i="6" s="1"/>
  <c r="G101" i="8"/>
  <c r="G9" i="6" s="1"/>
  <c r="F105" i="8"/>
  <c r="I102" i="8"/>
  <c r="I10" i="6" s="1"/>
  <c r="G104" i="8"/>
  <c r="G12" i="6" s="1"/>
  <c r="C104" i="8"/>
  <c r="C12" i="6" s="1"/>
  <c r="C103" i="8"/>
  <c r="C11" i="6" s="1"/>
  <c r="L102" i="8"/>
  <c r="O10" i="6" s="1"/>
  <c r="L103" i="8"/>
  <c r="O11" i="6" s="1"/>
  <c r="H104" i="8"/>
  <c r="H12" i="6" s="1"/>
  <c r="J103" i="8"/>
  <c r="L11" i="6" s="1"/>
  <c r="J105" i="8"/>
  <c r="L13" i="6" s="1"/>
  <c r="J101" i="8"/>
  <c r="L9" i="6" s="1"/>
  <c r="C155" i="8"/>
  <c r="C135" i="8"/>
  <c r="E148" i="8"/>
  <c r="E151" i="8"/>
  <c r="D105" i="8"/>
  <c r="D13" i="6" s="1"/>
  <c r="E150" i="8"/>
  <c r="D100" i="8"/>
  <c r="D8" i="6" s="1"/>
  <c r="K102" i="8"/>
  <c r="M10" i="6" s="1"/>
  <c r="G105" i="8"/>
  <c r="G13" i="6" s="1"/>
  <c r="C100" i="8"/>
  <c r="C8" i="6" s="1"/>
  <c r="I101" i="8"/>
  <c r="I9" i="6" s="1"/>
  <c r="I105" i="8"/>
  <c r="I13" i="6" s="1"/>
  <c r="D104" i="8"/>
  <c r="D12" i="6" s="1"/>
  <c r="D101" i="8"/>
  <c r="D9" i="6" s="1"/>
  <c r="L100" i="8"/>
  <c r="O8" i="6" s="1"/>
  <c r="L101" i="8"/>
  <c r="O9" i="6" s="1"/>
  <c r="J102" i="8"/>
  <c r="L10" i="6" s="1"/>
  <c r="H103" i="8"/>
  <c r="H11" i="6" s="1"/>
  <c r="J100" i="8"/>
  <c r="L8" i="6" s="1"/>
  <c r="H101" i="8"/>
  <c r="H9" i="6" s="1"/>
  <c r="C149" i="8"/>
  <c r="D139" i="8"/>
  <c r="D134" i="8"/>
  <c r="D140" i="8"/>
  <c r="C146" i="8"/>
  <c r="C153" i="8"/>
  <c r="D135" i="8"/>
  <c r="C138" i="8"/>
  <c r="C132" i="8"/>
  <c r="E156" i="8"/>
  <c r="E157" i="8"/>
  <c r="F102" i="8"/>
  <c r="E153" i="8"/>
  <c r="F101" i="8"/>
  <c r="K104" i="8"/>
  <c r="M12" i="6" s="1"/>
  <c r="E146" i="8"/>
  <c r="F100" i="8"/>
  <c r="I103" i="8"/>
  <c r="I11" i="6" s="1"/>
  <c r="G100" i="8"/>
  <c r="G8" i="6" s="1"/>
  <c r="F104" i="8"/>
  <c r="G102" i="8"/>
  <c r="G10" i="6" s="1"/>
  <c r="L104" i="8"/>
  <c r="O12" i="6" s="1"/>
  <c r="L105" i="8"/>
  <c r="O13" i="6" s="1"/>
  <c r="J104" i="8"/>
  <c r="L12" i="6" s="1"/>
  <c r="H105" i="8"/>
  <c r="H13" i="6" s="1"/>
  <c r="C115" i="8"/>
  <c r="C112" i="8"/>
  <c r="C130" i="8"/>
  <c r="C133" i="8"/>
  <c r="C139" i="8"/>
  <c r="D132" i="8"/>
  <c r="C157" i="8"/>
  <c r="C136" i="8"/>
  <c r="C147" i="8"/>
  <c r="C137" i="8"/>
  <c r="D133" i="8"/>
  <c r="E147" i="8"/>
  <c r="D102" i="8"/>
  <c r="D10" i="6" s="1"/>
  <c r="I100" i="8"/>
  <c r="I8" i="6" s="1"/>
  <c r="E149" i="8"/>
  <c r="K101" i="8"/>
  <c r="M9" i="6" s="1"/>
  <c r="K105" i="8"/>
  <c r="M13" i="6" s="1"/>
  <c r="C105" i="8"/>
  <c r="C13" i="6" s="1"/>
  <c r="K100" i="8"/>
  <c r="M8" i="6" s="1"/>
  <c r="I104" i="8"/>
  <c r="I12" i="6" s="1"/>
  <c r="D103" i="8"/>
  <c r="D11" i="6" s="1"/>
  <c r="G103" i="8"/>
  <c r="G11" i="6" s="1"/>
  <c r="C123" i="8"/>
  <c r="F103" i="8"/>
  <c r="H100" i="8"/>
  <c r="H8" i="6" s="1"/>
  <c r="C114" i="8"/>
  <c r="H102" i="8"/>
  <c r="H10" i="6" s="1"/>
  <c r="C111" i="8"/>
  <c r="D131" i="8"/>
  <c r="C156" i="8"/>
  <c r="D130" i="8"/>
  <c r="C131" i="8"/>
  <c r="C110" i="8"/>
  <c r="C122" i="8"/>
  <c r="C125" i="8"/>
  <c r="C121" i="8"/>
  <c r="C120" i="8"/>
  <c r="F11" i="6" l="1"/>
  <c r="E103" i="8"/>
  <c r="E11" i="6" s="1"/>
  <c r="E100" i="8"/>
  <c r="E8" i="6" s="1"/>
  <c r="F8" i="6"/>
  <c r="F157" i="8"/>
  <c r="E141" i="8"/>
  <c r="E104" i="8"/>
  <c r="E12" i="6" s="1"/>
  <c r="F12" i="6"/>
  <c r="E102" i="8"/>
  <c r="E10" i="6" s="1"/>
  <c r="F10" i="6"/>
  <c r="E101" i="8"/>
  <c r="E9" i="6" s="1"/>
  <c r="F9" i="6"/>
  <c r="E105" i="8"/>
  <c r="E13" i="6" s="1"/>
  <c r="F13" i="6"/>
  <c r="C124" i="8"/>
  <c r="D125" i="8" s="1"/>
  <c r="C113" i="8"/>
  <c r="F120" i="8" l="1"/>
  <c r="F122" i="8"/>
  <c r="F124" i="8"/>
  <c r="F125" i="8"/>
  <c r="F123" i="8"/>
  <c r="F121" i="8"/>
</calcChain>
</file>

<file path=xl/sharedStrings.xml><?xml version="1.0" encoding="utf-8"?>
<sst xmlns="http://schemas.openxmlformats.org/spreadsheetml/2006/main" count="1231" uniqueCount="209">
  <si>
    <t>assigned</t>
  </si>
  <si>
    <t>Minor</t>
  </si>
  <si>
    <t>resolved</t>
  </si>
  <si>
    <t>Week</t>
  </si>
  <si>
    <t>Assigned cumulated</t>
  </si>
  <si>
    <t>Resolved cumulated</t>
  </si>
  <si>
    <t>Total</t>
  </si>
  <si>
    <t>Assigned</t>
  </si>
  <si>
    <t>Resolved</t>
  </si>
  <si>
    <t>Start</t>
  </si>
  <si>
    <t>End</t>
  </si>
  <si>
    <t>Selected Week #</t>
  </si>
  <si>
    <t>Last Date</t>
  </si>
  <si>
    <t>Last Sunday</t>
  </si>
  <si>
    <t>Sunday selected week</t>
  </si>
  <si>
    <t>Monday selected week</t>
  </si>
  <si>
    <t>Selected week</t>
  </si>
  <si>
    <t>Latest week</t>
  </si>
  <si>
    <t>from</t>
  </si>
  <si>
    <t>to</t>
  </si>
  <si>
    <t>Assigned to resolved</t>
  </si>
  <si>
    <t>Average resolution / conclusion times in calendar days last 18 weeks</t>
  </si>
  <si>
    <t>Assigned, resolved and concluded defects cumulated over the last 18 weeks</t>
  </si>
  <si>
    <t>Defects week by type and severity</t>
  </si>
  <si>
    <t>Severity</t>
  </si>
  <si>
    <t>State</t>
  </si>
  <si>
    <t>Assigned on</t>
  </si>
  <si>
    <t>Resolved on</t>
  </si>
  <si>
    <t>Concluded on</t>
  </si>
  <si>
    <t>Defect ID</t>
  </si>
  <si>
    <t>Critical</t>
  </si>
  <si>
    <t>Major</t>
  </si>
  <si>
    <t>Cosmetical</t>
  </si>
  <si>
    <t>Average resolution / conclusion times in calendar days</t>
  </si>
  <si>
    <t>closed</t>
  </si>
  <si>
    <t>Resolved to closed</t>
  </si>
  <si>
    <t>Assigned to closed</t>
  </si>
  <si>
    <t>New defects assigned, resolved and concluded last 18 weeks - week on week</t>
  </si>
  <si>
    <t>Closed</t>
  </si>
  <si>
    <t>Closed cumulated</t>
  </si>
  <si>
    <t>Week ISO 8601</t>
  </si>
  <si>
    <t>Defect assigned
fix pending</t>
  </si>
  <si>
    <t>Defect assigned,
fix delivered, not yet retested</t>
  </si>
  <si>
    <t>Defect assigned,
fix delivered and successfully retested</t>
  </si>
  <si>
    <t>Dashboard Software Test Coverage</t>
  </si>
  <si>
    <t>Test cases (TCs) by software modules</t>
  </si>
  <si>
    <t># TCs planned total</t>
  </si>
  <si>
    <t># TCs executed</t>
  </si>
  <si>
    <t>Completion rate</t>
  </si>
  <si>
    <t>started</t>
  </si>
  <si>
    <t>not yet finished</t>
  </si>
  <si>
    <t>finished</t>
  </si>
  <si>
    <t>thereof passed</t>
  </si>
  <si>
    <t>thereof 
failed</t>
  </si>
  <si>
    <t>(finished in % of total plan)</t>
  </si>
  <si>
    <t>Total actual vs plan over time</t>
  </si>
  <si>
    <t>Passed test cases and success rate threshold</t>
  </si>
  <si>
    <r>
      <t xml:space="preserve">Actual in % of plan
</t>
    </r>
    <r>
      <rPr>
        <sz val="8"/>
        <color indexed="8"/>
        <rFont val="Arial"/>
        <family val="2"/>
      </rPr>
      <t>(finished TCs as percentage of planned TCs)</t>
    </r>
  </si>
  <si>
    <t>Planned test cases by module</t>
  </si>
  <si>
    <t>Software Module 1</t>
  </si>
  <si>
    <t>Software Module 2</t>
  </si>
  <si>
    <t>Software Module 3</t>
  </si>
  <si>
    <t>Software Module 4</t>
  </si>
  <si>
    <t>Software Module 5</t>
  </si>
  <si>
    <t>Test threshold success rate</t>
  </si>
  <si>
    <t>goal of successfully conducted test cases in % of all test cases</t>
  </si>
  <si>
    <t>Threshold completion rate</t>
  </si>
  <si>
    <t>highlight if actual completion rate is lower than this threshold</t>
  </si>
  <si>
    <t>#TCs cumulated</t>
  </si>
  <si>
    <t>Date</t>
  </si>
  <si>
    <t>Software Module</t>
  </si>
  <si>
    <t>#TCs completed</t>
  </si>
  <si>
    <t>#TCs not completed</t>
  </si>
  <si>
    <t>#TCs passed</t>
  </si>
  <si>
    <t>#TCs failed</t>
  </si>
  <si>
    <t>Test - Control</t>
  </si>
  <si>
    <t>Week Control</t>
  </si>
  <si>
    <t># of weeks</t>
  </si>
  <si>
    <t>Calculations / Consolidation</t>
  </si>
  <si>
    <t>Day</t>
  </si>
  <si>
    <t># TCs planned actual</t>
  </si>
  <si>
    <t>#TCs finished</t>
  </si>
  <si>
    <t>Success rate</t>
  </si>
  <si>
    <t>Actual in % of plan</t>
  </si>
  <si>
    <t>Dashboard Table</t>
  </si>
  <si>
    <t>Success rate in %</t>
  </si>
  <si>
    <t>Bar Chart Success Rate</t>
  </si>
  <si>
    <t>Bar Value</t>
  </si>
  <si>
    <t>Bar Dummy</t>
  </si>
  <si>
    <t>Target X</t>
  </si>
  <si>
    <t>Scale Dummy</t>
  </si>
  <si>
    <t>Y</t>
  </si>
  <si>
    <t>Bar Chart Completion Rate</t>
  </si>
  <si>
    <t>Column Chart Actual vs Plan</t>
  </si>
  <si>
    <t># TCs planned</t>
  </si>
  <si>
    <t>Column Chart Success Rate</t>
  </si>
  <si>
    <t>Threshold X</t>
  </si>
  <si>
    <t>Success rate threshold</t>
  </si>
  <si>
    <t>Dashboard Software Change Requests</t>
  </si>
  <si>
    <t>Overview actual week</t>
  </si>
  <si>
    <t>Change Request development cumulated</t>
  </si>
  <si>
    <t>Total CRs last week</t>
  </si>
  <si>
    <t>New 
this week</t>
  </si>
  <si>
    <t>Total CRs this week</t>
  </si>
  <si>
    <t>thereof business</t>
  </si>
  <si>
    <t>thereof IT</t>
  </si>
  <si>
    <t>Change Requests - actual status</t>
  </si>
  <si>
    <t>Total Change Requests by department</t>
  </si>
  <si>
    <t>Change Request development cumulated by department</t>
  </si>
  <si>
    <t>Dates of change request status</t>
  </si>
  <si>
    <t>CR #</t>
  </si>
  <si>
    <t>Change Request</t>
  </si>
  <si>
    <t>Department</t>
  </si>
  <si>
    <t>New (entered)</t>
  </si>
  <si>
    <t>Approved (in implementation)</t>
  </si>
  <si>
    <t>Included (delivered)</t>
  </si>
  <si>
    <t>Future CRs</t>
  </si>
  <si>
    <t>Rejected or cancelled</t>
  </si>
  <si>
    <t>Change Request 001</t>
  </si>
  <si>
    <t>Department 5</t>
  </si>
  <si>
    <t>Change Request 002</t>
  </si>
  <si>
    <t>Department 1</t>
  </si>
  <si>
    <t>Change Request 003</t>
  </si>
  <si>
    <t>Change Request 004</t>
  </si>
  <si>
    <t>Department 2</t>
  </si>
  <si>
    <t>Change Request 005</t>
  </si>
  <si>
    <t>Change Request 006</t>
  </si>
  <si>
    <t>IT</t>
  </si>
  <si>
    <t>Change Request 007</t>
  </si>
  <si>
    <t>Change Request 008</t>
  </si>
  <si>
    <t>Change Request 009</t>
  </si>
  <si>
    <t>Department 3</t>
  </si>
  <si>
    <t>Change Request 010</t>
  </si>
  <si>
    <t>Change Request 011</t>
  </si>
  <si>
    <t>Change Request 012</t>
  </si>
  <si>
    <t>Change Request 013</t>
  </si>
  <si>
    <t>Change Request 014</t>
  </si>
  <si>
    <t>Change Request 015</t>
  </si>
  <si>
    <t>Change Request 016</t>
  </si>
  <si>
    <t>Department 4</t>
  </si>
  <si>
    <t>Change Request 017</t>
  </si>
  <si>
    <t>Change Request 018</t>
  </si>
  <si>
    <t>Change Request 019</t>
  </si>
  <si>
    <t>Change Request 020</t>
  </si>
  <si>
    <t>Change Request 021</t>
  </si>
  <si>
    <t>Change Request 022</t>
  </si>
  <si>
    <t>Change Request 023</t>
  </si>
  <si>
    <t>Change Request 024</t>
  </si>
  <si>
    <t>Change Request 025</t>
  </si>
  <si>
    <t>Change Request 026</t>
  </si>
  <si>
    <t>Change Request 027</t>
  </si>
  <si>
    <t>Change Request 028</t>
  </si>
  <si>
    <t>Change Request 029</t>
  </si>
  <si>
    <t>Change Request 030</t>
  </si>
  <si>
    <t>Change Request 031</t>
  </si>
  <si>
    <t>Change Request 032</t>
  </si>
  <si>
    <t>Change Request 033</t>
  </si>
  <si>
    <t>Change Request 034</t>
  </si>
  <si>
    <t>Change Request 035</t>
  </si>
  <si>
    <t>Change Request 036</t>
  </si>
  <si>
    <t>Change Request 037</t>
  </si>
  <si>
    <t>Change Request 038</t>
  </si>
  <si>
    <t>Change Request 039</t>
  </si>
  <si>
    <t>Change Request 040</t>
  </si>
  <si>
    <t>Change Request 041</t>
  </si>
  <si>
    <t>Change Request 042</t>
  </si>
  <si>
    <t>Change Request 043</t>
  </si>
  <si>
    <t>Change Request 044</t>
  </si>
  <si>
    <t>Change Request 045</t>
  </si>
  <si>
    <t>Change Request 046</t>
  </si>
  <si>
    <t>Change Request 047</t>
  </si>
  <si>
    <t>Change Request 048</t>
  </si>
  <si>
    <t>Change Request 049</t>
  </si>
  <si>
    <t>Change Request 050</t>
  </si>
  <si>
    <t>Change Requests - Control</t>
  </si>
  <si>
    <t>CRs by status</t>
  </si>
  <si>
    <t>CRs by departments (cumulated)</t>
  </si>
  <si>
    <t>Friday of week</t>
  </si>
  <si>
    <t>Total cumulated</t>
  </si>
  <si>
    <t>In investigation</t>
  </si>
  <si>
    <t>Approved (in implementation) cumulated</t>
  </si>
  <si>
    <t>Included (delivered) cumulated</t>
  </si>
  <si>
    <t>Overview KPI</t>
  </si>
  <si>
    <t>Waterfall Chart</t>
  </si>
  <si>
    <t>Actuals</t>
  </si>
  <si>
    <t>Invisible</t>
  </si>
  <si>
    <t>Sorted Bar Chart</t>
  </si>
  <si>
    <t>CRs</t>
  </si>
  <si>
    <t>No.</t>
  </si>
  <si>
    <t>Dummy Value</t>
  </si>
  <si>
    <t>Position</t>
  </si>
  <si>
    <t>Departments sorted</t>
  </si>
  <si>
    <t>Value</t>
  </si>
  <si>
    <t>Data Change Requests</t>
  </si>
  <si>
    <t>Control General</t>
  </si>
  <si>
    <t>Defects - Control</t>
  </si>
  <si>
    <t>Dashboard Software Defects</t>
  </si>
  <si>
    <t>Start Week</t>
  </si>
  <si>
    <t>Friday selected week</t>
  </si>
  <si>
    <t>Data Test</t>
  </si>
  <si>
    <t>Data Defects</t>
  </si>
  <si>
    <t>Software Defects</t>
  </si>
  <si>
    <t>Testing</t>
  </si>
  <si>
    <t>Change Requests</t>
  </si>
  <si>
    <t>Scale Factor PPT Export</t>
  </si>
  <si>
    <t>List of PPT Titles</t>
  </si>
  <si>
    <t>Test Dashboard Control</t>
  </si>
  <si>
    <t>Display Data on 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</si>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</sst>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W &quot;\ 00"/>
    <numFmt numFmtId="165" formatCode="&quot;W&quot;\ 00"/>
    <numFmt numFmtId="166" formatCode="ddd\,\ dd/mm/yyyy"/>
    <numFmt numFmtId="167" formatCode="&quot;Week &quot;\ 00"/>
    <numFmt numFmtId="168" formatCode="ddd\,\ dd/mm/yy"/>
    <numFmt numFmtId="169" formatCode="#,##0.0"/>
    <numFmt numFmtId="170" formatCode="ddd\,\ mm\/dd\/yy"/>
    <numFmt numFmtId="171" formatCode="0.0%"/>
    <numFmt numFmtId="172" formatCode="#,##0;;"/>
    <numFmt numFmtId="173" formatCode="0.0%;;"/>
    <numFmt numFmtId="174" formatCode="dd/mm/yy;@"/>
    <numFmt numFmtId="175" formatCode="&quot;Week &quot;00"/>
  </numFmts>
  <fonts count="2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22"/>
      <color indexed="10"/>
      <name val="Wingdings"/>
      <charset val="2"/>
    </font>
    <font>
      <sz val="8"/>
      <name val="Calibri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sz val="14"/>
      <color indexed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7">
    <xf numFmtId="0" fontId="0" fillId="0" borderId="0" xfId="0"/>
    <xf numFmtId="0" fontId="8" fillId="0" borderId="1" xfId="0" applyFont="1" applyBorder="1" applyAlignment="1" applyProtection="1">
      <alignment horizontal="left" vertical="center" indent="1"/>
      <protection hidden="1"/>
    </xf>
    <xf numFmtId="0" fontId="3" fillId="0" borderId="1" xfId="0" applyFont="1" applyBorder="1" applyProtection="1">
      <protection hidden="1"/>
    </xf>
    <xf numFmtId="0" fontId="3" fillId="0" borderId="0" xfId="0" applyFont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0" xfId="0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5" xfId="0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 vertical="center"/>
      <protection hidden="1"/>
    </xf>
    <xf numFmtId="0" fontId="5" fillId="0" borderId="8" xfId="0" applyFont="1" applyFill="1" applyBorder="1" applyAlignment="1" applyProtection="1">
      <alignment horizontal="center" vertical="center" wrapText="1"/>
      <protection hidden="1"/>
    </xf>
    <xf numFmtId="0" fontId="0" fillId="0" borderId="8" xfId="0" applyBorder="1" applyProtection="1">
      <protection hidden="1"/>
    </xf>
    <xf numFmtId="164" fontId="5" fillId="0" borderId="5" xfId="0" applyNumberFormat="1" applyFont="1" applyFill="1" applyBorder="1" applyAlignment="1" applyProtection="1">
      <alignment horizontal="center" vertical="center"/>
      <protection hidden="1"/>
    </xf>
    <xf numFmtId="166" fontId="5" fillId="0" borderId="5" xfId="0" applyNumberFormat="1" applyFont="1" applyFill="1" applyBorder="1" applyAlignment="1" applyProtection="1">
      <alignment vertical="center"/>
      <protection hidden="1"/>
    </xf>
    <xf numFmtId="166" fontId="5" fillId="0" borderId="7" xfId="0" applyNumberFormat="1" applyFont="1" applyFill="1" applyBorder="1" applyAlignment="1" applyProtection="1">
      <alignment vertical="center"/>
      <protection hidden="1"/>
    </xf>
    <xf numFmtId="164" fontId="5" fillId="0" borderId="7" xfId="0" applyNumberFormat="1" applyFont="1" applyFill="1" applyBorder="1" applyAlignment="1" applyProtection="1">
      <alignment horizontal="center" vertical="center"/>
      <protection hidden="1"/>
    </xf>
    <xf numFmtId="166" fontId="5" fillId="0" borderId="6" xfId="0" applyNumberFormat="1" applyFont="1" applyFill="1" applyBorder="1" applyAlignment="1" applyProtection="1">
      <alignment vertical="center"/>
      <protection hidden="1"/>
    </xf>
    <xf numFmtId="164" fontId="5" fillId="0" borderId="6" xfId="0" applyNumberFormat="1" applyFont="1" applyFill="1" applyBorder="1" applyAlignment="1" applyProtection="1">
      <alignment horizontal="center" vertical="center"/>
      <protection hidden="1"/>
    </xf>
    <xf numFmtId="3" fontId="3" fillId="0" borderId="9" xfId="0" applyNumberFormat="1" applyFont="1" applyBorder="1" applyAlignment="1" applyProtection="1">
      <alignment horizontal="right" vertical="center" indent="1"/>
      <protection hidden="1"/>
    </xf>
    <xf numFmtId="0" fontId="7" fillId="0" borderId="10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3" fillId="0" borderId="10" xfId="0" applyFont="1" applyBorder="1" applyProtection="1">
      <protection hidden="1"/>
    </xf>
    <xf numFmtId="3" fontId="3" fillId="0" borderId="11" xfId="0" applyNumberFormat="1" applyFont="1" applyBorder="1" applyAlignment="1" applyProtection="1">
      <alignment horizontal="right" vertical="center" indent="1"/>
      <protection hidden="1"/>
    </xf>
    <xf numFmtId="1" fontId="0" fillId="0" borderId="12" xfId="0" applyNumberFormat="1" applyBorder="1" applyProtection="1">
      <protection hidden="1"/>
    </xf>
    <xf numFmtId="166" fontId="0" fillId="0" borderId="13" xfId="0" applyNumberFormat="1" applyBorder="1" applyProtection="1">
      <protection hidden="1"/>
    </xf>
    <xf numFmtId="0" fontId="3" fillId="0" borderId="14" xfId="0" applyFont="1" applyBorder="1" applyProtection="1">
      <protection hidden="1"/>
    </xf>
    <xf numFmtId="0" fontId="11" fillId="2" borderId="8" xfId="0" applyFont="1" applyFill="1" applyBorder="1" applyAlignment="1" applyProtection="1">
      <alignment horizontal="center" vertical="center"/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11" fillId="4" borderId="8" xfId="0" applyFont="1" applyFill="1" applyBorder="1" applyAlignment="1" applyProtection="1">
      <alignment horizontal="center" vertical="center"/>
      <protection hidden="1"/>
    </xf>
    <xf numFmtId="0" fontId="7" fillId="0" borderId="15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3" fillId="0" borderId="16" xfId="0" applyFont="1" applyBorder="1" applyProtection="1">
      <protection hidden="1"/>
    </xf>
    <xf numFmtId="0" fontId="10" fillId="0" borderId="1" xfId="0" applyFont="1" applyBorder="1" applyAlignment="1" applyProtection="1">
      <alignment horizontal="left" vertical="center" indent="1"/>
      <protection hidden="1"/>
    </xf>
    <xf numFmtId="0" fontId="0" fillId="5" borderId="17" xfId="0" applyFill="1" applyBorder="1" applyProtection="1">
      <protection locked="0"/>
    </xf>
    <xf numFmtId="0" fontId="3" fillId="0" borderId="9" xfId="0" applyFont="1" applyFill="1" applyBorder="1" applyAlignment="1" applyProtection="1">
      <alignment horizontal="left" vertical="center" indent="2"/>
      <protection hidden="1"/>
    </xf>
    <xf numFmtId="0" fontId="3" fillId="0" borderId="11" xfId="0" applyFont="1" applyFill="1" applyBorder="1" applyAlignment="1" applyProtection="1">
      <alignment horizontal="left" vertical="center" indent="2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Fill="1" applyBorder="1" applyAlignment="1" applyProtection="1">
      <alignment horizontal="right" vertical="center" indent="1"/>
      <protection hidden="1"/>
    </xf>
    <xf numFmtId="3" fontId="2" fillId="0" borderId="11" xfId="0" applyNumberFormat="1" applyFont="1" applyFill="1" applyBorder="1" applyAlignment="1" applyProtection="1">
      <alignment horizontal="right" vertical="center" indent="1"/>
      <protection hidden="1"/>
    </xf>
    <xf numFmtId="3" fontId="2" fillId="0" borderId="8" xfId="0" applyNumberFormat="1" applyFont="1" applyFill="1" applyBorder="1" applyAlignment="1" applyProtection="1">
      <alignment horizontal="right" vertical="center" indent="1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left" vertical="center" indent="1"/>
      <protection hidden="1"/>
    </xf>
    <xf numFmtId="0" fontId="2" fillId="0" borderId="5" xfId="0" applyFont="1" applyFill="1" applyBorder="1" applyAlignment="1" applyProtection="1">
      <alignment horizontal="center" vertical="center"/>
      <protection hidden="1"/>
    </xf>
    <xf numFmtId="1" fontId="0" fillId="0" borderId="13" xfId="0" applyNumberFormat="1" applyBorder="1" applyProtection="1">
      <protection hidden="1"/>
    </xf>
    <xf numFmtId="3" fontId="5" fillId="0" borderId="5" xfId="0" applyNumberFormat="1" applyFont="1" applyFill="1" applyBorder="1" applyAlignment="1" applyProtection="1">
      <alignment horizontal="right" vertical="center"/>
      <protection hidden="1"/>
    </xf>
    <xf numFmtId="3" fontId="5" fillId="0" borderId="6" xfId="0" applyNumberFormat="1" applyFont="1" applyFill="1" applyBorder="1" applyAlignment="1" applyProtection="1">
      <alignment horizontal="right" vertical="center"/>
      <protection hidden="1"/>
    </xf>
    <xf numFmtId="3" fontId="5" fillId="0" borderId="7" xfId="0" applyNumberFormat="1" applyFont="1" applyFill="1" applyBorder="1" applyAlignment="1" applyProtection="1">
      <alignment horizontal="right" vertical="center"/>
      <protection hidden="1"/>
    </xf>
    <xf numFmtId="0" fontId="0" fillId="0" borderId="5" xfId="0" applyFill="1" applyBorder="1" applyAlignment="1" applyProtection="1">
      <alignment horizontal="right"/>
      <protection hidden="1"/>
    </xf>
    <xf numFmtId="0" fontId="0" fillId="0" borderId="6" xfId="0" applyFill="1" applyBorder="1" applyAlignment="1" applyProtection="1">
      <alignment horizontal="right"/>
      <protection hidden="1"/>
    </xf>
    <xf numFmtId="0" fontId="0" fillId="0" borderId="6" xfId="0" applyBorder="1" applyAlignment="1" applyProtection="1">
      <alignment horizontal="right"/>
      <protection hidden="1"/>
    </xf>
    <xf numFmtId="0" fontId="0" fillId="0" borderId="8" xfId="0" applyBorder="1" applyAlignment="1" applyProtection="1">
      <alignment horizontal="right"/>
      <protection hidden="1"/>
    </xf>
    <xf numFmtId="4" fontId="0" fillId="0" borderId="5" xfId="0" applyNumberFormat="1" applyFill="1" applyBorder="1" applyAlignment="1" applyProtection="1">
      <alignment horizontal="right" vertical="center"/>
      <protection hidden="1"/>
    </xf>
    <xf numFmtId="4" fontId="0" fillId="0" borderId="6" xfId="0" applyNumberFormat="1" applyFill="1" applyBorder="1" applyAlignment="1" applyProtection="1">
      <alignment horizontal="right" vertical="center"/>
      <protection hidden="1"/>
    </xf>
    <xf numFmtId="4" fontId="0" fillId="0" borderId="7" xfId="0" applyNumberFormat="1" applyFill="1" applyBorder="1" applyAlignment="1" applyProtection="1">
      <alignment horizontal="right" vertical="center"/>
      <protection hidden="1"/>
    </xf>
    <xf numFmtId="0" fontId="0" fillId="0" borderId="0" xfId="0" applyNumberFormat="1" applyProtection="1">
      <protection hidden="1"/>
    </xf>
    <xf numFmtId="0" fontId="3" fillId="0" borderId="1" xfId="0" applyNumberFormat="1" applyFont="1" applyBorder="1" applyProtection="1">
      <protection hidden="1"/>
    </xf>
    <xf numFmtId="0" fontId="8" fillId="0" borderId="1" xfId="0" applyNumberFormat="1" applyFont="1" applyBorder="1" applyAlignment="1" applyProtection="1">
      <alignment horizontal="left" vertical="center" indent="1"/>
      <protection hidden="1"/>
    </xf>
    <xf numFmtId="0" fontId="3" fillId="0" borderId="0" xfId="0" applyNumberFormat="1" applyFont="1" applyProtection="1">
      <protection hidden="1"/>
    </xf>
    <xf numFmtId="0" fontId="0" fillId="0" borderId="0" xfId="0" applyNumberFormat="1" applyAlignment="1" applyProtection="1">
      <protection hidden="1"/>
    </xf>
    <xf numFmtId="0" fontId="3" fillId="0" borderId="0" xfId="0" applyNumberFormat="1" applyFont="1" applyBorder="1" applyProtection="1">
      <protection hidden="1"/>
    </xf>
    <xf numFmtId="169" fontId="3" fillId="0" borderId="9" xfId="0" applyNumberFormat="1" applyFont="1" applyBorder="1" applyAlignment="1" applyProtection="1">
      <alignment horizontal="right" vertical="center" indent="1"/>
      <protection hidden="1"/>
    </xf>
    <xf numFmtId="169" fontId="3" fillId="0" borderId="11" xfId="0" applyNumberFormat="1" applyFont="1" applyBorder="1" applyAlignment="1" applyProtection="1">
      <alignment horizontal="right" vertical="center" indent="1"/>
      <protection hidden="1"/>
    </xf>
    <xf numFmtId="169" fontId="3" fillId="0" borderId="18" xfId="0" applyNumberFormat="1" applyFont="1" applyBorder="1" applyAlignment="1" applyProtection="1">
      <alignment horizontal="right" vertical="center" indent="1"/>
      <protection hidden="1"/>
    </xf>
    <xf numFmtId="0" fontId="11" fillId="6" borderId="8" xfId="0" applyFont="1" applyFill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left" vertical="center" indent="1"/>
      <protection hidden="1"/>
    </xf>
    <xf numFmtId="166" fontId="5" fillId="5" borderId="5" xfId="0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hidden="1"/>
    </xf>
    <xf numFmtId="0" fontId="14" fillId="0" borderId="1" xfId="0" applyFont="1" applyBorder="1" applyAlignment="1" applyProtection="1">
      <alignment horizontal="left" vertical="center" indent="2"/>
      <protection hidden="1"/>
    </xf>
    <xf numFmtId="166" fontId="15" fillId="0" borderId="1" xfId="0" applyNumberFormat="1" applyFont="1" applyBorder="1" applyAlignment="1" applyProtection="1">
      <alignment horizontal="left" vertical="center" indent="2"/>
      <protection hidden="1"/>
    </xf>
    <xf numFmtId="175" fontId="15" fillId="0" borderId="1" xfId="0" applyNumberFormat="1" applyFont="1" applyBorder="1" applyAlignment="1" applyProtection="1">
      <alignment horizontal="center" vertical="center"/>
      <protection hidden="1"/>
    </xf>
    <xf numFmtId="0" fontId="16" fillId="0" borderId="14" xfId="0" applyFont="1" applyBorder="1" applyAlignment="1" applyProtection="1">
      <alignment horizontal="left" vertical="center" indent="1"/>
      <protection hidden="1"/>
    </xf>
    <xf numFmtId="0" fontId="5" fillId="0" borderId="14" xfId="0" applyFont="1" applyBorder="1" applyAlignment="1" applyProtection="1">
      <alignment horizontal="left" vertical="center" indent="1"/>
      <protection hidden="1"/>
    </xf>
    <xf numFmtId="0" fontId="5" fillId="0" borderId="0" xfId="0" applyFont="1" applyProtection="1">
      <protection hidden="1"/>
    </xf>
    <xf numFmtId="0" fontId="5" fillId="0" borderId="5" xfId="0" applyFont="1" applyBorder="1" applyAlignment="1" applyProtection="1">
      <alignment horizontal="center" vertical="top" wrapText="1"/>
      <protection hidden="1"/>
    </xf>
    <xf numFmtId="0" fontId="5" fillId="0" borderId="7" xfId="0" applyFont="1" applyBorder="1" applyAlignment="1" applyProtection="1">
      <alignment horizontal="center" vertical="top" wrapText="1"/>
      <protection hidden="1"/>
    </xf>
    <xf numFmtId="0" fontId="5" fillId="0" borderId="6" xfId="0" applyFont="1" applyBorder="1" applyAlignment="1" applyProtection="1">
      <alignment horizontal="center" wrapText="1"/>
      <protection hidden="1"/>
    </xf>
    <xf numFmtId="0" fontId="13" fillId="0" borderId="7" xfId="0" applyFont="1" applyBorder="1" applyAlignment="1" applyProtection="1">
      <alignment horizontal="center" wrapText="1"/>
      <protection hidden="1"/>
    </xf>
    <xf numFmtId="0" fontId="15" fillId="0" borderId="9" xfId="0" applyFont="1" applyBorder="1" applyAlignment="1" applyProtection="1">
      <alignment horizontal="left" vertical="center" indent="1"/>
      <protection hidden="1"/>
    </xf>
    <xf numFmtId="172" fontId="15" fillId="0" borderId="9" xfId="0" applyNumberFormat="1" applyFont="1" applyFill="1" applyBorder="1" applyAlignment="1" applyProtection="1">
      <alignment horizontal="right" vertical="center" indent="1"/>
      <protection hidden="1"/>
    </xf>
    <xf numFmtId="172" fontId="17" fillId="0" borderId="16" xfId="0" applyNumberFormat="1" applyFont="1" applyFill="1" applyBorder="1" applyAlignment="1" applyProtection="1">
      <alignment horizontal="center" vertical="center"/>
      <protection hidden="1"/>
    </xf>
    <xf numFmtId="172" fontId="17" fillId="0" borderId="19" xfId="0" applyNumberFormat="1" applyFont="1" applyFill="1" applyBorder="1" applyAlignment="1" applyProtection="1">
      <alignment horizontal="center" vertical="center"/>
      <protection hidden="1"/>
    </xf>
    <xf numFmtId="171" fontId="15" fillId="0" borderId="20" xfId="0" applyNumberFormat="1" applyFont="1" applyFill="1" applyBorder="1" applyAlignment="1" applyProtection="1">
      <alignment horizontal="right" vertical="center" indent="1"/>
      <protection hidden="1"/>
    </xf>
    <xf numFmtId="173" fontId="15" fillId="0" borderId="9" xfId="0" applyNumberFormat="1" applyFont="1" applyFill="1" applyBorder="1" applyAlignment="1" applyProtection="1">
      <alignment horizontal="right" vertical="center" indent="1"/>
      <protection hidden="1"/>
    </xf>
    <xf numFmtId="0" fontId="5" fillId="0" borderId="21" xfId="0" applyFont="1" applyBorder="1" applyAlignment="1" applyProtection="1">
      <alignment vertical="center"/>
      <protection hidden="1"/>
    </xf>
    <xf numFmtId="171" fontId="15" fillId="0" borderId="22" xfId="0" applyNumberFormat="1" applyFont="1" applyFill="1" applyBorder="1" applyAlignment="1" applyProtection="1">
      <alignment horizontal="right" vertical="center" indent="1"/>
      <protection hidden="1"/>
    </xf>
    <xf numFmtId="0" fontId="15" fillId="0" borderId="11" xfId="0" applyFont="1" applyBorder="1" applyAlignment="1" applyProtection="1">
      <alignment horizontal="left" vertical="center" indent="1"/>
      <protection hidden="1"/>
    </xf>
    <xf numFmtId="172" fontId="15" fillId="0" borderId="11" xfId="0" applyNumberFormat="1" applyFont="1" applyFill="1" applyBorder="1" applyAlignment="1" applyProtection="1">
      <alignment horizontal="right" vertical="center" indent="1"/>
      <protection hidden="1"/>
    </xf>
    <xf numFmtId="172" fontId="17" fillId="0" borderId="10" xfId="0" applyNumberFormat="1" applyFont="1" applyFill="1" applyBorder="1" applyAlignment="1" applyProtection="1">
      <alignment horizontal="center" vertical="center"/>
      <protection hidden="1"/>
    </xf>
    <xf numFmtId="173" fontId="15" fillId="0" borderId="11" xfId="0" applyNumberFormat="1" applyFont="1" applyFill="1" applyBorder="1" applyAlignment="1" applyProtection="1">
      <alignment horizontal="right" vertical="center" indent="1"/>
      <protection hidden="1"/>
    </xf>
    <xf numFmtId="0" fontId="5" fillId="0" borderId="23" xfId="0" applyFont="1" applyBorder="1" applyAlignment="1" applyProtection="1">
      <alignment vertical="center"/>
      <protection hidden="1"/>
    </xf>
    <xf numFmtId="0" fontId="15" fillId="0" borderId="18" xfId="0" applyFont="1" applyBorder="1" applyAlignment="1" applyProtection="1">
      <alignment horizontal="left" vertical="center" indent="1"/>
      <protection hidden="1"/>
    </xf>
    <xf numFmtId="0" fontId="16" fillId="0" borderId="24" xfId="0" applyFont="1" applyBorder="1" applyAlignment="1" applyProtection="1">
      <alignment horizontal="left" vertical="center" indent="1"/>
      <protection hidden="1"/>
    </xf>
    <xf numFmtId="172" fontId="16" fillId="0" borderId="8" xfId="0" applyNumberFormat="1" applyFont="1" applyFill="1" applyBorder="1" applyAlignment="1" applyProtection="1">
      <alignment horizontal="right" vertical="center" indent="1"/>
      <protection hidden="1"/>
    </xf>
    <xf numFmtId="172" fontId="17" fillId="0" borderId="24" xfId="0" applyNumberFormat="1" applyFont="1" applyFill="1" applyBorder="1" applyAlignment="1" applyProtection="1">
      <alignment horizontal="center" vertical="center"/>
      <protection hidden="1"/>
    </xf>
    <xf numFmtId="172" fontId="17" fillId="0" borderId="25" xfId="0" applyNumberFormat="1" applyFont="1" applyFill="1" applyBorder="1" applyAlignment="1" applyProtection="1">
      <alignment horizontal="center" vertical="center"/>
      <protection hidden="1"/>
    </xf>
    <xf numFmtId="171" fontId="16" fillId="0" borderId="26" xfId="0" applyNumberFormat="1" applyFont="1" applyFill="1" applyBorder="1" applyAlignment="1" applyProtection="1">
      <alignment horizontal="right" vertical="center" indent="1"/>
      <protection hidden="1"/>
    </xf>
    <xf numFmtId="173" fontId="16" fillId="0" borderId="8" xfId="0" applyNumberFormat="1" applyFont="1" applyFill="1" applyBorder="1" applyAlignment="1" applyProtection="1">
      <alignment horizontal="right" vertical="center" indent="1"/>
      <protection hidden="1"/>
    </xf>
    <xf numFmtId="0" fontId="5" fillId="0" borderId="24" xfId="0" applyFont="1" applyBorder="1" applyAlignment="1" applyProtection="1">
      <alignment vertical="center"/>
      <protection hidden="1"/>
    </xf>
    <xf numFmtId="172" fontId="5" fillId="0" borderId="0" xfId="0" applyNumberFormat="1" applyFont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16" fillId="0" borderId="1" xfId="0" applyFont="1" applyBorder="1" applyAlignment="1" applyProtection="1">
      <alignment horizontal="left" vertical="center" indent="1"/>
      <protection hidden="1"/>
    </xf>
    <xf numFmtId="0" fontId="16" fillId="0" borderId="1" xfId="0" applyFont="1" applyBorder="1" applyAlignment="1" applyProtection="1">
      <alignment vertical="center"/>
      <protection hidden="1"/>
    </xf>
    <xf numFmtId="0" fontId="16" fillId="0" borderId="1" xfId="0" applyFont="1" applyBorder="1" applyAlignment="1" applyProtection="1">
      <alignment horizontal="left" vertical="center" wrapText="1" indent="2"/>
      <protection hidden="1"/>
    </xf>
    <xf numFmtId="0" fontId="19" fillId="0" borderId="2" xfId="0" applyFont="1" applyBorder="1" applyAlignment="1" applyProtection="1">
      <alignment horizontal="left" vertical="center" indent="1"/>
      <protection hidden="1"/>
    </xf>
    <xf numFmtId="0" fontId="5" fillId="0" borderId="27" xfId="0" applyFont="1" applyBorder="1" applyAlignment="1" applyProtection="1">
      <alignment vertical="center"/>
      <protection hidden="1"/>
    </xf>
    <xf numFmtId="0" fontId="5" fillId="0" borderId="17" xfId="0" applyFont="1" applyBorder="1" applyAlignment="1" applyProtection="1">
      <alignment horizontal="right" vertical="center"/>
      <protection hidden="1"/>
    </xf>
    <xf numFmtId="0" fontId="5" fillId="0" borderId="3" xfId="0" applyFont="1" applyBorder="1" applyAlignment="1" applyProtection="1">
      <alignment horizontal="left" vertical="center" indent="2"/>
      <protection hidden="1"/>
    </xf>
    <xf numFmtId="0" fontId="5" fillId="0" borderId="0" xfId="0" applyFont="1" applyBorder="1" applyAlignment="1" applyProtection="1">
      <alignment vertical="center"/>
      <protection hidden="1"/>
    </xf>
    <xf numFmtId="3" fontId="5" fillId="5" borderId="13" xfId="0" applyNumberFormat="1" applyFont="1" applyFill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horizontal="left" vertical="center" indent="2"/>
      <protection hidden="1"/>
    </xf>
    <xf numFmtId="3" fontId="5" fillId="5" borderId="12" xfId="0" applyNumberFormat="1" applyFont="1" applyFill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horizontal="left" vertical="center" indent="1"/>
      <protection hidden="1"/>
    </xf>
    <xf numFmtId="0" fontId="5" fillId="0" borderId="25" xfId="0" applyFont="1" applyBorder="1" applyAlignment="1" applyProtection="1">
      <alignment vertical="center"/>
      <protection hidden="1"/>
    </xf>
    <xf numFmtId="9" fontId="5" fillId="5" borderId="2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Alignment="1" applyProtection="1">
      <alignment vertical="center"/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164" fontId="5" fillId="0" borderId="5" xfId="0" applyNumberFormat="1" applyFont="1" applyBorder="1" applyAlignment="1" applyProtection="1">
      <alignment horizontal="center" vertical="center"/>
      <protection hidden="1"/>
    </xf>
    <xf numFmtId="166" fontId="5" fillId="5" borderId="5" xfId="0" applyNumberFormat="1" applyFont="1" applyFill="1" applyBorder="1" applyAlignment="1" applyProtection="1">
      <alignment horizontal="center" vertical="center"/>
      <protection locked="0"/>
    </xf>
    <xf numFmtId="0" fontId="5" fillId="5" borderId="5" xfId="0" applyFont="1" applyFill="1" applyBorder="1" applyAlignment="1" applyProtection="1">
      <alignment horizontal="center" vertical="center"/>
      <protection locked="0"/>
    </xf>
    <xf numFmtId="3" fontId="5" fillId="5" borderId="5" xfId="0" applyNumberFormat="1" applyFont="1" applyFill="1" applyBorder="1" applyAlignment="1" applyProtection="1">
      <alignment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hidden="1"/>
    </xf>
    <xf numFmtId="166" fontId="5" fillId="5" borderId="6" xfId="0" applyNumberFormat="1" applyFont="1" applyFill="1" applyBorder="1" applyAlignment="1" applyProtection="1">
      <alignment horizontal="center" vertical="center"/>
      <protection locked="0"/>
    </xf>
    <xf numFmtId="0" fontId="5" fillId="5" borderId="6" xfId="0" applyFont="1" applyFill="1" applyBorder="1" applyAlignment="1" applyProtection="1">
      <alignment horizontal="center" vertical="center"/>
      <protection locked="0"/>
    </xf>
    <xf numFmtId="3" fontId="5" fillId="5" borderId="6" xfId="0" applyNumberFormat="1" applyFont="1" applyFill="1" applyBorder="1" applyAlignment="1" applyProtection="1">
      <alignment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hidden="1"/>
    </xf>
    <xf numFmtId="166" fontId="5" fillId="5" borderId="7" xfId="0" applyNumberFormat="1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/>
      <protection locked="0"/>
    </xf>
    <xf numFmtId="3" fontId="5" fillId="5" borderId="7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  <protection hidden="1"/>
    </xf>
    <xf numFmtId="0" fontId="16" fillId="0" borderId="1" xfId="0" applyFont="1" applyFill="1" applyBorder="1" applyAlignment="1" applyProtection="1">
      <alignment horizontal="left" vertical="center" indent="1"/>
      <protection hidden="1"/>
    </xf>
    <xf numFmtId="0" fontId="19" fillId="0" borderId="1" xfId="0" applyFont="1" applyFill="1" applyBorder="1" applyAlignment="1" applyProtection="1">
      <alignment vertical="center"/>
      <protection hidden="1"/>
    </xf>
    <xf numFmtId="0" fontId="19" fillId="0" borderId="1" xfId="0" applyFont="1" applyFill="1" applyBorder="1" applyAlignment="1" applyProtection="1">
      <alignment horizontal="left" vertical="center" wrapText="1" indent="2"/>
      <protection hidden="1"/>
    </xf>
    <xf numFmtId="0" fontId="19" fillId="0" borderId="28" xfId="0" applyFont="1" applyFill="1" applyBorder="1" applyAlignment="1" applyProtection="1">
      <alignment horizontal="left" vertical="center" wrapText="1" indent="2"/>
      <protection hidden="1"/>
    </xf>
    <xf numFmtId="0" fontId="19" fillId="0" borderId="0" xfId="0" applyFont="1" applyFill="1" applyBorder="1" applyAlignment="1" applyProtection="1">
      <alignment horizontal="left" vertical="center" wrapText="1" indent="2"/>
      <protection hidden="1"/>
    </xf>
    <xf numFmtId="0" fontId="19" fillId="0" borderId="14" xfId="0" applyFont="1" applyFill="1" applyBorder="1" applyAlignment="1" applyProtection="1">
      <alignment horizontal="left" vertical="center" indent="1"/>
      <protection hidden="1"/>
    </xf>
    <xf numFmtId="0" fontId="5" fillId="0" borderId="14" xfId="0" applyFont="1" applyFill="1" applyBorder="1" applyAlignment="1" applyProtection="1">
      <alignment vertical="center"/>
      <protection hidden="1"/>
    </xf>
    <xf numFmtId="0" fontId="5" fillId="0" borderId="26" xfId="0" applyFont="1" applyFill="1" applyBorder="1" applyAlignment="1" applyProtection="1">
      <alignment vertical="center"/>
      <protection hidden="1"/>
    </xf>
    <xf numFmtId="0" fontId="5" fillId="0" borderId="24" xfId="0" applyFont="1" applyFill="1" applyBorder="1" applyAlignment="1" applyProtection="1">
      <alignment horizontal="left" vertical="center" indent="1"/>
      <protection hidden="1"/>
    </xf>
    <xf numFmtId="0" fontId="5" fillId="0" borderId="25" xfId="0" applyFont="1" applyFill="1" applyBorder="1" applyAlignment="1" applyProtection="1">
      <alignment vertical="center"/>
      <protection hidden="1"/>
    </xf>
    <xf numFmtId="0" fontId="5" fillId="0" borderId="25" xfId="0" applyFont="1" applyFill="1" applyBorder="1" applyAlignment="1" applyProtection="1">
      <alignment horizontal="left" vertical="center" indent="1"/>
      <protection hidden="1"/>
    </xf>
    <xf numFmtId="174" fontId="5" fillId="0" borderId="5" xfId="0" applyNumberFormat="1" applyFont="1" applyFill="1" applyBorder="1" applyAlignment="1" applyProtection="1">
      <alignment horizontal="center" vertical="center"/>
      <protection hidden="1"/>
    </xf>
    <xf numFmtId="3" fontId="5" fillId="0" borderId="5" xfId="0" applyNumberFormat="1" applyFont="1" applyFill="1" applyBorder="1" applyAlignment="1" applyProtection="1">
      <alignment vertical="center"/>
      <protection hidden="1"/>
    </xf>
    <xf numFmtId="9" fontId="5" fillId="0" borderId="5" xfId="0" applyNumberFormat="1" applyFont="1" applyFill="1" applyBorder="1" applyAlignment="1" applyProtection="1">
      <alignment vertical="center"/>
      <protection hidden="1"/>
    </xf>
    <xf numFmtId="174" fontId="5" fillId="0" borderId="6" xfId="0" applyNumberFormat="1" applyFont="1" applyFill="1" applyBorder="1" applyAlignment="1" applyProtection="1">
      <alignment horizontal="center" vertical="center"/>
      <protection hidden="1"/>
    </xf>
    <xf numFmtId="3" fontId="5" fillId="0" borderId="6" xfId="0" applyNumberFormat="1" applyFont="1" applyFill="1" applyBorder="1" applyAlignment="1" applyProtection="1">
      <alignment vertical="center"/>
      <protection hidden="1"/>
    </xf>
    <xf numFmtId="9" fontId="5" fillId="0" borderId="6" xfId="0" applyNumberFormat="1" applyFont="1" applyFill="1" applyBorder="1" applyAlignment="1" applyProtection="1">
      <alignment vertical="center"/>
      <protection hidden="1"/>
    </xf>
    <xf numFmtId="174" fontId="5" fillId="0" borderId="7" xfId="0" applyNumberFormat="1" applyFont="1" applyFill="1" applyBorder="1" applyAlignment="1" applyProtection="1">
      <alignment horizontal="center" vertical="center"/>
      <protection hidden="1"/>
    </xf>
    <xf numFmtId="3" fontId="5" fillId="0" borderId="7" xfId="0" applyNumberFormat="1" applyFont="1" applyFill="1" applyBorder="1" applyAlignment="1" applyProtection="1">
      <alignment vertical="center"/>
      <protection hidden="1"/>
    </xf>
    <xf numFmtId="9" fontId="5" fillId="0" borderId="7" xfId="0" applyNumberFormat="1" applyFont="1" applyFill="1" applyBorder="1" applyAlignment="1" applyProtection="1">
      <alignment vertical="center"/>
      <protection hidden="1"/>
    </xf>
    <xf numFmtId="0" fontId="5" fillId="0" borderId="26" xfId="0" applyFont="1" applyFill="1" applyBorder="1" applyAlignment="1" applyProtection="1">
      <alignment horizontal="left" vertical="center" indent="1"/>
      <protection hidden="1"/>
    </xf>
    <xf numFmtId="0" fontId="5" fillId="0" borderId="2" xfId="0" applyFont="1" applyFill="1" applyBorder="1" applyAlignment="1" applyProtection="1">
      <alignment horizontal="center" vertical="center" wrapText="1"/>
      <protection hidden="1"/>
    </xf>
    <xf numFmtId="0" fontId="5" fillId="0" borderId="5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Fill="1" applyBorder="1" applyAlignment="1" applyProtection="1">
      <alignment horizontal="center" wrapText="1"/>
      <protection hidden="1"/>
    </xf>
    <xf numFmtId="0" fontId="5" fillId="0" borderId="4" xfId="0" applyFont="1" applyFill="1" applyBorder="1" applyAlignment="1" applyProtection="1">
      <alignment horizontal="center" vertical="center" wrapText="1"/>
      <protection hidden="1"/>
    </xf>
    <xf numFmtId="0" fontId="5" fillId="0" borderId="7" xfId="0" applyFont="1" applyFill="1" applyBorder="1" applyAlignment="1" applyProtection="1">
      <alignment horizontal="center" vertical="center" wrapText="1"/>
      <protection hidden="1"/>
    </xf>
    <xf numFmtId="0" fontId="5" fillId="0" borderId="9" xfId="0" applyFont="1" applyFill="1" applyBorder="1" applyAlignment="1" applyProtection="1">
      <alignment horizontal="left" vertical="center" indent="1"/>
      <protection hidden="1"/>
    </xf>
    <xf numFmtId="172" fontId="5" fillId="0" borderId="9" xfId="0" applyNumberFormat="1" applyFont="1" applyFill="1" applyBorder="1" applyAlignment="1" applyProtection="1">
      <alignment horizontal="right" vertical="center" indent="1"/>
      <protection hidden="1"/>
    </xf>
    <xf numFmtId="171" fontId="5" fillId="0" borderId="9" xfId="0" applyNumberFormat="1" applyFont="1" applyFill="1" applyBorder="1" applyAlignment="1" applyProtection="1">
      <alignment horizontal="right" vertical="center" indent="1"/>
      <protection hidden="1"/>
    </xf>
    <xf numFmtId="0" fontId="5" fillId="0" borderId="11" xfId="0" applyFont="1" applyFill="1" applyBorder="1" applyAlignment="1" applyProtection="1">
      <alignment horizontal="left" vertical="center" indent="1"/>
      <protection hidden="1"/>
    </xf>
    <xf numFmtId="172" fontId="5" fillId="0" borderId="11" xfId="0" applyNumberFormat="1" applyFont="1" applyFill="1" applyBorder="1" applyAlignment="1" applyProtection="1">
      <alignment horizontal="right" vertical="center" indent="1"/>
      <protection hidden="1"/>
    </xf>
    <xf numFmtId="171" fontId="5" fillId="0" borderId="11" xfId="0" applyNumberFormat="1" applyFont="1" applyFill="1" applyBorder="1" applyAlignment="1" applyProtection="1">
      <alignment horizontal="right" vertical="center" indent="1"/>
      <protection hidden="1"/>
    </xf>
    <xf numFmtId="0" fontId="5" fillId="0" borderId="18" xfId="0" applyFont="1" applyFill="1" applyBorder="1" applyAlignment="1" applyProtection="1">
      <alignment horizontal="left" vertical="center" indent="1"/>
      <protection hidden="1"/>
    </xf>
    <xf numFmtId="172" fontId="5" fillId="0" borderId="18" xfId="0" applyNumberFormat="1" applyFont="1" applyFill="1" applyBorder="1" applyAlignment="1" applyProtection="1">
      <alignment horizontal="right" vertical="center" indent="1"/>
      <protection hidden="1"/>
    </xf>
    <xf numFmtId="171" fontId="5" fillId="0" borderId="18" xfId="0" applyNumberFormat="1" applyFont="1" applyFill="1" applyBorder="1" applyAlignment="1" applyProtection="1">
      <alignment horizontal="right" vertical="center" indent="1"/>
      <protection hidden="1"/>
    </xf>
    <xf numFmtId="0" fontId="19" fillId="0" borderId="24" xfId="0" applyFont="1" applyFill="1" applyBorder="1" applyAlignment="1" applyProtection="1">
      <alignment horizontal="left" vertical="center" indent="1"/>
      <protection hidden="1"/>
    </xf>
    <xf numFmtId="172" fontId="19" fillId="0" borderId="8" xfId="0" applyNumberFormat="1" applyFont="1" applyFill="1" applyBorder="1" applyAlignment="1" applyProtection="1">
      <alignment horizontal="right" vertical="center" indent="1"/>
      <protection hidden="1"/>
    </xf>
    <xf numFmtId="171" fontId="19" fillId="0" borderId="8" xfId="0" applyNumberFormat="1" applyFont="1" applyFill="1" applyBorder="1" applyAlignment="1" applyProtection="1">
      <alignment horizontal="right" vertical="center" indent="1"/>
      <protection hidden="1"/>
    </xf>
    <xf numFmtId="9" fontId="3" fillId="0" borderId="9" xfId="0" applyNumberFormat="1" applyFont="1" applyFill="1" applyBorder="1" applyProtection="1">
      <protection hidden="1"/>
    </xf>
    <xf numFmtId="9" fontId="3" fillId="0" borderId="11" xfId="0" applyNumberFormat="1" applyFont="1" applyFill="1" applyBorder="1" applyProtection="1">
      <protection hidden="1"/>
    </xf>
    <xf numFmtId="9" fontId="3" fillId="0" borderId="29" xfId="0" applyNumberFormat="1" applyFont="1" applyFill="1" applyBorder="1" applyProtection="1">
      <protection hidden="1"/>
    </xf>
    <xf numFmtId="9" fontId="2" fillId="0" borderId="8" xfId="0" applyNumberFormat="1" applyFont="1" applyFill="1" applyBorder="1" applyProtection="1">
      <protection hidden="1"/>
    </xf>
    <xf numFmtId="9" fontId="3" fillId="0" borderId="18" xfId="0" applyNumberFormat="1" applyFont="1" applyFill="1" applyBorder="1" applyProtection="1">
      <protection hidden="1"/>
    </xf>
    <xf numFmtId="164" fontId="5" fillId="0" borderId="9" xfId="0" applyNumberFormat="1" applyFont="1" applyFill="1" applyBorder="1" applyAlignment="1" applyProtection="1">
      <alignment horizontal="center" vertical="center"/>
      <protection hidden="1"/>
    </xf>
    <xf numFmtId="3" fontId="5" fillId="0" borderId="9" xfId="0" applyNumberFormat="1" applyFont="1" applyFill="1" applyBorder="1" applyAlignment="1" applyProtection="1">
      <alignment vertical="center"/>
      <protection hidden="1"/>
    </xf>
    <xf numFmtId="0" fontId="5" fillId="0" borderId="9" xfId="0" applyFont="1" applyFill="1" applyBorder="1" applyAlignment="1" applyProtection="1">
      <alignment vertical="center"/>
      <protection hidden="1"/>
    </xf>
    <xf numFmtId="164" fontId="5" fillId="0" borderId="11" xfId="0" applyNumberFormat="1" applyFont="1" applyFill="1" applyBorder="1" applyAlignment="1" applyProtection="1">
      <alignment horizontal="center" vertical="center"/>
      <protection hidden="1"/>
    </xf>
    <xf numFmtId="3" fontId="5" fillId="0" borderId="11" xfId="0" applyNumberFormat="1" applyFont="1" applyFill="1" applyBorder="1" applyAlignment="1" applyProtection="1">
      <alignment vertical="center"/>
      <protection hidden="1"/>
    </xf>
    <xf numFmtId="164" fontId="5" fillId="0" borderId="18" xfId="0" applyNumberFormat="1" applyFont="1" applyFill="1" applyBorder="1" applyAlignment="1" applyProtection="1">
      <alignment horizontal="center" vertical="center"/>
      <protection hidden="1"/>
    </xf>
    <xf numFmtId="3" fontId="5" fillId="0" borderId="18" xfId="0" applyNumberFormat="1" applyFont="1" applyFill="1" applyBorder="1" applyAlignment="1" applyProtection="1">
      <alignment vertical="center"/>
      <protection hidden="1"/>
    </xf>
    <xf numFmtId="0" fontId="0" fillId="5" borderId="5" xfId="0" applyNumberFormat="1" applyFill="1" applyBorder="1" applyAlignment="1" applyProtection="1">
      <alignment horizontal="left"/>
      <protection locked="0"/>
    </xf>
    <xf numFmtId="0" fontId="0" fillId="5" borderId="5" xfId="0" applyNumberFormat="1" applyFill="1" applyBorder="1" applyAlignment="1" applyProtection="1">
      <protection locked="0"/>
    </xf>
    <xf numFmtId="14" fontId="0" fillId="5" borderId="5" xfId="0" applyNumberFormat="1" applyFill="1" applyBorder="1" applyAlignment="1" applyProtection="1">
      <protection locked="0"/>
    </xf>
    <xf numFmtId="0" fontId="0" fillId="5" borderId="6" xfId="0" applyNumberFormat="1" applyFill="1" applyBorder="1" applyAlignment="1" applyProtection="1">
      <alignment horizontal="left"/>
      <protection locked="0"/>
    </xf>
    <xf numFmtId="0" fontId="0" fillId="5" borderId="6" xfId="0" applyNumberFormat="1" applyFill="1" applyBorder="1" applyAlignment="1" applyProtection="1">
      <protection locked="0"/>
    </xf>
    <xf numFmtId="14" fontId="0" fillId="5" borderId="6" xfId="0" applyNumberFormat="1" applyFill="1" applyBorder="1" applyAlignment="1" applyProtection="1">
      <protection locked="0"/>
    </xf>
    <xf numFmtId="0" fontId="0" fillId="5" borderId="7" xfId="0" applyNumberFormat="1" applyFill="1" applyBorder="1" applyAlignment="1" applyProtection="1">
      <alignment horizontal="left"/>
      <protection locked="0"/>
    </xf>
    <xf numFmtId="0" fontId="0" fillId="5" borderId="7" xfId="0" applyNumberFormat="1" applyFill="1" applyBorder="1" applyAlignment="1" applyProtection="1">
      <protection locked="0"/>
    </xf>
    <xf numFmtId="14" fontId="0" fillId="5" borderId="7" xfId="0" applyNumberFormat="1" applyFill="1" applyBorder="1" applyAlignment="1" applyProtection="1">
      <protection locked="0"/>
    </xf>
    <xf numFmtId="0" fontId="0" fillId="0" borderId="0" xfId="0" applyProtection="1"/>
    <xf numFmtId="0" fontId="5" fillId="0" borderId="0" xfId="0" applyFont="1" applyAlignment="1" applyProtection="1">
      <alignment vertical="center"/>
    </xf>
    <xf numFmtId="0" fontId="14" fillId="0" borderId="1" xfId="0" applyFont="1" applyBorder="1" applyAlignment="1" applyProtection="1">
      <alignment horizontal="left" vertical="center" indent="2"/>
    </xf>
    <xf numFmtId="0" fontId="16" fillId="0" borderId="14" xfId="0" applyFont="1" applyBorder="1" applyAlignment="1" applyProtection="1">
      <alignment horizontal="left" vertical="center" indent="1"/>
    </xf>
    <xf numFmtId="0" fontId="5" fillId="0" borderId="14" xfId="0" applyFont="1" applyBorder="1" applyAlignment="1" applyProtection="1">
      <alignment horizontal="left" vertical="center" indent="1"/>
    </xf>
    <xf numFmtId="0" fontId="5" fillId="0" borderId="0" xfId="0" applyFont="1" applyAlignment="1" applyProtection="1">
      <alignment horizontal="center" vertical="top" wrapText="1"/>
    </xf>
    <xf numFmtId="3" fontId="20" fillId="0" borderId="0" xfId="0" quotePrefix="1" applyNumberFormat="1" applyFont="1" applyAlignment="1" applyProtection="1">
      <alignment horizontal="center" vertical="center"/>
    </xf>
    <xf numFmtId="0" fontId="21" fillId="0" borderId="0" xfId="0" applyFont="1" applyAlignment="1" applyProtection="1">
      <alignment horizontal="center" vertical="center"/>
    </xf>
    <xf numFmtId="171" fontId="15" fillId="0" borderId="0" xfId="0" applyNumberFormat="1" applyFont="1" applyAlignment="1" applyProtection="1">
      <alignment horizontal="center" vertical="center"/>
    </xf>
    <xf numFmtId="0" fontId="5" fillId="0" borderId="0" xfId="0" applyFont="1" applyProtection="1"/>
    <xf numFmtId="3" fontId="21" fillId="0" borderId="0" xfId="0" applyNumberFormat="1" applyFont="1" applyAlignment="1" applyProtection="1">
      <alignment horizontal="left" vertical="center"/>
    </xf>
    <xf numFmtId="3" fontId="5" fillId="0" borderId="10" xfId="0" applyNumberFormat="1" applyFont="1" applyBorder="1" applyAlignment="1" applyProtection="1">
      <alignment horizontal="right" vertical="center" wrapText="1"/>
    </xf>
    <xf numFmtId="0" fontId="5" fillId="0" borderId="10" xfId="0" applyFont="1" applyBorder="1" applyAlignment="1" applyProtection="1">
      <alignment vertical="center"/>
    </xf>
    <xf numFmtId="3" fontId="21" fillId="0" borderId="10" xfId="0" applyNumberFormat="1" applyFont="1" applyBorder="1" applyAlignment="1" applyProtection="1">
      <alignment horizontal="right" vertical="center"/>
    </xf>
    <xf numFmtId="3" fontId="5" fillId="5" borderId="5" xfId="0" applyNumberFormat="1" applyFont="1" applyFill="1" applyBorder="1" applyAlignment="1" applyProtection="1">
      <alignment horizontal="center" vertical="center"/>
      <protection locked="0"/>
    </xf>
    <xf numFmtId="0" fontId="5" fillId="5" borderId="5" xfId="0" applyFont="1" applyFill="1" applyBorder="1" applyAlignment="1" applyProtection="1">
      <alignment horizontal="left" vertical="center"/>
      <protection locked="0"/>
    </xf>
    <xf numFmtId="3" fontId="5" fillId="5" borderId="6" xfId="0" applyNumberFormat="1" applyFont="1" applyFill="1" applyBorder="1" applyAlignment="1" applyProtection="1">
      <alignment horizontal="center" vertical="center"/>
      <protection locked="0"/>
    </xf>
    <xf numFmtId="0" fontId="5" fillId="5" borderId="6" xfId="0" applyFont="1" applyFill="1" applyBorder="1" applyAlignment="1" applyProtection="1">
      <alignment horizontal="left" vertical="center"/>
      <protection locked="0"/>
    </xf>
    <xf numFmtId="166" fontId="5" fillId="5" borderId="6" xfId="0" applyNumberFormat="1" applyFont="1" applyFill="1" applyBorder="1" applyAlignment="1" applyProtection="1">
      <alignment vertical="center"/>
      <protection locked="0"/>
    </xf>
    <xf numFmtId="3" fontId="5" fillId="5" borderId="7" xfId="0" applyNumberFormat="1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left" vertical="center"/>
      <protection locked="0"/>
    </xf>
    <xf numFmtId="166" fontId="5" fillId="5" borderId="7" xfId="0" applyNumberFormat="1" applyFont="1" applyFill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horizontal="left" vertical="center" indent="1"/>
      <protection hidden="1"/>
    </xf>
    <xf numFmtId="0" fontId="5" fillId="0" borderId="3" xfId="0" applyFont="1" applyBorder="1" applyAlignment="1" applyProtection="1">
      <alignment horizontal="left" vertical="center" indent="1"/>
      <protection hidden="1"/>
    </xf>
    <xf numFmtId="0" fontId="5" fillId="0" borderId="27" xfId="0" applyFont="1" applyFill="1" applyBorder="1" applyAlignment="1" applyProtection="1">
      <alignment vertical="center"/>
      <protection hidden="1"/>
    </xf>
    <xf numFmtId="0" fontId="19" fillId="0" borderId="6" xfId="0" applyFont="1" applyFill="1" applyBorder="1" applyAlignment="1" applyProtection="1">
      <alignment horizontal="left" vertical="center" wrapText="1" indent="2"/>
      <protection hidden="1"/>
    </xf>
    <xf numFmtId="168" fontId="5" fillId="0" borderId="5" xfId="0" applyNumberFormat="1" applyFont="1" applyFill="1" applyBorder="1" applyAlignment="1" applyProtection="1">
      <alignment horizontal="center" vertical="center"/>
      <protection hidden="1"/>
    </xf>
    <xf numFmtId="165" fontId="5" fillId="0" borderId="5" xfId="0" applyNumberFormat="1" applyFont="1" applyFill="1" applyBorder="1" applyAlignment="1" applyProtection="1">
      <alignment horizontal="center" vertical="center"/>
      <protection hidden="1"/>
    </xf>
    <xf numFmtId="168" fontId="5" fillId="0" borderId="6" xfId="0" applyNumberFormat="1" applyFont="1" applyFill="1" applyBorder="1" applyAlignment="1" applyProtection="1">
      <alignment horizontal="center" vertical="center"/>
      <protection hidden="1"/>
    </xf>
    <xf numFmtId="165" fontId="5" fillId="0" borderId="6" xfId="0" applyNumberFormat="1" applyFont="1" applyFill="1" applyBorder="1" applyAlignment="1" applyProtection="1">
      <alignment horizontal="center" vertical="center"/>
      <protection hidden="1"/>
    </xf>
    <xf numFmtId="168" fontId="5" fillId="0" borderId="7" xfId="0" applyNumberFormat="1" applyFont="1" applyFill="1" applyBorder="1" applyAlignment="1" applyProtection="1">
      <alignment horizontal="center" vertical="center"/>
      <protection hidden="1"/>
    </xf>
    <xf numFmtId="165" fontId="5" fillId="0" borderId="7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171" fontId="5" fillId="0" borderId="0" xfId="0" applyNumberFormat="1" applyFont="1" applyFill="1" applyBorder="1" applyAlignment="1" applyProtection="1">
      <alignment vertical="center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top" wrapText="1"/>
      <protection hidden="1"/>
    </xf>
    <xf numFmtId="0" fontId="5" fillId="0" borderId="5" xfId="0" applyFont="1" applyFill="1" applyBorder="1" applyAlignment="1" applyProtection="1">
      <alignment horizontal="left" vertical="center" indent="1"/>
    </xf>
    <xf numFmtId="3" fontId="5" fillId="0" borderId="5" xfId="0" applyNumberFormat="1" applyFont="1" applyFill="1" applyBorder="1" applyAlignment="1" applyProtection="1">
      <alignment vertical="center"/>
    </xf>
    <xf numFmtId="0" fontId="5" fillId="0" borderId="7" xfId="0" applyFont="1" applyFill="1" applyBorder="1" applyAlignment="1" applyProtection="1">
      <alignment horizontal="left" vertical="center" indent="1"/>
    </xf>
    <xf numFmtId="3" fontId="5" fillId="0" borderId="7" xfId="0" applyNumberFormat="1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left" indent="1"/>
    </xf>
    <xf numFmtId="3" fontId="5" fillId="0" borderId="5" xfId="0" applyNumberFormat="1" applyFont="1" applyFill="1" applyBorder="1" applyProtection="1"/>
    <xf numFmtId="0" fontId="5" fillId="0" borderId="5" xfId="0" applyFont="1" applyFill="1" applyBorder="1" applyProtection="1"/>
    <xf numFmtId="0" fontId="5" fillId="0" borderId="6" xfId="0" applyFont="1" applyFill="1" applyBorder="1" applyAlignment="1" applyProtection="1">
      <alignment horizontal="left" indent="1"/>
    </xf>
    <xf numFmtId="3" fontId="5" fillId="0" borderId="6" xfId="0" applyNumberFormat="1" applyFont="1" applyFill="1" applyBorder="1" applyProtection="1"/>
    <xf numFmtId="0" fontId="5" fillId="0" borderId="6" xfId="0" applyFont="1" applyFill="1" applyBorder="1" applyProtection="1"/>
    <xf numFmtId="0" fontId="5" fillId="0" borderId="7" xfId="0" applyFont="1" applyFill="1" applyBorder="1" applyAlignment="1" applyProtection="1">
      <alignment horizontal="left" indent="1"/>
    </xf>
    <xf numFmtId="3" fontId="5" fillId="0" borderId="7" xfId="0" applyNumberFormat="1" applyFont="1" applyFill="1" applyBorder="1" applyProtection="1"/>
    <xf numFmtId="0" fontId="5" fillId="0" borderId="7" xfId="0" applyFont="1" applyFill="1" applyBorder="1" applyProtection="1"/>
    <xf numFmtId="0" fontId="3" fillId="0" borderId="5" xfId="0" applyNumberFormat="1" applyFont="1" applyBorder="1" applyAlignment="1" applyProtection="1">
      <protection hidden="1"/>
    </xf>
    <xf numFmtId="0" fontId="3" fillId="0" borderId="5" xfId="0" applyNumberFormat="1" applyFont="1" applyBorder="1" applyAlignment="1" applyProtection="1">
      <alignment horizontal="center"/>
      <protection hidden="1"/>
    </xf>
    <xf numFmtId="0" fontId="5" fillId="0" borderId="17" xfId="0" applyNumberFormat="1" applyFont="1" applyFill="1" applyBorder="1" applyAlignment="1" applyProtection="1">
      <alignment horizontal="right" vertical="center"/>
      <protection hidden="1"/>
    </xf>
    <xf numFmtId="0" fontId="5" fillId="0" borderId="4" xfId="0" applyFont="1" applyFill="1" applyBorder="1" applyAlignment="1" applyProtection="1">
      <alignment horizontal="left" vertical="center" indent="1"/>
      <protection hidden="1"/>
    </xf>
    <xf numFmtId="0" fontId="5" fillId="0" borderId="12" xfId="0" applyFont="1" applyFill="1" applyBorder="1" applyAlignment="1" applyProtection="1">
      <alignment horizontal="right" vertical="center"/>
      <protection hidden="1"/>
    </xf>
    <xf numFmtId="0" fontId="9" fillId="0" borderId="1" xfId="0" applyFont="1" applyBorder="1" applyProtection="1">
      <protection hidden="1"/>
    </xf>
    <xf numFmtId="167" fontId="9" fillId="0" borderId="1" xfId="0" applyNumberFormat="1" applyFont="1" applyBorder="1" applyAlignment="1" applyProtection="1">
      <alignment horizontal="center" vertical="center"/>
      <protection hidden="1"/>
    </xf>
    <xf numFmtId="0" fontId="22" fillId="0" borderId="1" xfId="0" applyFont="1" applyBorder="1" applyAlignment="1" applyProtection="1">
      <alignment horizontal="right" vertical="center"/>
      <protection hidden="1"/>
    </xf>
    <xf numFmtId="170" fontId="22" fillId="0" borderId="1" xfId="0" applyNumberFormat="1" applyFont="1" applyBorder="1" applyAlignment="1" applyProtection="1">
      <alignment vertical="center"/>
      <protection hidden="1"/>
    </xf>
    <xf numFmtId="0" fontId="22" fillId="0" borderId="1" xfId="0" applyFont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left" vertical="center" indent="2"/>
      <protection hidden="1"/>
    </xf>
    <xf numFmtId="0" fontId="5" fillId="0" borderId="13" xfId="0" applyNumberFormat="1" applyFont="1" applyFill="1" applyBorder="1" applyAlignment="1" applyProtection="1">
      <alignment horizontal="right" vertical="center"/>
      <protection hidden="1"/>
    </xf>
    <xf numFmtId="0" fontId="8" fillId="0" borderId="14" xfId="0" applyFont="1" applyBorder="1" applyAlignment="1" applyProtection="1">
      <alignment horizontal="left" vertical="center" indent="1"/>
      <protection hidden="1"/>
    </xf>
    <xf numFmtId="0" fontId="0" fillId="0" borderId="24" xfId="0" applyBorder="1" applyProtection="1">
      <protection hidden="1"/>
    </xf>
    <xf numFmtId="9" fontId="0" fillId="0" borderId="26" xfId="1" applyFont="1" applyBorder="1"/>
    <xf numFmtId="0" fontId="0" fillId="0" borderId="3" xfId="0" applyBorder="1"/>
    <xf numFmtId="0" fontId="0" fillId="0" borderId="13" xfId="0" applyBorder="1"/>
    <xf numFmtId="0" fontId="0" fillId="0" borderId="4" xfId="0" applyBorder="1"/>
    <xf numFmtId="0" fontId="0" fillId="0" borderId="12" xfId="0" applyBorder="1"/>
    <xf numFmtId="0" fontId="0" fillId="0" borderId="24" xfId="0" applyBorder="1"/>
    <xf numFmtId="0" fontId="0" fillId="0" borderId="26" xfId="0" applyBorder="1"/>
    <xf numFmtId="0" fontId="5" fillId="0" borderId="3" xfId="0" applyFont="1" applyFill="1" applyBorder="1" applyAlignment="1" applyProtection="1">
      <alignment horizontal="left" vertical="center" indent="1"/>
      <protection hidden="1"/>
    </xf>
    <xf numFmtId="0" fontId="5" fillId="0" borderId="13" xfId="0" applyFont="1" applyFill="1" applyBorder="1" applyAlignment="1" applyProtection="1">
      <alignment horizontal="right" vertical="center"/>
      <protection hidden="1"/>
    </xf>
    <xf numFmtId="0" fontId="3" fillId="0" borderId="15" xfId="0" applyFont="1" applyFill="1" applyBorder="1" applyAlignment="1" applyProtection="1">
      <alignment horizontal="left" vertical="center" indent="1"/>
      <protection hidden="1"/>
    </xf>
    <xf numFmtId="0" fontId="3" fillId="0" borderId="16" xfId="0" applyFont="1" applyFill="1" applyBorder="1" applyAlignment="1" applyProtection="1">
      <alignment horizontal="left" vertical="center" indent="1"/>
      <protection hidden="1"/>
    </xf>
    <xf numFmtId="0" fontId="3" fillId="0" borderId="30" xfId="0" applyFont="1" applyFill="1" applyBorder="1" applyAlignment="1" applyProtection="1">
      <alignment horizontal="left" vertical="center" indent="1"/>
      <protection hidden="1"/>
    </xf>
    <xf numFmtId="0" fontId="3" fillId="0" borderId="23" xfId="0" applyFont="1" applyFill="1" applyBorder="1" applyAlignment="1" applyProtection="1">
      <alignment horizontal="left" vertical="center" indent="1"/>
      <protection hidden="1"/>
    </xf>
    <xf numFmtId="0" fontId="3" fillId="0" borderId="10" xfId="0" applyFont="1" applyFill="1" applyBorder="1" applyAlignment="1" applyProtection="1">
      <alignment horizontal="left" vertical="center" indent="1"/>
      <protection hidden="1"/>
    </xf>
    <xf numFmtId="0" fontId="3" fillId="0" borderId="20" xfId="0" applyFont="1" applyFill="1" applyBorder="1" applyAlignment="1" applyProtection="1">
      <alignment horizontal="left" vertical="center" indent="1"/>
      <protection hidden="1"/>
    </xf>
    <xf numFmtId="0" fontId="3" fillId="0" borderId="31" xfId="0" applyFont="1" applyFill="1" applyBorder="1" applyAlignment="1" applyProtection="1">
      <alignment horizontal="left" vertical="center" indent="1"/>
      <protection hidden="1"/>
    </xf>
    <xf numFmtId="0" fontId="3" fillId="0" borderId="32" xfId="0" applyFont="1" applyFill="1" applyBorder="1" applyAlignment="1" applyProtection="1">
      <alignment horizontal="left" vertical="center" indent="1"/>
      <protection hidden="1"/>
    </xf>
    <xf numFmtId="0" fontId="3" fillId="0" borderId="33" xfId="0" applyFont="1" applyFill="1" applyBorder="1" applyAlignment="1" applyProtection="1">
      <alignment horizontal="left" vertical="center" indent="1"/>
      <protection hidden="1"/>
    </xf>
    <xf numFmtId="0" fontId="12" fillId="0" borderId="16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5" fillId="0" borderId="2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5" fillId="0" borderId="12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5" fillId="0" borderId="14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horizontal="center" vertical="top" wrapText="1"/>
      <protection hidden="1"/>
    </xf>
    <xf numFmtId="0" fontId="5" fillId="0" borderId="7" xfId="0" applyFont="1" applyBorder="1" applyAlignment="1" applyProtection="1">
      <alignment horizontal="center" vertical="top" wrapText="1"/>
      <protection hidden="1"/>
    </xf>
    <xf numFmtId="0" fontId="5" fillId="0" borderId="2" xfId="0" applyFont="1" applyBorder="1" applyAlignment="1" applyProtection="1">
      <alignment horizontal="center" vertical="top" wrapText="1"/>
      <protection hidden="1"/>
    </xf>
    <xf numFmtId="0" fontId="5" fillId="0" borderId="27" xfId="0" applyFont="1" applyBorder="1" applyAlignment="1" applyProtection="1">
      <alignment horizontal="center" vertical="top" wrapText="1"/>
      <protection hidden="1"/>
    </xf>
    <xf numFmtId="0" fontId="5" fillId="0" borderId="17" xfId="0" applyFont="1" applyBorder="1" applyAlignment="1" applyProtection="1">
      <alignment horizontal="center" vertical="top" wrapText="1"/>
      <protection hidden="1"/>
    </xf>
    <xf numFmtId="166" fontId="15" fillId="0" borderId="1" xfId="0" applyNumberFormat="1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5" fillId="0" borderId="5" xfId="0" applyFont="1" applyFill="1" applyBorder="1" applyAlignment="1" applyProtection="1">
      <alignment horizontal="center" vertical="top" wrapText="1"/>
      <protection hidden="1"/>
    </xf>
    <xf numFmtId="0" fontId="5" fillId="0" borderId="7" xfId="0" applyFont="1" applyFill="1" applyBorder="1" applyAlignment="1" applyProtection="1">
      <alignment horizontal="center" vertical="top" wrapText="1"/>
      <protection hidden="1"/>
    </xf>
    <xf numFmtId="0" fontId="5" fillId="0" borderId="2" xfId="0" applyFont="1" applyFill="1" applyBorder="1" applyAlignment="1" applyProtection="1">
      <alignment horizontal="center" vertical="top" wrapText="1"/>
      <protection hidden="1"/>
    </xf>
    <xf numFmtId="0" fontId="5" fillId="0" borderId="27" xfId="0" applyFont="1" applyFill="1" applyBorder="1" applyAlignment="1" applyProtection="1">
      <alignment horizontal="center" vertical="top" wrapText="1"/>
      <protection hidden="1"/>
    </xf>
    <xf numFmtId="0" fontId="5" fillId="0" borderId="17" xfId="0" applyFont="1" applyFill="1" applyBorder="1" applyAlignment="1" applyProtection="1">
      <alignment horizontal="center" vertical="top" wrapText="1"/>
      <protection hidden="1"/>
    </xf>
  </cellXfs>
  <cellStyles count="2">
    <cellStyle name="Normal" xfId="0" builtinId="0"/>
    <cellStyle name="Percent" xfId="1" builtinId="5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14749"/>
      <rgbColor rgb="00008000"/>
      <rgbColor rgb="00CBCCCD"/>
      <rgbColor rgb="00808000"/>
      <rgbColor rgb="00800080"/>
      <rgbColor rgb="00008080"/>
      <rgbColor rgb="00C0C0C0"/>
      <rgbColor rgb="00808080"/>
      <rgbColor rgb="00FFCC00"/>
      <rgbColor rgb="00414B52"/>
      <rgbColor rgb="009D272A"/>
      <rgbColor rgb="00CBCCCD"/>
      <rgbColor rgb="0096999A"/>
      <rgbColor rgb="006B7072"/>
      <rgbColor rgb="00414749"/>
      <rgbColor rgb="00E2001A"/>
      <rgbColor rgb="00FFCC00"/>
      <rgbColor rgb="00414B52"/>
      <rgbColor rgb="009D272A"/>
      <rgbColor rgb="00CBCCCD"/>
      <rgbColor rgb="0096999A"/>
      <rgbColor rgb="006B7072"/>
      <rgbColor rgb="00008080"/>
      <rgbColor rgb="000000FF"/>
      <rgbColor rgb="0000CCFF"/>
      <rgbColor rgb="00CCFFFF"/>
      <rgbColor rgb="00CCFFCC"/>
      <rgbColor rgb="00FFFF99"/>
      <rgbColor rgb="0099CCFF"/>
      <rgbColor rgb="00F8F8F8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C10330"/>
      <rgbColor rgb="00339966"/>
      <rgbColor rgb="00E2001A"/>
      <rgbColor rgb="00414B52"/>
      <rgbColor rgb="00FFCC00"/>
      <rgbColor rgb="00993366"/>
      <rgbColor rgb="0096999A"/>
      <rgbColor rgb="006B707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850768023239289E-2"/>
          <c:y val="5.905511811023622E-2"/>
          <c:w val="0.90597080950531239"/>
          <c:h val="0.70866141732283461"/>
        </c:manualLayout>
      </c:layout>
      <c:areaChart>
        <c:grouping val="standard"/>
        <c:varyColors val="0"/>
        <c:ser>
          <c:idx val="0"/>
          <c:order val="0"/>
          <c:tx>
            <c:strRef>
              <c:f>'Control Defects'!$H$10</c:f>
              <c:strCache>
                <c:ptCount val="1"/>
                <c:pt idx="0">
                  <c:v>Assigned cumulated</c:v>
                </c:pt>
              </c:strCache>
            </c:strRef>
          </c:tx>
          <c:spPr>
            <a:solidFill>
              <a:srgbClr val="C1033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Defects'!$H$11:$H$28</c:f>
              <c:numCache>
                <c:formatCode>#,##0</c:formatCode>
                <c:ptCount val="18"/>
                <c:pt idx="0">
                  <c:v>86</c:v>
                </c:pt>
                <c:pt idx="1">
                  <c:v>91</c:v>
                </c:pt>
                <c:pt idx="2">
                  <c:v>102</c:v>
                </c:pt>
                <c:pt idx="3">
                  <c:v>107</c:v>
                </c:pt>
                <c:pt idx="4">
                  <c:v>120</c:v>
                </c:pt>
                <c:pt idx="5">
                  <c:v>133</c:v>
                </c:pt>
                <c:pt idx="6">
                  <c:v>141</c:v>
                </c:pt>
                <c:pt idx="7">
                  <c:v>158</c:v>
                </c:pt>
                <c:pt idx="8">
                  <c:v>170</c:v>
                </c:pt>
                <c:pt idx="9">
                  <c:v>175</c:v>
                </c:pt>
                <c:pt idx="10">
                  <c:v>185</c:v>
                </c:pt>
                <c:pt idx="11">
                  <c:v>199</c:v>
                </c:pt>
                <c:pt idx="12">
                  <c:v>216</c:v>
                </c:pt>
                <c:pt idx="13">
                  <c:v>226</c:v>
                </c:pt>
                <c:pt idx="14">
                  <c:v>227</c:v>
                </c:pt>
                <c:pt idx="15">
                  <c:v>236</c:v>
                </c:pt>
                <c:pt idx="16">
                  <c:v>245</c:v>
                </c:pt>
                <c:pt idx="17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5-4831-9F8D-ECF6BA0A2FC4}"/>
            </c:ext>
          </c:extLst>
        </c:ser>
        <c:ser>
          <c:idx val="1"/>
          <c:order val="1"/>
          <c:tx>
            <c:strRef>
              <c:f>'Control Defects'!$I$10</c:f>
              <c:strCache>
                <c:ptCount val="1"/>
                <c:pt idx="0">
                  <c:v>Resolved cumulated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Defects'!$I$11:$I$28</c:f>
              <c:numCache>
                <c:formatCode>#,##0</c:formatCode>
                <c:ptCount val="18"/>
                <c:pt idx="0">
                  <c:v>43</c:v>
                </c:pt>
                <c:pt idx="1">
                  <c:v>53</c:v>
                </c:pt>
                <c:pt idx="2">
                  <c:v>55</c:v>
                </c:pt>
                <c:pt idx="3">
                  <c:v>71</c:v>
                </c:pt>
                <c:pt idx="4">
                  <c:v>96</c:v>
                </c:pt>
                <c:pt idx="5">
                  <c:v>108</c:v>
                </c:pt>
                <c:pt idx="6">
                  <c:v>112</c:v>
                </c:pt>
                <c:pt idx="7">
                  <c:v>118</c:v>
                </c:pt>
                <c:pt idx="8">
                  <c:v>125</c:v>
                </c:pt>
                <c:pt idx="9">
                  <c:v>132</c:v>
                </c:pt>
                <c:pt idx="10">
                  <c:v>152</c:v>
                </c:pt>
                <c:pt idx="11">
                  <c:v>166</c:v>
                </c:pt>
                <c:pt idx="12">
                  <c:v>175</c:v>
                </c:pt>
                <c:pt idx="13">
                  <c:v>186</c:v>
                </c:pt>
                <c:pt idx="14">
                  <c:v>187</c:v>
                </c:pt>
                <c:pt idx="15">
                  <c:v>190</c:v>
                </c:pt>
                <c:pt idx="16">
                  <c:v>203</c:v>
                </c:pt>
                <c:pt idx="17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5-4831-9F8D-ECF6BA0A2FC4}"/>
            </c:ext>
          </c:extLst>
        </c:ser>
        <c:ser>
          <c:idx val="2"/>
          <c:order val="2"/>
          <c:tx>
            <c:strRef>
              <c:f>'Control Defects'!$J$10</c:f>
              <c:strCache>
                <c:ptCount val="1"/>
                <c:pt idx="0">
                  <c:v>Closed cumulated</c:v>
                </c:pt>
              </c:strCache>
            </c:strRef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Defects'!$J$11:$J$28</c:f>
              <c:numCache>
                <c:formatCode>#,##0</c:formatCode>
                <c:ptCount val="18"/>
                <c:pt idx="0">
                  <c:v>27</c:v>
                </c:pt>
                <c:pt idx="1">
                  <c:v>30</c:v>
                </c:pt>
                <c:pt idx="2">
                  <c:v>41</c:v>
                </c:pt>
                <c:pt idx="3">
                  <c:v>48</c:v>
                </c:pt>
                <c:pt idx="4">
                  <c:v>61</c:v>
                </c:pt>
                <c:pt idx="5">
                  <c:v>72</c:v>
                </c:pt>
                <c:pt idx="6">
                  <c:v>86</c:v>
                </c:pt>
                <c:pt idx="7">
                  <c:v>95</c:v>
                </c:pt>
                <c:pt idx="8">
                  <c:v>108</c:v>
                </c:pt>
                <c:pt idx="9">
                  <c:v>111</c:v>
                </c:pt>
                <c:pt idx="10">
                  <c:v>125</c:v>
                </c:pt>
                <c:pt idx="11">
                  <c:v>136</c:v>
                </c:pt>
                <c:pt idx="12">
                  <c:v>148</c:v>
                </c:pt>
                <c:pt idx="13">
                  <c:v>174</c:v>
                </c:pt>
                <c:pt idx="14">
                  <c:v>174</c:v>
                </c:pt>
                <c:pt idx="15">
                  <c:v>174</c:v>
                </c:pt>
                <c:pt idx="16">
                  <c:v>185</c:v>
                </c:pt>
                <c:pt idx="17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5-4831-9F8D-ECF6BA0A2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013920"/>
        <c:axId val="1720014464"/>
      </c:areaChart>
      <c:catAx>
        <c:axId val="1720013920"/>
        <c:scaling>
          <c:orientation val="minMax"/>
        </c:scaling>
        <c:delete val="0"/>
        <c:axPos val="b"/>
        <c:numFmt formatCode="&quot;W&quot;\ 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14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2001446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13920"/>
        <c:crosses val="max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3731360578475236"/>
          <c:y val="0.90551181102362199"/>
          <c:w val="0.48955259558112435"/>
          <c:h val="7.87401574803149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78" l="0.75" r="0.75" t="0.98425196899999978" header="0.49212598450000011" footer="0.4921259845000001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770611756149468E-2"/>
          <c:y val="5.8365758754863814E-2"/>
          <c:w val="0.92407181131977245"/>
          <c:h val="0.7042801556420234"/>
        </c:manualLayout>
      </c:layout>
      <c:lineChart>
        <c:grouping val="standard"/>
        <c:varyColors val="0"/>
        <c:ser>
          <c:idx val="0"/>
          <c:order val="0"/>
          <c:tx>
            <c:strRef>
              <c:f>'Control Defects'!$E$10</c:f>
              <c:strCache>
                <c:ptCount val="1"/>
                <c:pt idx="0">
                  <c:v>Assigned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10"/>
            <c:spPr>
              <a:solidFill>
                <a:srgbClr val="C10330"/>
              </a:solidFill>
              <a:ln>
                <a:solidFill>
                  <a:srgbClr val="C10330"/>
                </a:solidFill>
                <a:prstDash val="solid"/>
              </a:ln>
            </c:spPr>
          </c:marke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Defects'!$E$11:$E$28</c:f>
              <c:numCache>
                <c:formatCode>#,##0</c:formatCode>
                <c:ptCount val="18"/>
                <c:pt idx="0">
                  <c:v>19</c:v>
                </c:pt>
                <c:pt idx="1">
                  <c:v>5</c:v>
                </c:pt>
                <c:pt idx="2">
                  <c:v>11</c:v>
                </c:pt>
                <c:pt idx="3">
                  <c:v>5</c:v>
                </c:pt>
                <c:pt idx="4">
                  <c:v>13</c:v>
                </c:pt>
                <c:pt idx="5">
                  <c:v>13</c:v>
                </c:pt>
                <c:pt idx="6">
                  <c:v>8</c:v>
                </c:pt>
                <c:pt idx="7">
                  <c:v>17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14</c:v>
                </c:pt>
                <c:pt idx="12">
                  <c:v>17</c:v>
                </c:pt>
                <c:pt idx="13">
                  <c:v>10</c:v>
                </c:pt>
                <c:pt idx="14">
                  <c:v>1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6-4B6A-8A29-9ADD76479668}"/>
            </c:ext>
          </c:extLst>
        </c:ser>
        <c:ser>
          <c:idx val="2"/>
          <c:order val="1"/>
          <c:tx>
            <c:strRef>
              <c:f>'Control Defects'!$F$10</c:f>
              <c:strCache>
                <c:ptCount val="1"/>
                <c:pt idx="0">
                  <c:v>Resolved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10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val>
            <c:numRef>
              <c:f>'Control Defects'!$F$11:$F$28</c:f>
              <c:numCache>
                <c:formatCode>#,##0</c:formatCode>
                <c:ptCount val="18"/>
                <c:pt idx="0">
                  <c:v>13</c:v>
                </c:pt>
                <c:pt idx="1">
                  <c:v>10</c:v>
                </c:pt>
                <c:pt idx="2">
                  <c:v>2</c:v>
                </c:pt>
                <c:pt idx="3">
                  <c:v>16</c:v>
                </c:pt>
                <c:pt idx="4">
                  <c:v>25</c:v>
                </c:pt>
                <c:pt idx="5">
                  <c:v>12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20</c:v>
                </c:pt>
                <c:pt idx="11">
                  <c:v>14</c:v>
                </c:pt>
                <c:pt idx="12">
                  <c:v>9</c:v>
                </c:pt>
                <c:pt idx="13">
                  <c:v>11</c:v>
                </c:pt>
                <c:pt idx="14">
                  <c:v>1</c:v>
                </c:pt>
                <c:pt idx="15">
                  <c:v>3</c:v>
                </c:pt>
                <c:pt idx="16">
                  <c:v>13</c:v>
                </c:pt>
                <c:pt idx="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6-4B6A-8A29-9ADD76479668}"/>
            </c:ext>
          </c:extLst>
        </c:ser>
        <c:ser>
          <c:idx val="1"/>
          <c:order val="2"/>
          <c:tx>
            <c:strRef>
              <c:f>'Control Defects'!$G$10</c:f>
              <c:strCache>
                <c:ptCount val="1"/>
                <c:pt idx="0">
                  <c:v>Closed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10"/>
            <c:spPr>
              <a:solidFill>
                <a:srgbClr val="808000"/>
              </a:solidFill>
              <a:ln>
                <a:solidFill>
                  <a:srgbClr val="808000"/>
                </a:solidFill>
                <a:prstDash val="solid"/>
              </a:ln>
            </c:spPr>
          </c:marke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Defects'!$G$11:$G$28</c:f>
              <c:numCache>
                <c:formatCode>#,##0</c:formatCode>
                <c:ptCount val="18"/>
                <c:pt idx="0">
                  <c:v>5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13</c:v>
                </c:pt>
                <c:pt idx="5">
                  <c:v>11</c:v>
                </c:pt>
                <c:pt idx="6">
                  <c:v>14</c:v>
                </c:pt>
                <c:pt idx="7">
                  <c:v>9</c:v>
                </c:pt>
                <c:pt idx="8">
                  <c:v>13</c:v>
                </c:pt>
                <c:pt idx="9">
                  <c:v>3</c:v>
                </c:pt>
                <c:pt idx="10">
                  <c:v>14</c:v>
                </c:pt>
                <c:pt idx="11">
                  <c:v>11</c:v>
                </c:pt>
                <c:pt idx="12">
                  <c:v>12</c:v>
                </c:pt>
                <c:pt idx="13">
                  <c:v>26</c:v>
                </c:pt>
                <c:pt idx="14">
                  <c:v>0</c:v>
                </c:pt>
                <c:pt idx="15">
                  <c:v>0</c:v>
                </c:pt>
                <c:pt idx="16">
                  <c:v>11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96-4B6A-8A29-9ADD76479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015008"/>
        <c:axId val="1720002496"/>
      </c:lineChart>
      <c:catAx>
        <c:axId val="1720015008"/>
        <c:scaling>
          <c:orientation val="minMax"/>
        </c:scaling>
        <c:delete val="0"/>
        <c:axPos val="b"/>
        <c:numFmt formatCode="&quot;W&quot;\ 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02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20002496"/>
        <c:scaling>
          <c:orientation val="minMax"/>
        </c:scaling>
        <c:delete val="0"/>
        <c:axPos val="r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_ ;[Red]\-#,##0\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15008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037159100141909"/>
          <c:y val="0.9066147859922179"/>
          <c:w val="0.37479835703878883"/>
          <c:h val="7.782101167315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8135588932273E-2"/>
          <c:y val="0.27472527472527475"/>
          <c:w val="0.89810168748260655"/>
          <c:h val="0.54395604395604391"/>
        </c:manualLayout>
      </c:layout>
      <c:barChart>
        <c:barDir val="bar"/>
        <c:grouping val="percentStacked"/>
        <c:varyColors val="0"/>
        <c:ser>
          <c:idx val="3"/>
          <c:order val="0"/>
          <c:tx>
            <c:strRef>
              <c:f>'Control Defects'!$C$4</c:f>
              <c:strCache>
                <c:ptCount val="1"/>
                <c:pt idx="0">
                  <c:v>Cosmetical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'DB Defects'!$B$7:$B$9</c:f>
              <c:strCache>
                <c:ptCount val="3"/>
                <c:pt idx="0">
                  <c:v>assigned</c:v>
                </c:pt>
                <c:pt idx="1">
                  <c:v>resolved</c:v>
                </c:pt>
                <c:pt idx="2">
                  <c:v>closed</c:v>
                </c:pt>
              </c:strCache>
            </c:strRef>
          </c:cat>
          <c:val>
            <c:numRef>
              <c:f>'Control Defects'!$C$5:$C$7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2-4D78-B178-6F9590A34AD4}"/>
            </c:ext>
          </c:extLst>
        </c:ser>
        <c:ser>
          <c:idx val="2"/>
          <c:order val="1"/>
          <c:tx>
            <c:strRef>
              <c:f>'Control Defects'!$D$4</c:f>
              <c:strCache>
                <c:ptCount val="1"/>
                <c:pt idx="0">
                  <c:v>Minor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strRef>
              <c:f>'DB Defects'!$B$7:$B$9</c:f>
              <c:strCache>
                <c:ptCount val="3"/>
                <c:pt idx="0">
                  <c:v>assigned</c:v>
                </c:pt>
                <c:pt idx="1">
                  <c:v>resolved</c:v>
                </c:pt>
                <c:pt idx="2">
                  <c:v>closed</c:v>
                </c:pt>
              </c:strCache>
            </c:strRef>
          </c:cat>
          <c:val>
            <c:numRef>
              <c:f>'Control Defects'!$D$5:$D$7</c:f>
              <c:numCache>
                <c:formatCode>General</c:formatCode>
                <c:ptCount val="3"/>
                <c:pt idx="0">
                  <c:v>14</c:v>
                </c:pt>
                <c:pt idx="1">
                  <c:v>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E2-4D78-B178-6F9590A34AD4}"/>
            </c:ext>
          </c:extLst>
        </c:ser>
        <c:ser>
          <c:idx val="1"/>
          <c:order val="2"/>
          <c:tx>
            <c:strRef>
              <c:f>'Control Defects'!$E$4</c:f>
              <c:strCache>
                <c:ptCount val="1"/>
                <c:pt idx="0">
                  <c:v>Major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strRef>
              <c:f>'DB Defects'!$B$7:$B$9</c:f>
              <c:strCache>
                <c:ptCount val="3"/>
                <c:pt idx="0">
                  <c:v>assigned</c:v>
                </c:pt>
                <c:pt idx="1">
                  <c:v>resolved</c:v>
                </c:pt>
                <c:pt idx="2">
                  <c:v>closed</c:v>
                </c:pt>
              </c:strCache>
            </c:strRef>
          </c:cat>
          <c:val>
            <c:numRef>
              <c:f>'Control Defects'!$E$5:$E$7</c:f>
              <c:numCache>
                <c:formatCode>General</c:formatCode>
                <c:ptCount val="3"/>
                <c:pt idx="0">
                  <c:v>23</c:v>
                </c:pt>
                <c:pt idx="1">
                  <c:v>9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E2-4D78-B178-6F9590A34AD4}"/>
            </c:ext>
          </c:extLst>
        </c:ser>
        <c:ser>
          <c:idx val="0"/>
          <c:order val="3"/>
          <c:tx>
            <c:strRef>
              <c:f>'Control Defects'!$F$4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000000"/>
            </a:solidFill>
            <a:ln w="25400">
              <a:noFill/>
            </a:ln>
          </c:spPr>
          <c:invertIfNegative val="0"/>
          <c:cat>
            <c:strRef>
              <c:f>'DB Defects'!$B$7:$B$9</c:f>
              <c:strCache>
                <c:ptCount val="3"/>
                <c:pt idx="0">
                  <c:v>assigned</c:v>
                </c:pt>
                <c:pt idx="1">
                  <c:v>resolved</c:v>
                </c:pt>
                <c:pt idx="2">
                  <c:v>closed</c:v>
                </c:pt>
              </c:strCache>
            </c:strRef>
          </c:cat>
          <c:val>
            <c:numRef>
              <c:f>'Control Defects'!$F$5:$F$7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E2-4D78-B178-6F9590A34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585292400"/>
        <c:axId val="1827847936"/>
      </c:barChart>
      <c:catAx>
        <c:axId val="158529240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one"/>
        <c:spPr>
          <a:ln w="9525">
            <a:noFill/>
          </a:ln>
        </c:spPr>
        <c:crossAx val="1827847936"/>
        <c:crosses val="autoZero"/>
        <c:auto val="1"/>
        <c:lblAlgn val="ctr"/>
        <c:lblOffset val="100"/>
        <c:tickMarkSkip val="1"/>
        <c:noMultiLvlLbl val="0"/>
      </c:catAx>
      <c:valAx>
        <c:axId val="1827847936"/>
        <c:scaling>
          <c:orientation val="minMax"/>
        </c:scaling>
        <c:delete val="0"/>
        <c:axPos val="t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52924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0327893128756667"/>
          <c:y val="0.84615384615384615"/>
          <c:w val="0.39344293788657297"/>
          <c:h val="0.120879120879120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386121915799422E-2"/>
          <c:y val="0.12068990918370569"/>
          <c:w val="0.92245630116012245"/>
          <c:h val="0.5905184842202742"/>
        </c:manualLayout>
      </c:layout>
      <c:lineChart>
        <c:grouping val="standard"/>
        <c:varyColors val="0"/>
        <c:ser>
          <c:idx val="0"/>
          <c:order val="0"/>
          <c:tx>
            <c:strRef>
              <c:f>'Control Defects'!$K$10</c:f>
              <c:strCache>
                <c:ptCount val="1"/>
                <c:pt idx="0">
                  <c:v>Assigned to resolved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Defects'!$K$11:$K$28</c:f>
              <c:numCache>
                <c:formatCode>#,##0.00</c:formatCode>
                <c:ptCount val="18"/>
                <c:pt idx="0">
                  <c:v>9.7441860465116275</c:v>
                </c:pt>
                <c:pt idx="1">
                  <c:v>10.320754716981131</c:v>
                </c:pt>
                <c:pt idx="2">
                  <c:v>10.618181818181819</c:v>
                </c:pt>
                <c:pt idx="3">
                  <c:v>11.985915492957746</c:v>
                </c:pt>
                <c:pt idx="4">
                  <c:v>16.395833333333332</c:v>
                </c:pt>
                <c:pt idx="5">
                  <c:v>16.611111111111111</c:v>
                </c:pt>
                <c:pt idx="6">
                  <c:v>17</c:v>
                </c:pt>
                <c:pt idx="7">
                  <c:v>16.711864406779661</c:v>
                </c:pt>
                <c:pt idx="8">
                  <c:v>16.568000000000001</c:v>
                </c:pt>
                <c:pt idx="9">
                  <c:v>16.643939393939394</c:v>
                </c:pt>
                <c:pt idx="10">
                  <c:v>17.644736842105264</c:v>
                </c:pt>
                <c:pt idx="11">
                  <c:v>17.397590361445783</c:v>
                </c:pt>
                <c:pt idx="12">
                  <c:v>16.96</c:v>
                </c:pt>
                <c:pt idx="13">
                  <c:v>16.483870967741936</c:v>
                </c:pt>
                <c:pt idx="14">
                  <c:v>16.438502673796791</c:v>
                </c:pt>
                <c:pt idx="15">
                  <c:v>16.442105263157895</c:v>
                </c:pt>
                <c:pt idx="16">
                  <c:v>16.536945812807883</c:v>
                </c:pt>
                <c:pt idx="17">
                  <c:v>17.943396226415093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2-4CEC-AF67-9CC6751B7061}"/>
            </c:ext>
          </c:extLst>
        </c:ser>
        <c:ser>
          <c:idx val="2"/>
          <c:order val="1"/>
          <c:tx>
            <c:strRef>
              <c:f>'Control Defects'!$L$10</c:f>
              <c:strCache>
                <c:ptCount val="1"/>
                <c:pt idx="0">
                  <c:v>Resolved to closed</c:v>
                </c:pt>
              </c:strCache>
            </c:strRef>
          </c:tx>
          <c:spPr>
            <a:ln w="12700">
              <a:solidFill>
                <a:srgbClr val="9D272A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9D272A"/>
              </a:solidFill>
              <a:ln>
                <a:solidFill>
                  <a:srgbClr val="9D272A"/>
                </a:solidFill>
                <a:prstDash val="solid"/>
              </a:ln>
            </c:spPr>
          </c:marke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Defects'!$L$11:$L$28</c:f>
              <c:numCache>
                <c:formatCode>#,##0.00</c:formatCode>
                <c:ptCount val="18"/>
                <c:pt idx="0">
                  <c:v>3</c:v>
                </c:pt>
                <c:pt idx="1">
                  <c:v>2.9666666666666668</c:v>
                </c:pt>
                <c:pt idx="2">
                  <c:v>5.9268292682926829</c:v>
                </c:pt>
                <c:pt idx="3">
                  <c:v>6.75</c:v>
                </c:pt>
                <c:pt idx="4">
                  <c:v>6.278688524590164</c:v>
                </c:pt>
                <c:pt idx="5">
                  <c:v>6.9027777777777777</c:v>
                </c:pt>
                <c:pt idx="6">
                  <c:v>7.5232558139534884</c:v>
                </c:pt>
                <c:pt idx="7">
                  <c:v>8.3368421052631572</c:v>
                </c:pt>
                <c:pt idx="8">
                  <c:v>9.768518518518519</c:v>
                </c:pt>
                <c:pt idx="9">
                  <c:v>9.6036036036036041</c:v>
                </c:pt>
                <c:pt idx="10">
                  <c:v>8.968</c:v>
                </c:pt>
                <c:pt idx="11">
                  <c:v>8.5955882352941178</c:v>
                </c:pt>
                <c:pt idx="12">
                  <c:v>8.5945945945945947</c:v>
                </c:pt>
                <c:pt idx="13">
                  <c:v>11.511494252873563</c:v>
                </c:pt>
                <c:pt idx="14">
                  <c:v>11.511494252873563</c:v>
                </c:pt>
                <c:pt idx="15">
                  <c:v>11.511494252873563</c:v>
                </c:pt>
                <c:pt idx="16">
                  <c:v>11.670270270270271</c:v>
                </c:pt>
                <c:pt idx="17">
                  <c:v>12.668367346938776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2-4CEC-AF67-9CC6751B7061}"/>
            </c:ext>
          </c:extLst>
        </c:ser>
        <c:ser>
          <c:idx val="1"/>
          <c:order val="2"/>
          <c:tx>
            <c:strRef>
              <c:f>'Control Defects'!$M$10</c:f>
              <c:strCache>
                <c:ptCount val="1"/>
                <c:pt idx="0">
                  <c:v>Assigned to closed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'Control Defects'!$B$11:$B$28</c:f>
              <c:numCache>
                <c:formatCode>"W "\ 00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cat>
          <c:val>
            <c:numRef>
              <c:f>'Control Defects'!$M$11:$M$28</c:f>
              <c:numCache>
                <c:formatCode>#,##0.00</c:formatCode>
                <c:ptCount val="18"/>
                <c:pt idx="0">
                  <c:v>11.851851851851851</c:v>
                </c:pt>
                <c:pt idx="1">
                  <c:v>12.166666666666666</c:v>
                </c:pt>
                <c:pt idx="2">
                  <c:v>15.097560975609756</c:v>
                </c:pt>
                <c:pt idx="3">
                  <c:v>16.895833333333332</c:v>
                </c:pt>
                <c:pt idx="4">
                  <c:v>19.377049180327869</c:v>
                </c:pt>
                <c:pt idx="5">
                  <c:v>21.680555555555557</c:v>
                </c:pt>
                <c:pt idx="6">
                  <c:v>22.430232558139537</c:v>
                </c:pt>
                <c:pt idx="7">
                  <c:v>23.768421052631577</c:v>
                </c:pt>
                <c:pt idx="8">
                  <c:v>25.675925925925927</c:v>
                </c:pt>
                <c:pt idx="9">
                  <c:v>25.666666666666668</c:v>
                </c:pt>
                <c:pt idx="10">
                  <c:v>25.8</c:v>
                </c:pt>
                <c:pt idx="11">
                  <c:v>25.683823529411764</c:v>
                </c:pt>
                <c:pt idx="12">
                  <c:v>25.324324324324323</c:v>
                </c:pt>
                <c:pt idx="13">
                  <c:v>28.350574712643677</c:v>
                </c:pt>
                <c:pt idx="14">
                  <c:v>28.350574712643677</c:v>
                </c:pt>
                <c:pt idx="15">
                  <c:v>28.350574712643677</c:v>
                </c:pt>
                <c:pt idx="16">
                  <c:v>28.491891891891893</c:v>
                </c:pt>
                <c:pt idx="17">
                  <c:v>29.556122448979593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52-4CEC-AF67-9CC6751B7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848480"/>
        <c:axId val="1827853376"/>
      </c:lineChart>
      <c:catAx>
        <c:axId val="1827848480"/>
        <c:scaling>
          <c:orientation val="minMax"/>
        </c:scaling>
        <c:delete val="0"/>
        <c:axPos val="b"/>
        <c:numFmt formatCode="&quot;W&quot;\ 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853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7853376"/>
        <c:scaling>
          <c:orientation val="minMax"/>
        </c:scaling>
        <c:delete val="0"/>
        <c:axPos val="r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_ ;[Red]\-#,##0\ 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848480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2277877213339633"/>
          <c:y val="0.86638113378303006"/>
          <c:w val="0.63974202322138085"/>
          <c:h val="8.620707798836120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871062194651949E-2"/>
          <c:y val="0.11629877928220959"/>
          <c:w val="0.62128256038911567"/>
          <c:h val="0.719598696808671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'Control Test'!$C$109</c:f>
              <c:strCache>
                <c:ptCount val="1"/>
                <c:pt idx="0">
                  <c:v>Bar Value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1"/>
          <c:cat>
            <c:strRef>
              <c:f>'Control Test'!$B$110:$B$115</c:f>
              <c:strCache>
                <c:ptCount val="6"/>
                <c:pt idx="0">
                  <c:v>Software Module 1</c:v>
                </c:pt>
                <c:pt idx="1">
                  <c:v>Software Module 2</c:v>
                </c:pt>
                <c:pt idx="2">
                  <c:v>Software Module 3</c:v>
                </c:pt>
                <c:pt idx="3">
                  <c:v>Software Module 4</c:v>
                </c:pt>
                <c:pt idx="4">
                  <c:v>Software Module 5</c:v>
                </c:pt>
                <c:pt idx="5">
                  <c:v>Total</c:v>
                </c:pt>
              </c:strCache>
            </c:strRef>
          </c:cat>
          <c:val>
            <c:numRef>
              <c:f>'Control Test'!$C$110:$C$115</c:f>
              <c:numCache>
                <c:formatCode>0%</c:formatCode>
                <c:ptCount val="6"/>
                <c:pt idx="0">
                  <c:v>0.88541666666666663</c:v>
                </c:pt>
                <c:pt idx="1">
                  <c:v>0.875</c:v>
                </c:pt>
                <c:pt idx="2">
                  <c:v>0.92028985507246375</c:v>
                </c:pt>
                <c:pt idx="3">
                  <c:v>0.88135593220338981</c:v>
                </c:pt>
                <c:pt idx="4">
                  <c:v>0.86772486772486768</c:v>
                </c:pt>
                <c:pt idx="5">
                  <c:v>0.88797364085667219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EC-4B2C-A8D2-B03DD3A09BCD}"/>
            </c:ext>
          </c:extLst>
        </c:ser>
        <c:ser>
          <c:idx val="1"/>
          <c:order val="3"/>
          <c:tx>
            <c:strRef>
              <c:f>'Control Test'!$D$109</c:f>
              <c:strCache>
                <c:ptCount val="1"/>
                <c:pt idx="0">
                  <c:v>Bar Dummy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'Control Test'!$B$110:$B$115</c:f>
              <c:strCache>
                <c:ptCount val="6"/>
                <c:pt idx="0">
                  <c:v>Software Module 1</c:v>
                </c:pt>
                <c:pt idx="1">
                  <c:v>Software Module 2</c:v>
                </c:pt>
                <c:pt idx="2">
                  <c:v>Software Module 3</c:v>
                </c:pt>
                <c:pt idx="3">
                  <c:v>Software Module 4</c:v>
                </c:pt>
                <c:pt idx="4">
                  <c:v>Software Module 5</c:v>
                </c:pt>
                <c:pt idx="5">
                  <c:v>Total</c:v>
                </c:pt>
              </c:strCache>
            </c:strRef>
          </c:cat>
          <c:val>
            <c:numRef>
              <c:f>'Control Test'!$D$110:$D$115</c:f>
              <c:numCache>
                <c:formatCode>0%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C-4B2C-A8D2-B03DD3A0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827849024"/>
        <c:axId val="1827845760"/>
      </c:barChart>
      <c:scatterChart>
        <c:scatterStyle val="lineMarker"/>
        <c:varyColors val="0"/>
        <c:ser>
          <c:idx val="2"/>
          <c:order val="1"/>
          <c:tx>
            <c:strRef>
              <c:f>'Control Test'!$E$109</c:f>
              <c:strCache>
                <c:ptCount val="1"/>
                <c:pt idx="0">
                  <c:v>Target X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'Control Test'!$E$110:$E$115</c:f>
              <c:numCache>
                <c:formatCode>0%</c:formatCode>
                <c:ptCount val="6"/>
                <c:pt idx="0">
                  <c:v>0.87</c:v>
                </c:pt>
                <c:pt idx="1">
                  <c:v>0.87</c:v>
                </c:pt>
                <c:pt idx="2">
                  <c:v>0.87</c:v>
                </c:pt>
                <c:pt idx="3">
                  <c:v>0.87</c:v>
                </c:pt>
                <c:pt idx="4">
                  <c:v>0.87</c:v>
                </c:pt>
                <c:pt idx="5">
                  <c:v>0.87</c:v>
                </c:pt>
              </c:numCache>
            </c:numRef>
          </c:xVal>
          <c:yVal>
            <c:numRef>
              <c:f>'Control Test'!$G$110:$G$115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EC-4B2C-A8D2-B03DD3A09BCD}"/>
            </c:ext>
          </c:extLst>
        </c:ser>
        <c:ser>
          <c:idx val="3"/>
          <c:order val="2"/>
          <c:tx>
            <c:strRef>
              <c:f>'Control Test'!$F$109</c:f>
              <c:strCache>
                <c:ptCount val="1"/>
                <c:pt idx="0">
                  <c:v>Scale Dummy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'Control Test'!$F$110:$F$115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'Control Test'!$G$110:$G$115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EC-4B2C-A8D2-B03DD3A0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840864"/>
        <c:axId val="1827843040"/>
      </c:scatterChart>
      <c:catAx>
        <c:axId val="1827849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 w="9525">
            <a:noFill/>
          </a:ln>
        </c:spPr>
        <c:crossAx val="1827845760"/>
        <c:crosses val="autoZero"/>
        <c:auto val="1"/>
        <c:lblAlgn val="ctr"/>
        <c:lblOffset val="100"/>
        <c:tickMarkSkip val="1"/>
        <c:noMultiLvlLbl val="0"/>
      </c:catAx>
      <c:valAx>
        <c:axId val="1827845760"/>
        <c:scaling>
          <c:orientation val="minMax"/>
          <c:max val="1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849024"/>
        <c:crosses val="max"/>
        <c:crossBetween val="between"/>
      </c:valAx>
      <c:valAx>
        <c:axId val="1827840864"/>
        <c:scaling>
          <c:orientation val="minMax"/>
          <c:max val="1"/>
          <c:min val="0"/>
        </c:scaling>
        <c:delete val="0"/>
        <c:axPos val="t"/>
        <c:numFmt formatCode="0%" sourceLinked="1"/>
        <c:majorTickMark val="none"/>
        <c:minorTickMark val="none"/>
        <c:tickLblPos val="none"/>
        <c:spPr>
          <a:ln w="9525">
            <a:noFill/>
          </a:ln>
        </c:spPr>
        <c:crossAx val="1827843040"/>
        <c:crosses val="max"/>
        <c:crossBetween val="midCat"/>
      </c:valAx>
      <c:valAx>
        <c:axId val="1827843040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8278408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4801448240354"/>
          <c:y val="8.7452471482889732E-2"/>
          <c:w val="0.58503595688495458"/>
          <c:h val="0.7490494296577946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'Control Test'!$C$119</c:f>
              <c:strCache>
                <c:ptCount val="1"/>
                <c:pt idx="0">
                  <c:v>Bar Value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1"/>
          <c:cat>
            <c:strRef>
              <c:f>'Control Test'!$B$120:$B$125</c:f>
              <c:strCache>
                <c:ptCount val="6"/>
                <c:pt idx="0">
                  <c:v>Software Module 1</c:v>
                </c:pt>
                <c:pt idx="1">
                  <c:v>Software Module 2</c:v>
                </c:pt>
                <c:pt idx="2">
                  <c:v>Software Module 3</c:v>
                </c:pt>
                <c:pt idx="3">
                  <c:v>Software Module 4</c:v>
                </c:pt>
                <c:pt idx="4">
                  <c:v>Software Module 5</c:v>
                </c:pt>
                <c:pt idx="5">
                  <c:v>Total</c:v>
                </c:pt>
              </c:strCache>
            </c:strRef>
          </c:cat>
          <c:val>
            <c:numRef>
              <c:f>'Control Test'!$C$120:$C$125</c:f>
              <c:numCache>
                <c:formatCode>0%</c:formatCode>
                <c:ptCount val="6"/>
                <c:pt idx="0">
                  <c:v>0.94117647058823528</c:v>
                </c:pt>
                <c:pt idx="1">
                  <c:v>0.96</c:v>
                </c:pt>
                <c:pt idx="2">
                  <c:v>0.92</c:v>
                </c:pt>
                <c:pt idx="3">
                  <c:v>1.027363184079602</c:v>
                </c:pt>
                <c:pt idx="4">
                  <c:v>0.92647058823529416</c:v>
                </c:pt>
                <c:pt idx="5">
                  <c:v>0.96349206349206351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DA-4AB2-8F76-2F722468B025}"/>
            </c:ext>
          </c:extLst>
        </c:ser>
        <c:ser>
          <c:idx val="1"/>
          <c:order val="3"/>
          <c:tx>
            <c:strRef>
              <c:f>'Control Test'!$D$119</c:f>
              <c:strCache>
                <c:ptCount val="1"/>
                <c:pt idx="0">
                  <c:v>Bar Dummy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'Control Test'!$B$120:$B$125</c:f>
              <c:strCache>
                <c:ptCount val="6"/>
                <c:pt idx="0">
                  <c:v>Software Module 1</c:v>
                </c:pt>
                <c:pt idx="1">
                  <c:v>Software Module 2</c:v>
                </c:pt>
                <c:pt idx="2">
                  <c:v>Software Module 3</c:v>
                </c:pt>
                <c:pt idx="3">
                  <c:v>Software Module 4</c:v>
                </c:pt>
                <c:pt idx="4">
                  <c:v>Software Module 5</c:v>
                </c:pt>
                <c:pt idx="5">
                  <c:v>Total</c:v>
                </c:pt>
              </c:strCache>
            </c:strRef>
          </c:cat>
          <c:val>
            <c:numRef>
              <c:f>'Control Test'!$D$120:$D$125</c:f>
              <c:numCache>
                <c:formatCode>0%</c:formatCode>
                <c:ptCount val="6"/>
                <c:pt idx="5">
                  <c:v>1.027363184079602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A-4AB2-8F76-2F722468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827844672"/>
        <c:axId val="1827841408"/>
      </c:barChart>
      <c:scatterChart>
        <c:scatterStyle val="lineMarker"/>
        <c:varyColors val="0"/>
        <c:ser>
          <c:idx val="2"/>
          <c:order val="1"/>
          <c:tx>
            <c:strRef>
              <c:f>'Control Test'!$E$119</c:f>
              <c:strCache>
                <c:ptCount val="1"/>
                <c:pt idx="0">
                  <c:v>Target X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'Control Test'!$E$120:$E$125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'Control Test'!$G$120:$G$125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DA-4AB2-8F76-2F722468B025}"/>
            </c:ext>
          </c:extLst>
        </c:ser>
        <c:ser>
          <c:idx val="3"/>
          <c:order val="2"/>
          <c:tx>
            <c:strRef>
              <c:f>'Control Test'!$F$119</c:f>
              <c:strCache>
                <c:ptCount val="1"/>
                <c:pt idx="0">
                  <c:v>Scale Dummy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'Control Test'!$F$120:$F$125</c:f>
              <c:numCache>
                <c:formatCode>0%</c:formatCode>
                <c:ptCount val="6"/>
                <c:pt idx="0">
                  <c:v>1.027363184079602</c:v>
                </c:pt>
                <c:pt idx="1">
                  <c:v>1.027363184079602</c:v>
                </c:pt>
                <c:pt idx="2">
                  <c:v>1.027363184079602</c:v>
                </c:pt>
                <c:pt idx="3">
                  <c:v>1.027363184079602</c:v>
                </c:pt>
                <c:pt idx="4">
                  <c:v>1.027363184079602</c:v>
                </c:pt>
                <c:pt idx="5">
                  <c:v>1.027363184079602</c:v>
                </c:pt>
              </c:numCache>
            </c:numRef>
          </c:xVal>
          <c:yVal>
            <c:numRef>
              <c:f>'Control Test'!$G$120:$G$125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DA-4AB2-8F76-2F722468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844128"/>
        <c:axId val="1827845216"/>
      </c:scatterChart>
      <c:catAx>
        <c:axId val="18278446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 w="9525">
            <a:noFill/>
          </a:ln>
        </c:spPr>
        <c:crossAx val="1827841408"/>
        <c:crosses val="autoZero"/>
        <c:auto val="1"/>
        <c:lblAlgn val="ctr"/>
        <c:lblOffset val="100"/>
        <c:tickMarkSkip val="1"/>
        <c:noMultiLvlLbl val="0"/>
      </c:catAx>
      <c:valAx>
        <c:axId val="1827841408"/>
        <c:scaling>
          <c:orientation val="minMax"/>
          <c:max val="1.2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844672"/>
        <c:crosses val="max"/>
        <c:crossBetween val="between"/>
      </c:valAx>
      <c:valAx>
        <c:axId val="1827844128"/>
        <c:scaling>
          <c:orientation val="minMax"/>
          <c:max val="1.2"/>
          <c:min val="0"/>
        </c:scaling>
        <c:delete val="0"/>
        <c:axPos val="t"/>
        <c:numFmt formatCode="0%" sourceLinked="1"/>
        <c:majorTickMark val="none"/>
        <c:minorTickMark val="none"/>
        <c:tickLblPos val="none"/>
        <c:spPr>
          <a:ln w="9525">
            <a:noFill/>
          </a:ln>
        </c:spPr>
        <c:crossAx val="1827845216"/>
        <c:crosses val="max"/>
        <c:crossBetween val="midCat"/>
      </c:valAx>
      <c:valAx>
        <c:axId val="1827845216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8278441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33082706766918E-2"/>
          <c:y val="7.3232503828578335E-2"/>
          <c:w val="0.88120300751879699"/>
          <c:h val="0.68181986323159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'Control Test'!$C$129</c:f>
              <c:strCache>
                <c:ptCount val="1"/>
                <c:pt idx="0">
                  <c:v># TCs planned</c:v>
                </c:pt>
              </c:strCache>
            </c:strRef>
          </c:tx>
          <c:spPr>
            <a:solidFill>
              <a:srgbClr val="CBCCCD"/>
            </a:solidFill>
            <a:ln w="25400">
              <a:noFill/>
            </a:ln>
          </c:spPr>
          <c:invertIfNegative val="0"/>
          <c:cat>
            <c:numRef>
              <c:f>'Control Test'!$B$130:$B$141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Test'!$C$130:$C$141</c:f>
              <c:numCache>
                <c:formatCode>#,##0</c:formatCode>
                <c:ptCount val="12"/>
                <c:pt idx="0">
                  <c:v>210</c:v>
                </c:pt>
                <c:pt idx="1">
                  <c:v>420</c:v>
                </c:pt>
                <c:pt idx="2">
                  <c:v>630</c:v>
                </c:pt>
                <c:pt idx="3">
                  <c:v>840</c:v>
                </c:pt>
                <c:pt idx="4">
                  <c:v>1050</c:v>
                </c:pt>
                <c:pt idx="5">
                  <c:v>1260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3-403D-B7E0-0BCECD426FB2}"/>
            </c:ext>
          </c:extLst>
        </c:ser>
        <c:ser>
          <c:idx val="3"/>
          <c:order val="3"/>
          <c:tx>
            <c:strRef>
              <c:f>'Control Test'!$E$129</c:f>
              <c:strCache>
                <c:ptCount val="1"/>
                <c:pt idx="0">
                  <c:v>Scale Dummy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numRef>
              <c:f>'Control Test'!$B$130:$B$141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Test'!$E$130:$E$141</c:f>
              <c:numCache>
                <c:formatCode>#,##0</c:formatCode>
                <c:ptCount val="12"/>
                <c:pt idx="11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3-403D-B7E0-0BCECD42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827846304"/>
        <c:axId val="1827847392"/>
      </c:barChart>
      <c:barChart>
        <c:barDir val="col"/>
        <c:grouping val="clustered"/>
        <c:varyColors val="0"/>
        <c:ser>
          <c:idx val="1"/>
          <c:order val="1"/>
          <c:tx>
            <c:strRef>
              <c:f>'Control Test'!$F$82</c:f>
              <c:strCache>
                <c:ptCount val="1"/>
                <c:pt idx="0">
                  <c:v>#TCs finished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1"/>
          <c:cat>
            <c:numRef>
              <c:f>'Control Test'!$B$130:$B$141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Test'!$D$130:$D$141</c:f>
              <c:numCache>
                <c:formatCode>#,##0</c:formatCode>
                <c:ptCount val="12"/>
                <c:pt idx="0">
                  <c:v>191</c:v>
                </c:pt>
                <c:pt idx="1">
                  <c:v>415</c:v>
                </c:pt>
                <c:pt idx="2">
                  <c:v>624</c:v>
                </c:pt>
                <c:pt idx="3">
                  <c:v>808</c:v>
                </c:pt>
                <c:pt idx="4">
                  <c:v>1001</c:v>
                </c:pt>
                <c:pt idx="5">
                  <c:v>1214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9A3-403D-B7E0-0BCECD426FB2}"/>
            </c:ext>
          </c:extLst>
        </c:ser>
        <c:ser>
          <c:idx val="2"/>
          <c:order val="2"/>
          <c:tx>
            <c:strRef>
              <c:f>'Control Test'!$E$129</c:f>
              <c:strCache>
                <c:ptCount val="1"/>
                <c:pt idx="0">
                  <c:v>Scale Dummy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numRef>
              <c:f>'Control Test'!$B$130:$B$141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Test'!$E$130:$E$141</c:f>
              <c:numCache>
                <c:formatCode>#,##0</c:formatCode>
                <c:ptCount val="12"/>
                <c:pt idx="11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A3-403D-B7E0-0BCECD42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27852288"/>
        <c:axId val="1827851200"/>
      </c:barChart>
      <c:catAx>
        <c:axId val="1827846304"/>
        <c:scaling>
          <c:orientation val="minMax"/>
        </c:scaling>
        <c:delete val="0"/>
        <c:axPos val="b"/>
        <c:numFmt formatCode="&quot;W &quot;\ 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827847392"/>
        <c:crosses val="autoZero"/>
        <c:auto val="1"/>
        <c:lblAlgn val="ctr"/>
        <c:lblOffset val="100"/>
        <c:noMultiLvlLbl val="0"/>
      </c:catAx>
      <c:valAx>
        <c:axId val="182784739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827846304"/>
        <c:crosses val="autoZero"/>
        <c:crossBetween val="between"/>
      </c:valAx>
      <c:catAx>
        <c:axId val="1827852288"/>
        <c:scaling>
          <c:orientation val="minMax"/>
        </c:scaling>
        <c:delete val="1"/>
        <c:axPos val="b"/>
        <c:numFmt formatCode="&quot;W &quot;\ 00" sourceLinked="1"/>
        <c:majorTickMark val="out"/>
        <c:minorTickMark val="none"/>
        <c:tickLblPos val="nextTo"/>
        <c:crossAx val="1827851200"/>
        <c:crosses val="autoZero"/>
        <c:auto val="1"/>
        <c:lblAlgn val="ctr"/>
        <c:lblOffset val="100"/>
        <c:noMultiLvlLbl val="0"/>
      </c:catAx>
      <c:valAx>
        <c:axId val="1827851200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none"/>
        <c:spPr>
          <a:ln w="9525">
            <a:noFill/>
          </a:ln>
        </c:spPr>
        <c:crossAx val="1827852288"/>
        <c:crosses val="max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5187969924812029"/>
          <c:y val="0.93113198156632437"/>
          <c:w val="0.29924812030075187"/>
          <c:h val="6.0606223652245966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07" r="0.70000000000000007" t="0.78740157499999996" header="0.30000000000000004" footer="0.30000000000000004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00073750057614E-2"/>
          <c:y val="4.4077253565269793E-2"/>
          <c:w val="0.89760070125054781"/>
          <c:h val="0.7272746838269516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'Control Test'!$F$145</c:f>
              <c:strCache>
                <c:ptCount val="1"/>
                <c:pt idx="0">
                  <c:v>Scale Dummy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numRef>
              <c:f>'Control Test'!$B$146:$B$157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Test'!$F$146:$F$157</c:f>
              <c:numCache>
                <c:formatCode>#,##0</c:formatCode>
                <c:ptCount val="12"/>
                <c:pt idx="11">
                  <c:v>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8AC-8CBB-25CAB37E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827855008"/>
        <c:axId val="1827841952"/>
      </c:barChart>
      <c:barChart>
        <c:barDir val="col"/>
        <c:grouping val="clustered"/>
        <c:varyColors val="0"/>
        <c:ser>
          <c:idx val="1"/>
          <c:order val="1"/>
          <c:tx>
            <c:strRef>
              <c:f>'Control Test'!$C$145</c:f>
              <c:strCache>
                <c:ptCount val="1"/>
                <c:pt idx="0">
                  <c:v>#TCs passed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1"/>
          <c:dLbls>
            <c:numFmt formatCode="#,##0;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'Control Test'!$B$146:$B$157</c:f>
              <c:numCache>
                <c:formatCode>"W "\ 00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cat>
          <c:val>
            <c:numRef>
              <c:f>'Control Test'!$C$146:$C$157</c:f>
              <c:numCache>
                <c:formatCode>#,##0</c:formatCode>
                <c:ptCount val="12"/>
                <c:pt idx="0">
                  <c:v>169</c:v>
                </c:pt>
                <c:pt idx="1">
                  <c:v>377</c:v>
                </c:pt>
                <c:pt idx="2">
                  <c:v>550</c:v>
                </c:pt>
                <c:pt idx="3">
                  <c:v>710</c:v>
                </c:pt>
                <c:pt idx="4">
                  <c:v>893</c:v>
                </c:pt>
                <c:pt idx="5">
                  <c:v>1078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78C-48AC-8CBB-25CAB37E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827846848"/>
        <c:axId val="1827850656"/>
      </c:barChart>
      <c:scatterChart>
        <c:scatterStyle val="lineMarker"/>
        <c:varyColors val="0"/>
        <c:ser>
          <c:idx val="0"/>
          <c:order val="0"/>
          <c:tx>
            <c:strRef>
              <c:f>'Control Test'!$E$145</c:f>
              <c:strCache>
                <c:ptCount val="1"/>
                <c:pt idx="0">
                  <c:v>Success rate threshold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1"/>
            <c:val val="0.5"/>
            <c:spPr>
              <a:ln w="38100">
                <a:solidFill>
                  <a:srgbClr val="FF0000"/>
                </a:solidFill>
                <a:prstDash val="solid"/>
              </a:ln>
            </c:spPr>
          </c:errBars>
          <c:xVal>
            <c:numRef>
              <c:f>'Control Test'!$D$146:$D$157</c:f>
              <c:numCache>
                <c:formatCode>#,##0</c:formatCode>
                <c:ptCount val="12"/>
                <c:pt idx="0" formatCode="General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'Control Test'!$E$146:$E$157</c:f>
              <c:numCache>
                <c:formatCode>#,##0</c:formatCode>
                <c:ptCount val="12"/>
                <c:pt idx="0">
                  <c:v>183</c:v>
                </c:pt>
                <c:pt idx="1">
                  <c:v>365</c:v>
                </c:pt>
                <c:pt idx="2">
                  <c:v>548</c:v>
                </c:pt>
                <c:pt idx="3">
                  <c:v>731</c:v>
                </c:pt>
                <c:pt idx="4">
                  <c:v>914</c:v>
                </c:pt>
                <c:pt idx="5">
                  <c:v>1096</c:v>
                </c:pt>
                <c:pt idx="6">
                  <c:v>1279</c:v>
                </c:pt>
                <c:pt idx="7">
                  <c:v>1462</c:v>
                </c:pt>
                <c:pt idx="8">
                  <c:v>1644</c:v>
                </c:pt>
                <c:pt idx="9">
                  <c:v>1827</c:v>
                </c:pt>
                <c:pt idx="10">
                  <c:v>2010</c:v>
                </c:pt>
                <c:pt idx="11">
                  <c:v>2175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8C-48AC-8CBB-25CAB37EEC77}"/>
            </c:ext>
          </c:extLst>
        </c:ser>
        <c:ser>
          <c:idx val="2"/>
          <c:order val="2"/>
          <c:tx>
            <c:strRef>
              <c:f>'Control Test'!$F$145</c:f>
              <c:strCache>
                <c:ptCount val="1"/>
                <c:pt idx="0">
                  <c:v>Scale Dummy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'Control Test'!$D$146:$D$157</c:f>
              <c:numCache>
                <c:formatCode>#,##0</c:formatCode>
                <c:ptCount val="12"/>
                <c:pt idx="0" formatCode="General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'Control Test'!$F$146:$F$157</c:f>
              <c:numCache>
                <c:formatCode>#,##0</c:formatCode>
                <c:ptCount val="12"/>
                <c:pt idx="11">
                  <c:v>2175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8C-48AC-8CBB-25CAB37E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846848"/>
        <c:axId val="1827850656"/>
      </c:scatterChart>
      <c:catAx>
        <c:axId val="1827855008"/>
        <c:scaling>
          <c:orientation val="minMax"/>
        </c:scaling>
        <c:delete val="0"/>
        <c:axPos val="b"/>
        <c:numFmt formatCode="&quot;W &quot;\ 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827841952"/>
        <c:crosses val="autoZero"/>
        <c:auto val="1"/>
        <c:lblAlgn val="ctr"/>
        <c:lblOffset val="100"/>
        <c:noMultiLvlLbl val="0"/>
      </c:catAx>
      <c:valAx>
        <c:axId val="182784195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827855008"/>
        <c:crosses val="autoZero"/>
        <c:crossBetween val="between"/>
      </c:valAx>
      <c:catAx>
        <c:axId val="1827846848"/>
        <c:scaling>
          <c:orientation val="minMax"/>
        </c:scaling>
        <c:delete val="1"/>
        <c:axPos val="b"/>
        <c:numFmt formatCode="&quot;W &quot;\ 00" sourceLinked="1"/>
        <c:majorTickMark val="out"/>
        <c:minorTickMark val="none"/>
        <c:tickLblPos val="nextTo"/>
        <c:crossAx val="1827850656"/>
        <c:crosses val="autoZero"/>
        <c:auto val="1"/>
        <c:lblAlgn val="ctr"/>
        <c:lblOffset val="100"/>
        <c:noMultiLvlLbl val="0"/>
      </c:catAx>
      <c:valAx>
        <c:axId val="1827850656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none"/>
        <c:spPr>
          <a:ln w="9525">
            <a:noFill/>
          </a:ln>
        </c:spPr>
        <c:crossAx val="1827846848"/>
        <c:crosses val="max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5040027375021388"/>
          <c:y val="0.92837715321849501"/>
          <c:w val="0.3824002987502334"/>
          <c:h val="5.78513953044166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1" l="0.75" r="0.75" t="1" header="0.4921259845" footer="0.492125984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479791057898685E-2"/>
          <c:y val="8.1250000000000003E-2"/>
          <c:w val="0.9267926870264539"/>
          <c:h val="0.640625"/>
        </c:manualLayout>
      </c:layout>
      <c:lineChart>
        <c:grouping val="standard"/>
        <c:varyColors val="0"/>
        <c:ser>
          <c:idx val="0"/>
          <c:order val="0"/>
          <c:tx>
            <c:strRef>
              <c:f>'Control CRs'!$K$7</c:f>
              <c:strCache>
                <c:ptCount val="1"/>
                <c:pt idx="0">
                  <c:v>Department 1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numRef>
              <c:f>[0]!myTimeLine</c:f>
              <c:numCache>
                <c:formatCode>"W"\ 00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cat>
          <c:val>
            <c:numRef>
              <c:f>[0]!myCRcumulated_D1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7-48E0-A1BE-D4DE7B368E86}"/>
            </c:ext>
          </c:extLst>
        </c:ser>
        <c:ser>
          <c:idx val="1"/>
          <c:order val="1"/>
          <c:tx>
            <c:strRef>
              <c:f>'Control CRs'!$L$7</c:f>
              <c:strCache>
                <c:ptCount val="1"/>
                <c:pt idx="0">
                  <c:v>Department 2</c:v>
                </c:pt>
              </c:strCache>
            </c:strRef>
          </c:tx>
          <c:spPr>
            <a:ln w="12700">
              <a:solidFill>
                <a:srgbClr val="41474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414749"/>
              </a:solidFill>
              <a:ln>
                <a:solidFill>
                  <a:srgbClr val="414749"/>
                </a:solidFill>
                <a:prstDash val="solid"/>
              </a:ln>
            </c:spPr>
          </c:marker>
          <c:val>
            <c:numRef>
              <c:f>[0]!myCRcumulated_D2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7-48E0-A1BE-D4DE7B368E86}"/>
            </c:ext>
          </c:extLst>
        </c:ser>
        <c:ser>
          <c:idx val="2"/>
          <c:order val="2"/>
          <c:tx>
            <c:strRef>
              <c:f>'Control CRs'!$M$7</c:f>
              <c:strCache>
                <c:ptCount val="1"/>
                <c:pt idx="0">
                  <c:v>Department 3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val>
            <c:numRef>
              <c:f>[0]!myCRcumulated_D3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7-48E0-A1BE-D4DE7B368E86}"/>
            </c:ext>
          </c:extLst>
        </c:ser>
        <c:ser>
          <c:idx val="3"/>
          <c:order val="3"/>
          <c:tx>
            <c:strRef>
              <c:f>'Control CRs'!$N$7</c:f>
              <c:strCache>
                <c:ptCount val="1"/>
                <c:pt idx="0">
                  <c:v>Department 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[0]!myCRcumulated_D4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7-48E0-A1BE-D4DE7B368E86}"/>
            </c:ext>
          </c:extLst>
        </c:ser>
        <c:ser>
          <c:idx val="4"/>
          <c:order val="4"/>
          <c:tx>
            <c:strRef>
              <c:f>'Control CRs'!$O$7</c:f>
              <c:strCache>
                <c:ptCount val="1"/>
                <c:pt idx="0">
                  <c:v>Department 5</c:v>
                </c:pt>
              </c:strCache>
            </c:strRef>
          </c:tx>
          <c:spPr>
            <a:ln w="12700">
              <a:solidFill>
                <a:srgbClr val="6B7072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B7072"/>
                </a:solidFill>
                <a:prstDash val="solid"/>
              </a:ln>
            </c:spPr>
          </c:marker>
          <c:val>
            <c:numRef>
              <c:f>[0]!myCRcumulated_D5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07-48E0-A1BE-D4DE7B368E86}"/>
            </c:ext>
          </c:extLst>
        </c:ser>
        <c:ser>
          <c:idx val="5"/>
          <c:order val="5"/>
          <c:tx>
            <c:strRef>
              <c:f>'Control CRs'!$P$7</c:f>
              <c:strCache>
                <c:ptCount val="1"/>
                <c:pt idx="0">
                  <c:v>IT</c:v>
                </c:pt>
              </c:strCache>
            </c:strRef>
          </c:tx>
          <c:spPr>
            <a:ln w="12700">
              <a:solidFill>
                <a:srgbClr val="C1033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10330"/>
              </a:solidFill>
              <a:ln>
                <a:solidFill>
                  <a:srgbClr val="C10330"/>
                </a:solidFill>
                <a:prstDash val="solid"/>
              </a:ln>
            </c:spPr>
          </c:marker>
          <c:val>
            <c:numRef>
              <c:f>[0]!myCRcumulated_IT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07-48E0-A1BE-D4DE7B368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010112"/>
        <c:axId val="1720000320"/>
      </c:lineChart>
      <c:catAx>
        <c:axId val="172001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5482931455997905"/>
              <c:y val="0.81874999999999998"/>
            </c:manualLayout>
          </c:layout>
          <c:overlay val="0"/>
          <c:spPr>
            <a:noFill/>
            <a:ln w="25400">
              <a:noFill/>
            </a:ln>
          </c:spPr>
        </c:title>
        <c:numFmt formatCode="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003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2000032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101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7.6613003786809825E-2"/>
          <c:y val="0.91874999999999996"/>
          <c:w val="0.81182902258303746"/>
          <c:h val="6.5625000000000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51612903225806"/>
          <c:y val="5.0000162760946487E-2"/>
          <c:w val="0.76290322580645165"/>
          <c:h val="0.903336273881099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808080"/>
            </a:solidFill>
            <a:ln w="25400">
              <a:noFill/>
            </a:ln>
          </c:spPr>
          <c:invertIfNegative val="1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CRs'!$G$79:$G$84</c:f>
              <c:strCache>
                <c:ptCount val="6"/>
                <c:pt idx="0">
                  <c:v>Department 5</c:v>
                </c:pt>
                <c:pt idx="1">
                  <c:v>Department 1</c:v>
                </c:pt>
                <c:pt idx="2">
                  <c:v>Department 4</c:v>
                </c:pt>
                <c:pt idx="3">
                  <c:v>IT</c:v>
                </c:pt>
                <c:pt idx="4">
                  <c:v>Department 3</c:v>
                </c:pt>
                <c:pt idx="5">
                  <c:v>Department 2</c:v>
                </c:pt>
              </c:strCache>
            </c:strRef>
          </c:cat>
          <c:val>
            <c:numRef>
              <c:f>'Control CRs'!$H$79:$H$84</c:f>
              <c:numCache>
                <c:formatCode>#,##0</c:formatCode>
                <c:ptCount val="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8DE-407C-9A1E-C68C3D83A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720003040"/>
        <c:axId val="1720006304"/>
      </c:barChart>
      <c:catAx>
        <c:axId val="172000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06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2000630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7200030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6479791057898685E-2"/>
          <c:y val="7.331378299120235E-2"/>
          <c:w val="0.9267926870264539"/>
          <c:h val="0.72727272727272729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414749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414749"/>
              </a:solidFill>
              <a:ln>
                <a:solidFill>
                  <a:srgbClr val="414749"/>
                </a:solidFill>
                <a:prstDash val="solid"/>
              </a:ln>
            </c:spPr>
          </c:marker>
          <c:cat>
            <c:numRef>
              <c:f>[0]!myTimeLine</c:f>
              <c:numCache>
                <c:formatCode>"W"\ 00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</c:numCache>
            </c:numRef>
          </c:cat>
          <c:val>
            <c:numRef>
              <c:f>[0]!myCRcumulated</c:f>
              <c:numCache>
                <c:formatCode>#,##0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13</c:v>
                </c:pt>
                <c:pt idx="15">
                  <c:v>15</c:v>
                </c:pt>
                <c:pt idx="16">
                  <c:v>17</c:v>
                </c:pt>
                <c:pt idx="17">
                  <c:v>20</c:v>
                </c:pt>
                <c:pt idx="18">
                  <c:v>20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9-4F29-82D5-ADB9D9F88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012832"/>
        <c:axId val="1720006848"/>
      </c:lineChart>
      <c:catAx>
        <c:axId val="172001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5482931455997905"/>
              <c:y val="0.89149560117302051"/>
            </c:manualLayout>
          </c:layout>
          <c:overlay val="0"/>
          <c:spPr>
            <a:noFill/>
            <a:ln w="25400">
              <a:noFill/>
            </a:ln>
          </c:spPr>
        </c:title>
        <c:numFmt formatCode="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06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20006848"/>
        <c:scaling>
          <c:orientation val="minMax"/>
        </c:scaling>
        <c:delete val="0"/>
        <c:axPos val="r"/>
        <c:majorGridlines>
          <c:spPr>
            <a:ln w="3175">
              <a:solidFill>
                <a:srgbClr val="CBCCCD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012832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 paperSize="9" orientation="landscape" verticalDpi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092229470884614E-2"/>
          <c:y val="9.375E-2"/>
          <c:w val="0.86773632003882772"/>
          <c:h val="0.883928571428571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'Control CRs'!$B$74</c:f>
              <c:strCache>
                <c:ptCount val="1"/>
                <c:pt idx="0">
                  <c:v>Invisible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'Control CRs'!$C$72:$H$72</c:f>
              <c:strCache>
                <c:ptCount val="6"/>
                <c:pt idx="0">
                  <c:v>Total</c:v>
                </c:pt>
                <c:pt idx="1">
                  <c:v>In investigation</c:v>
                </c:pt>
                <c:pt idx="2">
                  <c:v>Approved (in implementation)</c:v>
                </c:pt>
                <c:pt idx="3">
                  <c:v>Included (delivered)</c:v>
                </c:pt>
                <c:pt idx="4">
                  <c:v>Future CRs</c:v>
                </c:pt>
                <c:pt idx="5">
                  <c:v>Rejected or cancelled</c:v>
                </c:pt>
              </c:strCache>
            </c:strRef>
          </c:cat>
          <c:val>
            <c:numRef>
              <c:f>'Control CRs'!$C$74:$H$74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24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3-4422-A735-AD54E2799237}"/>
            </c:ext>
          </c:extLst>
        </c:ser>
        <c:ser>
          <c:idx val="0"/>
          <c:order val="1"/>
          <c:tx>
            <c:strRef>
              <c:f>'Control CRs'!$B$73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00000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2163-4422-A735-AD54E2799237}"/>
              </c:ext>
            </c:extLst>
          </c:dPt>
          <c:cat>
            <c:strRef>
              <c:f>'Control CRs'!$C$72:$H$72</c:f>
              <c:strCache>
                <c:ptCount val="6"/>
                <c:pt idx="0">
                  <c:v>Total</c:v>
                </c:pt>
                <c:pt idx="1">
                  <c:v>In investigation</c:v>
                </c:pt>
                <c:pt idx="2">
                  <c:v>Approved (in implementation)</c:v>
                </c:pt>
                <c:pt idx="3">
                  <c:v>Included (delivered)</c:v>
                </c:pt>
                <c:pt idx="4">
                  <c:v>Future CRs</c:v>
                </c:pt>
                <c:pt idx="5">
                  <c:v>Rejected or cancelled</c:v>
                </c:pt>
              </c:strCache>
            </c:strRef>
          </c:cat>
          <c:val>
            <c:numRef>
              <c:f>'Control CRs'!$C$73:$H$73</c:f>
              <c:numCache>
                <c:formatCode>#,##0</c:formatCode>
                <c:ptCount val="6"/>
                <c:pt idx="0">
                  <c:v>33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25400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163-4422-A735-AD54E2799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20015552"/>
        <c:axId val="1720013376"/>
      </c:barChart>
      <c:catAx>
        <c:axId val="1720015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 w="9525">
            <a:noFill/>
          </a:ln>
        </c:spPr>
        <c:crossAx val="1720013376"/>
        <c:crosses val="autoZero"/>
        <c:auto val="1"/>
        <c:lblAlgn val="ctr"/>
        <c:lblOffset val="100"/>
        <c:tickMarkSkip val="1"/>
        <c:noMultiLvlLbl val="0"/>
      </c:catAx>
      <c:valAx>
        <c:axId val="1720013376"/>
        <c:scaling>
          <c:orientation val="minMax"/>
          <c:min val="0"/>
        </c:scaling>
        <c:delete val="0"/>
        <c:axPos val="t"/>
        <c:numFmt formatCode="#,##0" sourceLinked="1"/>
        <c:majorTickMark val="none"/>
        <c:minorTickMark val="none"/>
        <c:tickLblPos val="none"/>
        <c:spPr>
          <a:ln w="9525">
            <a:noFill/>
          </a:ln>
        </c:spPr>
        <c:crossAx val="17200155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4921259845" footer="0.492125984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Spin" dx="16" fmlaLink="'Control General'!$C$4" max="52" min="1" page="10" val="27"/>
</file>

<file path=xl/ctrlProps/ctrlProp2.xml><?xml version="1.0" encoding="utf-8"?>
<formControlPr xmlns="http://schemas.microsoft.com/office/spreadsheetml/2009/9/main" objectType="Spin" dx="16" fmlaLink="'Control General'!$C$4" max="52" min="1" page="10" val="27"/>
</file>

<file path=xl/ctrlProps/ctrlProp3.xml><?xml version="1.0" encoding="utf-8"?>
<formControlPr xmlns="http://schemas.microsoft.com/office/spreadsheetml/2009/9/main" objectType="Spin" dx="16" fmlaLink="'Control General'!$C$4" max="52" min="1" page="10" val="27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9</xdr:col>
      <xdr:colOff>0</xdr:colOff>
      <xdr:row>18</xdr:row>
      <xdr:rowOff>133350</xdr:rowOff>
    </xdr:to>
    <xdr:graphicFrame macro="">
      <xdr:nvGraphicFramePr>
        <xdr:cNvPr id="1046" name="Chart 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0</xdr:rowOff>
    </xdr:from>
    <xdr:to>
      <xdr:col>18</xdr:col>
      <xdr:colOff>0</xdr:colOff>
      <xdr:row>19</xdr:row>
      <xdr:rowOff>0</xdr:rowOff>
    </xdr:to>
    <xdr:graphicFrame macro="">
      <xdr:nvGraphicFramePr>
        <xdr:cNvPr id="1047" name="Chart 1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</xdr:row>
      <xdr:rowOff>323850</xdr:rowOff>
    </xdr:from>
    <xdr:to>
      <xdr:col>15</xdr:col>
      <xdr:colOff>0</xdr:colOff>
      <xdr:row>10</xdr:row>
      <xdr:rowOff>0</xdr:rowOff>
    </xdr:to>
    <xdr:graphicFrame macro="">
      <xdr:nvGraphicFramePr>
        <xdr:cNvPr id="1048" name="Chart 1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18</xdr:col>
      <xdr:colOff>0</xdr:colOff>
      <xdr:row>28</xdr:row>
      <xdr:rowOff>0</xdr:rowOff>
    </xdr:to>
    <xdr:graphicFrame macro="">
      <xdr:nvGraphicFramePr>
        <xdr:cNvPr id="1049" name="Chart 2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0</xdr:row>
          <xdr:rowOff>104775</xdr:rowOff>
        </xdr:from>
        <xdr:to>
          <xdr:col>19</xdr:col>
          <xdr:colOff>0</xdr:colOff>
          <xdr:row>2</xdr:row>
          <xdr:rowOff>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6</xdr:row>
      <xdr:rowOff>161925</xdr:rowOff>
    </xdr:from>
    <xdr:to>
      <xdr:col>11</xdr:col>
      <xdr:colOff>552450</xdr:colOff>
      <xdr:row>15</xdr:row>
      <xdr:rowOff>114300</xdr:rowOff>
    </xdr:to>
    <xdr:graphicFrame macro="">
      <xdr:nvGraphicFramePr>
        <xdr:cNvPr id="51201" name="Chart 1">
          <a:extLst>
            <a:ext uri="{FF2B5EF4-FFF2-40B4-BE49-F238E27FC236}">
              <a16:creationId xmlns:a16="http://schemas.microsoft.com/office/drawing/2014/main" id="{00000000-0008-0000-0100-000001C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6</xdr:row>
      <xdr:rowOff>257175</xdr:rowOff>
    </xdr:from>
    <xdr:to>
      <xdr:col>15</xdr:col>
      <xdr:colOff>0</xdr:colOff>
      <xdr:row>15</xdr:row>
      <xdr:rowOff>95250</xdr:rowOff>
    </xdr:to>
    <xdr:graphicFrame macro="">
      <xdr:nvGraphicFramePr>
        <xdr:cNvPr id="51202" name="Chart 2">
          <a:extLst>
            <a:ext uri="{FF2B5EF4-FFF2-40B4-BE49-F238E27FC236}">
              <a16:creationId xmlns:a16="http://schemas.microsoft.com/office/drawing/2014/main" id="{00000000-0008-0000-0100-000002C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51203" name="Chart 3">
          <a:extLst>
            <a:ext uri="{FF2B5EF4-FFF2-40B4-BE49-F238E27FC236}">
              <a16:creationId xmlns:a16="http://schemas.microsoft.com/office/drawing/2014/main" id="{00000000-0008-0000-0100-000003C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27</xdr:row>
      <xdr:rowOff>0</xdr:rowOff>
    </xdr:to>
    <xdr:graphicFrame macro="">
      <xdr:nvGraphicFramePr>
        <xdr:cNvPr id="51204" name="Chart 4">
          <a:extLst>
            <a:ext uri="{FF2B5EF4-FFF2-40B4-BE49-F238E27FC236}">
              <a16:creationId xmlns:a16="http://schemas.microsoft.com/office/drawing/2014/main" id="{00000000-0008-0000-0100-000004C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</xdr:row>
          <xdr:rowOff>0</xdr:rowOff>
        </xdr:from>
        <xdr:to>
          <xdr:col>16</xdr:col>
          <xdr:colOff>0</xdr:colOff>
          <xdr:row>2</xdr:row>
          <xdr:rowOff>0</xdr:rowOff>
        </xdr:to>
        <xdr:sp macro="" textlink="">
          <xdr:nvSpPr>
            <xdr:cNvPr id="51205" name="Spinner Weeks" hidden="1">
              <a:extLst>
                <a:ext uri="{63B3BB69-23CF-44E3-9099-C40C66FF867C}">
                  <a14:compatExt spid="_x0000_s51205"/>
                </a:ext>
                <a:ext uri="{FF2B5EF4-FFF2-40B4-BE49-F238E27FC236}">
                  <a16:creationId xmlns:a16="http://schemas.microsoft.com/office/drawing/2014/main" id="{00000000-0008-0000-0100-000005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0</xdr:rowOff>
    </xdr:from>
    <xdr:to>
      <xdr:col>13</xdr:col>
      <xdr:colOff>0</xdr:colOff>
      <xdr:row>35</xdr:row>
      <xdr:rowOff>0</xdr:rowOff>
    </xdr:to>
    <xdr:graphicFrame macro="">
      <xdr:nvGraphicFramePr>
        <xdr:cNvPr id="58369" name="Chart 4">
          <a:extLst>
            <a:ext uri="{FF2B5EF4-FFF2-40B4-BE49-F238E27FC236}">
              <a16:creationId xmlns:a16="http://schemas.microsoft.com/office/drawing/2014/main" id="{00000000-0008-0000-0200-000001E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6</xdr:col>
      <xdr:colOff>0</xdr:colOff>
      <xdr:row>34</xdr:row>
      <xdr:rowOff>0</xdr:rowOff>
    </xdr:to>
    <xdr:graphicFrame macro="">
      <xdr:nvGraphicFramePr>
        <xdr:cNvPr id="58370" name="Chart 3">
          <a:extLst>
            <a:ext uri="{FF2B5EF4-FFF2-40B4-BE49-F238E27FC236}">
              <a16:creationId xmlns:a16="http://schemas.microsoft.com/office/drawing/2014/main" id="{00000000-0008-0000-0200-000002E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58371" name="Chart 2">
          <a:extLst>
            <a:ext uri="{FF2B5EF4-FFF2-40B4-BE49-F238E27FC236}">
              <a16:creationId xmlns:a16="http://schemas.microsoft.com/office/drawing/2014/main" id="{00000000-0008-0000-0200-000003E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1152525</xdr:colOff>
      <xdr:row>10</xdr:row>
      <xdr:rowOff>0</xdr:rowOff>
    </xdr:from>
    <xdr:to>
      <xdr:col>6</xdr:col>
      <xdr:colOff>0</xdr:colOff>
      <xdr:row>18</xdr:row>
      <xdr:rowOff>0</xdr:rowOff>
    </xdr:to>
    <xdr:graphicFrame macro="">
      <xdr:nvGraphicFramePr>
        <xdr:cNvPr id="58372" name="Chart 1">
          <a:extLst>
            <a:ext uri="{FF2B5EF4-FFF2-40B4-BE49-F238E27FC236}">
              <a16:creationId xmlns:a16="http://schemas.microsoft.com/office/drawing/2014/main" id="{00000000-0008-0000-0200-000004E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14</xdr:col>
          <xdr:colOff>0</xdr:colOff>
          <xdr:row>2</xdr:row>
          <xdr:rowOff>0</xdr:rowOff>
        </xdr:to>
        <xdr:sp macro="" textlink="">
          <xdr:nvSpPr>
            <xdr:cNvPr id="58373" name="Spinner Weeks" hidden="1">
              <a:extLst>
                <a:ext uri="{63B3BB69-23CF-44E3-9099-C40C66FF867C}">
                  <a14:compatExt spid="_x0000_s58373"/>
                </a:ext>
                <a:ext uri="{FF2B5EF4-FFF2-40B4-BE49-F238E27FC236}">
                  <a16:creationId xmlns:a16="http://schemas.microsoft.com/office/drawing/2014/main" id="{00000000-0008-0000-0200-000005E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indexed="12"/>
    <pageSetUpPr fitToPage="1"/>
  </sheetPr>
  <dimension ref="B1:R26"/>
  <sheetViews>
    <sheetView showGridLines="0"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1" max="1" width="1.7109375" style="3" customWidth="1"/>
    <col min="2" max="2" width="16.7109375" style="3" customWidth="1"/>
    <col min="3" max="13" width="11.28515625" style="3" customWidth="1"/>
    <col min="14" max="14" width="13.7109375" style="3" customWidth="1"/>
    <col min="15" max="15" width="5.7109375" style="3" customWidth="1"/>
    <col min="16" max="16" width="13.7109375" style="3" customWidth="1"/>
    <col min="17" max="18" width="10.7109375" style="3" customWidth="1"/>
    <col min="19" max="19" width="2.7109375" style="3" customWidth="1"/>
    <col min="20" max="20" width="1.7109375" style="3" customWidth="1"/>
    <col min="21" max="16384" width="11.42578125" style="3"/>
  </cols>
  <sheetData>
    <row r="1" spans="2:18" ht="5.0999999999999996" customHeight="1" x14ac:dyDescent="0.2">
      <c r="B1"/>
    </row>
    <row r="2" spans="2:18" ht="30" customHeight="1" thickBot="1" x14ac:dyDescent="0.25">
      <c r="B2" s="255" t="s">
        <v>196</v>
      </c>
      <c r="C2" s="35"/>
      <c r="D2" s="35"/>
      <c r="E2" s="35"/>
      <c r="F2" s="35"/>
      <c r="G2" s="39"/>
      <c r="H2" s="39"/>
      <c r="I2" s="39"/>
      <c r="J2" s="39"/>
      <c r="K2" s="39"/>
      <c r="L2" s="39"/>
      <c r="M2" s="252" t="s">
        <v>18</v>
      </c>
      <c r="N2" s="253">
        <f>'Control General'!$C$8</f>
        <v>40000</v>
      </c>
      <c r="O2" s="254" t="s">
        <v>19</v>
      </c>
      <c r="P2" s="253">
        <f>'Control General'!$C$10</f>
        <v>40006</v>
      </c>
      <c r="Q2" s="250"/>
      <c r="R2" s="251">
        <f>INDEX('Control Defects'!$B$36:$B$87,'Control General'!$C$4,1)</f>
        <v>28</v>
      </c>
    </row>
    <row r="3" spans="2:18" ht="5.0999999999999996" customHeight="1" x14ac:dyDescent="0.2"/>
    <row r="4" spans="2:18" ht="20.100000000000001" customHeight="1" x14ac:dyDescent="0.2">
      <c r="B4" s="257" t="s">
        <v>23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6" spans="2:18" ht="24.95" customHeight="1" x14ac:dyDescent="0.2">
      <c r="C6" s="29" t="s">
        <v>32</v>
      </c>
      <c r="D6" s="30" t="s">
        <v>1</v>
      </c>
      <c r="E6" s="66" t="s">
        <v>31</v>
      </c>
      <c r="F6" s="31" t="s">
        <v>30</v>
      </c>
      <c r="G6" s="43" t="s">
        <v>6</v>
      </c>
    </row>
    <row r="7" spans="2:18" ht="24.95" customHeight="1" x14ac:dyDescent="0.2">
      <c r="B7" s="37" t="s">
        <v>0</v>
      </c>
      <c r="C7" s="21">
        <f>'Control Defects'!C5</f>
        <v>3</v>
      </c>
      <c r="D7" s="21">
        <f>'Control Defects'!D5</f>
        <v>14</v>
      </c>
      <c r="E7" s="21">
        <f>'Control Defects'!E5</f>
        <v>23</v>
      </c>
      <c r="F7" s="21">
        <f>'Control Defects'!F5</f>
        <v>3</v>
      </c>
      <c r="G7" s="40">
        <f>'Control Defects'!G5</f>
        <v>43</v>
      </c>
      <c r="H7" s="32"/>
      <c r="I7" s="33"/>
      <c r="J7" s="34"/>
      <c r="K7" s="34"/>
      <c r="L7" s="34"/>
      <c r="M7" s="34"/>
      <c r="N7" s="34"/>
      <c r="O7" s="34"/>
      <c r="P7" s="277" t="s">
        <v>41</v>
      </c>
      <c r="Q7" s="277"/>
      <c r="R7" s="277"/>
    </row>
    <row r="8" spans="2:18" ht="24.95" customHeight="1" x14ac:dyDescent="0.2">
      <c r="B8" s="38" t="s">
        <v>2</v>
      </c>
      <c r="C8" s="25">
        <f>'Control Defects'!C6</f>
        <v>0</v>
      </c>
      <c r="D8" s="25">
        <f>'Control Defects'!D6</f>
        <v>7</v>
      </c>
      <c r="E8" s="25">
        <f>'Control Defects'!E6</f>
        <v>9</v>
      </c>
      <c r="F8" s="25">
        <f>'Control Defects'!F6</f>
        <v>0</v>
      </c>
      <c r="G8" s="41">
        <f>'Control Defects'!G6</f>
        <v>16</v>
      </c>
      <c r="H8" s="22"/>
      <c r="I8" s="23"/>
      <c r="J8" s="24"/>
      <c r="K8" s="24"/>
      <c r="L8" s="24"/>
      <c r="M8" s="24"/>
      <c r="N8" s="24"/>
      <c r="O8" s="24"/>
      <c r="P8" s="278" t="s">
        <v>42</v>
      </c>
      <c r="Q8" s="278"/>
      <c r="R8" s="278"/>
    </row>
    <row r="9" spans="2:18" ht="24.95" customHeight="1" x14ac:dyDescent="0.2">
      <c r="B9" s="38" t="s">
        <v>34</v>
      </c>
      <c r="C9" s="25">
        <f>'Control Defects'!C7</f>
        <v>9</v>
      </c>
      <c r="D9" s="25">
        <f>'Control Defects'!D7</f>
        <v>79</v>
      </c>
      <c r="E9" s="25">
        <f>'Control Defects'!E7</f>
        <v>92</v>
      </c>
      <c r="F9" s="25">
        <f>'Control Defects'!F7</f>
        <v>16</v>
      </c>
      <c r="G9" s="41">
        <f>'Control Defects'!G7</f>
        <v>196</v>
      </c>
      <c r="H9" s="22"/>
      <c r="I9" s="23"/>
      <c r="J9" s="24"/>
      <c r="K9" s="24"/>
      <c r="L9" s="24"/>
      <c r="M9" s="24"/>
      <c r="N9" s="24"/>
      <c r="O9" s="24"/>
      <c r="P9" s="278" t="s">
        <v>43</v>
      </c>
      <c r="Q9" s="278"/>
      <c r="R9" s="278"/>
    </row>
    <row r="10" spans="2:18" ht="24.95" customHeight="1" x14ac:dyDescent="0.2">
      <c r="B10" s="44" t="s">
        <v>6</v>
      </c>
      <c r="C10" s="42">
        <f>'Control Defects'!C8</f>
        <v>12</v>
      </c>
      <c r="D10" s="42">
        <f>'Control Defects'!D8</f>
        <v>100</v>
      </c>
      <c r="E10" s="42">
        <f>'Control Defects'!E8</f>
        <v>124</v>
      </c>
      <c r="F10" s="42">
        <f>'Control Defects'!F8</f>
        <v>19</v>
      </c>
      <c r="G10" s="42">
        <f>'Control Defects'!G8</f>
        <v>255</v>
      </c>
    </row>
    <row r="12" spans="2:18" ht="20.100000000000001" customHeight="1" x14ac:dyDescent="0.2">
      <c r="B12" s="257" t="s">
        <v>22</v>
      </c>
      <c r="C12" s="28"/>
      <c r="D12" s="28"/>
      <c r="E12" s="28"/>
      <c r="F12" s="28"/>
      <c r="G12" s="28"/>
      <c r="H12" s="28"/>
      <c r="I12" s="28"/>
      <c r="K12" s="257" t="s">
        <v>37</v>
      </c>
      <c r="L12" s="67"/>
      <c r="M12" s="28"/>
      <c r="N12" s="28"/>
      <c r="O12" s="28"/>
      <c r="P12" s="28"/>
      <c r="Q12" s="28"/>
      <c r="R12" s="28"/>
    </row>
    <row r="13" spans="2:18" ht="30" customHeight="1" x14ac:dyDescent="0.2"/>
    <row r="14" spans="2:18" ht="30" customHeight="1" x14ac:dyDescent="0.2"/>
    <row r="15" spans="2:18" ht="30" customHeight="1" x14ac:dyDescent="0.2"/>
    <row r="16" spans="2:18" ht="30" customHeight="1" x14ac:dyDescent="0.2"/>
    <row r="17" spans="2:18" ht="30" customHeight="1" x14ac:dyDescent="0.2"/>
    <row r="18" spans="2:18" ht="30" customHeight="1" x14ac:dyDescent="0.2"/>
    <row r="19" spans="2:18" ht="12.75" customHeight="1" x14ac:dyDescent="0.2"/>
    <row r="20" spans="2:18" ht="20.100000000000001" customHeight="1" x14ac:dyDescent="0.2">
      <c r="B20" s="257" t="s">
        <v>33</v>
      </c>
      <c r="C20" s="28"/>
      <c r="D20" s="28"/>
      <c r="E20" s="28"/>
      <c r="F20" s="28"/>
      <c r="G20" s="28"/>
      <c r="H20" s="28"/>
      <c r="I20" s="28"/>
      <c r="K20" s="257" t="s">
        <v>21</v>
      </c>
      <c r="L20" s="67"/>
      <c r="M20" s="28"/>
      <c r="N20" s="28"/>
      <c r="O20" s="28"/>
      <c r="P20" s="28"/>
      <c r="Q20" s="28"/>
      <c r="R20" s="28"/>
    </row>
    <row r="21" spans="2:18" ht="24.95" customHeight="1" x14ac:dyDescent="0.2"/>
    <row r="22" spans="2:18" ht="24.95" customHeight="1" x14ac:dyDescent="0.2">
      <c r="E22" s="29" t="s">
        <v>32</v>
      </c>
      <c r="F22" s="30" t="s">
        <v>1</v>
      </c>
      <c r="G22" s="66" t="s">
        <v>31</v>
      </c>
      <c r="H22" s="31" t="s">
        <v>30</v>
      </c>
      <c r="I22" s="45" t="s">
        <v>6</v>
      </c>
    </row>
    <row r="23" spans="2:18" ht="24.95" customHeight="1" x14ac:dyDescent="0.2">
      <c r="B23" s="268" t="s">
        <v>20</v>
      </c>
      <c r="C23" s="269"/>
      <c r="D23" s="270"/>
      <c r="E23" s="63">
        <f>IF(ISERROR('Control Defects'!C31),"",'Control Defects'!C31)</f>
        <v>10.777777777777779</v>
      </c>
      <c r="F23" s="63">
        <f>IF(ISERROR('Control Defects'!D31),"",'Control Defects'!D31)</f>
        <v>20.872093023255815</v>
      </c>
      <c r="G23" s="63">
        <f>IF(ISERROR('Control Defects'!E31),"",'Control Defects'!E31)</f>
        <v>17.544554455445546</v>
      </c>
      <c r="H23" s="63">
        <f>IF(ISERROR('Control Defects'!F31),"",'Control Defects'!F31)</f>
        <v>8.75</v>
      </c>
      <c r="I23" s="63">
        <f>IF(ISERROR('Control Defects'!G31),"",'Control Defects'!G31)</f>
        <v>17.943396226415093</v>
      </c>
    </row>
    <row r="24" spans="2:18" ht="24.95" customHeight="1" x14ac:dyDescent="0.2">
      <c r="B24" s="271" t="s">
        <v>35</v>
      </c>
      <c r="C24" s="272"/>
      <c r="D24" s="273"/>
      <c r="E24" s="64">
        <f>IF(ISERROR('Control Defects'!C32),"",'Control Defects'!C32)</f>
        <v>6.666666666666667</v>
      </c>
      <c r="F24" s="64">
        <f>IF(ISERROR('Control Defects'!D32),"",'Control Defects'!D32)</f>
        <v>13.924050632911392</v>
      </c>
      <c r="G24" s="64">
        <f>IF(ISERROR('Control Defects'!E32),"",'Control Defects'!E32)</f>
        <v>13.282608695652174</v>
      </c>
      <c r="H24" s="64">
        <f>IF(ISERROR('Control Defects'!F32),"",'Control Defects'!F32)</f>
        <v>6.3125</v>
      </c>
      <c r="I24" s="64">
        <f>IF(ISERROR('Control Defects'!G32),"",'Control Defects'!G32)</f>
        <v>12.668367346938776</v>
      </c>
    </row>
    <row r="25" spans="2:18" ht="24.95" customHeight="1" x14ac:dyDescent="0.2">
      <c r="B25" s="274" t="s">
        <v>36</v>
      </c>
      <c r="C25" s="275"/>
      <c r="D25" s="276"/>
      <c r="E25" s="65">
        <f>IF(ISERROR('Control Defects'!C33),"",'Control Defects'!C33)</f>
        <v>17.444444444444443</v>
      </c>
      <c r="F25" s="65">
        <f>IF(ISERROR('Control Defects'!D33),"",'Control Defects'!D33)</f>
        <v>31.721518987341771</v>
      </c>
      <c r="G25" s="65">
        <f>IF(ISERROR('Control Defects'!E33),"",'Control Defects'!E33)</f>
        <v>31.402173913043477</v>
      </c>
      <c r="H25" s="65">
        <f>IF(ISERROR('Control Defects'!F33),"",'Control Defects'!F33)</f>
        <v>15.0625</v>
      </c>
      <c r="I25" s="65">
        <f>IF(ISERROR('Control Defects'!G33),"",'Control Defects'!G33)</f>
        <v>29.556122448979593</v>
      </c>
    </row>
    <row r="26" spans="2:18" ht="24.95" customHeight="1" x14ac:dyDescent="0.2"/>
  </sheetData>
  <mergeCells count="6">
    <mergeCell ref="B23:D23"/>
    <mergeCell ref="B24:D24"/>
    <mergeCell ref="B25:D25"/>
    <mergeCell ref="P7:R7"/>
    <mergeCell ref="P8:R8"/>
    <mergeCell ref="P9:R9"/>
  </mergeCells>
  <phoneticPr fontId="0" type="noConversion"/>
  <printOptions horizontalCentered="1" verticalCentered="1"/>
  <pageMargins left="0.08" right="0.48" top="0.39370078740157483" bottom="0.39370078740157483" header="0.19685039370078741" footer="0.19685039370078741"/>
  <pageSetup paperSize="9"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1" r:id="rId4" name="Spinner 17">
              <controlPr defaultSize="0" autoPict="0">
                <anchor moveWithCells="1" sizeWithCells="1">
                  <from>
                    <xdr:col>18</xdr:col>
                    <xdr:colOff>0</xdr:colOff>
                    <xdr:row>0</xdr:row>
                    <xdr:rowOff>104775</xdr:rowOff>
                  </from>
                  <to>
                    <xdr:col>19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indexed="12"/>
    <pageSetUpPr fitToPage="1"/>
  </sheetPr>
  <dimension ref="B1:R27"/>
  <sheetViews>
    <sheetView showGridLines="0" zoomScaleNormal="85" workbookViewId="0"/>
  </sheetViews>
  <sheetFormatPr defaultColWidth="10.7109375" defaultRowHeight="12.75" x14ac:dyDescent="0.2"/>
  <cols>
    <col min="1" max="1" width="1.7109375" style="69" customWidth="1"/>
    <col min="2" max="2" width="24.7109375" style="69" customWidth="1"/>
    <col min="3" max="9" width="11.7109375" style="69" customWidth="1"/>
    <col min="10" max="13" width="12.7109375" style="69" customWidth="1"/>
    <col min="14" max="14" width="25.7109375" style="69" customWidth="1"/>
    <col min="15" max="15" width="12.7109375" style="69" customWidth="1"/>
    <col min="16" max="16" width="2.7109375" style="69" customWidth="1"/>
    <col min="17" max="17" width="1.7109375" style="69" customWidth="1"/>
    <col min="18" max="16384" width="10.7109375" style="69"/>
  </cols>
  <sheetData>
    <row r="1" spans="2:16" ht="5.0999999999999996" customHeight="1" x14ac:dyDescent="0.2"/>
    <row r="2" spans="2:16" ht="30" customHeight="1" thickBot="1" x14ac:dyDescent="0.25">
      <c r="B2" s="70" t="s">
        <v>44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>
        <f>'Control General'!$C$9</f>
        <v>40004</v>
      </c>
      <c r="O2" s="72">
        <f>'DB Defects'!R2</f>
        <v>28</v>
      </c>
    </row>
    <row r="3" spans="2:16" ht="5.0999999999999996" customHeight="1" x14ac:dyDescent="0.2"/>
    <row r="4" spans="2:16" ht="20.100000000000001" customHeight="1" x14ac:dyDescent="0.2">
      <c r="B4" s="73" t="s">
        <v>45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2:16" ht="5.0999999999999996" customHeight="1" x14ac:dyDescent="0.2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P5" s="75"/>
    </row>
    <row r="6" spans="2:16" ht="24.95" customHeight="1" x14ac:dyDescent="0.2">
      <c r="C6" s="285" t="s">
        <v>46</v>
      </c>
      <c r="D6" s="285" t="str">
        <f>"# TCs planned for end of week"</f>
        <v># TCs planned for end of week</v>
      </c>
      <c r="E6" s="287" t="s">
        <v>47</v>
      </c>
      <c r="F6" s="288"/>
      <c r="G6" s="288"/>
      <c r="H6" s="288"/>
      <c r="I6" s="289"/>
      <c r="J6" s="279" t="str">
        <f>"Success rate in %
(passed TCs as percentage of finished TCs)
Goal: "&amp;TEXT('Data Test'!$D$11,"0%")&amp;" or higher success rate"</f>
        <v>Success rate in %
(passed TCs as percentage of finished TCs)
Goal: 87% or higher success rate</v>
      </c>
      <c r="K6" s="283"/>
      <c r="L6" s="280"/>
      <c r="M6" s="76" t="s">
        <v>48</v>
      </c>
      <c r="N6" s="279" t="s">
        <v>57</v>
      </c>
      <c r="O6" s="280"/>
      <c r="P6" s="7"/>
    </row>
    <row r="7" spans="2:16" ht="36" customHeight="1" x14ac:dyDescent="0.2">
      <c r="C7" s="286"/>
      <c r="D7" s="286"/>
      <c r="E7" s="78" t="s">
        <v>49</v>
      </c>
      <c r="F7" s="78" t="s">
        <v>50</v>
      </c>
      <c r="G7" s="78" t="s">
        <v>51</v>
      </c>
      <c r="H7" s="78" t="s">
        <v>52</v>
      </c>
      <c r="I7" s="78" t="s">
        <v>53</v>
      </c>
      <c r="J7" s="281"/>
      <c r="K7" s="284"/>
      <c r="L7" s="282"/>
      <c r="M7" s="79" t="s">
        <v>54</v>
      </c>
      <c r="N7" s="281"/>
      <c r="O7" s="282"/>
      <c r="P7" s="7"/>
    </row>
    <row r="8" spans="2:16" ht="24.95" customHeight="1" x14ac:dyDescent="0.2">
      <c r="B8" s="80" t="str">
        <f>'Data Test'!B5</f>
        <v>Software Module 1</v>
      </c>
      <c r="C8" s="81">
        <f>'Control Test'!C100</f>
        <v>400</v>
      </c>
      <c r="D8" s="81">
        <f>'Control Test'!D100</f>
        <v>204</v>
      </c>
      <c r="E8" s="81">
        <f>'Control Test'!E100</f>
        <v>209</v>
      </c>
      <c r="F8" s="81">
        <f>'Control Test'!F100</f>
        <v>17</v>
      </c>
      <c r="G8" s="81">
        <f>'Control Test'!G100</f>
        <v>192</v>
      </c>
      <c r="H8" s="81">
        <f>'Control Test'!H100</f>
        <v>170</v>
      </c>
      <c r="I8" s="81">
        <f>'Control Test'!I100</f>
        <v>22</v>
      </c>
      <c r="J8" s="82"/>
      <c r="K8" s="83"/>
      <c r="L8" s="84">
        <f>'Control Test'!J100</f>
        <v>0.88541666666666663</v>
      </c>
      <c r="M8" s="85">
        <f>'Control Test'!K100</f>
        <v>0.48</v>
      </c>
      <c r="N8" s="86"/>
      <c r="O8" s="87">
        <f>'Control Test'!L100</f>
        <v>0.94117647058823528</v>
      </c>
      <c r="P8" s="7"/>
    </row>
    <row r="9" spans="2:16" ht="24.95" customHeight="1" x14ac:dyDescent="0.2">
      <c r="B9" s="88" t="str">
        <f>'Data Test'!B6</f>
        <v>Software Module 2</v>
      </c>
      <c r="C9" s="89">
        <f>'Control Test'!C101</f>
        <v>300</v>
      </c>
      <c r="D9" s="89">
        <f>'Control Test'!D101</f>
        <v>150</v>
      </c>
      <c r="E9" s="89">
        <f>'Control Test'!E101</f>
        <v>153</v>
      </c>
      <c r="F9" s="89">
        <f>'Control Test'!F101</f>
        <v>9</v>
      </c>
      <c r="G9" s="89">
        <f>'Control Test'!G101</f>
        <v>144</v>
      </c>
      <c r="H9" s="89">
        <f>'Control Test'!H101</f>
        <v>126</v>
      </c>
      <c r="I9" s="89">
        <f>'Control Test'!I101</f>
        <v>18</v>
      </c>
      <c r="J9" s="90"/>
      <c r="K9" s="90"/>
      <c r="L9" s="84">
        <f>'Control Test'!J101</f>
        <v>0.875</v>
      </c>
      <c r="M9" s="91">
        <f>'Control Test'!K101</f>
        <v>0.48</v>
      </c>
      <c r="N9" s="92"/>
      <c r="O9" s="84">
        <f>'Control Test'!L101</f>
        <v>0.96</v>
      </c>
      <c r="P9" s="7"/>
    </row>
    <row r="10" spans="2:16" ht="24.95" customHeight="1" x14ac:dyDescent="0.2">
      <c r="B10" s="88" t="str">
        <f>'Data Test'!B7</f>
        <v>Software Module 3</v>
      </c>
      <c r="C10" s="89">
        <f>'Control Test'!C102</f>
        <v>600</v>
      </c>
      <c r="D10" s="89">
        <f>'Control Test'!D102</f>
        <v>300</v>
      </c>
      <c r="E10" s="89">
        <f>'Control Test'!E102</f>
        <v>298</v>
      </c>
      <c r="F10" s="89">
        <f>'Control Test'!F102</f>
        <v>22</v>
      </c>
      <c r="G10" s="89">
        <f>'Control Test'!G102</f>
        <v>276</v>
      </c>
      <c r="H10" s="89">
        <f>'Control Test'!H102</f>
        <v>254</v>
      </c>
      <c r="I10" s="89">
        <f>'Control Test'!I102</f>
        <v>22</v>
      </c>
      <c r="J10" s="90"/>
      <c r="K10" s="90"/>
      <c r="L10" s="84">
        <f>'Control Test'!J102</f>
        <v>0.92028985507246375</v>
      </c>
      <c r="M10" s="91">
        <f>'Control Test'!K102</f>
        <v>0.46</v>
      </c>
      <c r="N10" s="92"/>
      <c r="O10" s="84">
        <f>'Control Test'!L102</f>
        <v>0.92</v>
      </c>
      <c r="P10" s="7"/>
    </row>
    <row r="11" spans="2:16" ht="24.95" customHeight="1" x14ac:dyDescent="0.2">
      <c r="B11" s="88" t="str">
        <f>'Data Test'!B8</f>
        <v>Software Module 4</v>
      </c>
      <c r="C11" s="89">
        <f>'Control Test'!C103</f>
        <v>800</v>
      </c>
      <c r="D11" s="89">
        <f>'Control Test'!D103</f>
        <v>402</v>
      </c>
      <c r="E11" s="89">
        <f>'Control Test'!E103</f>
        <v>417</v>
      </c>
      <c r="F11" s="89">
        <f>'Control Test'!F103</f>
        <v>4</v>
      </c>
      <c r="G11" s="89">
        <f>'Control Test'!G103</f>
        <v>413</v>
      </c>
      <c r="H11" s="89">
        <f>'Control Test'!H103</f>
        <v>364</v>
      </c>
      <c r="I11" s="89">
        <f>'Control Test'!I103</f>
        <v>49</v>
      </c>
      <c r="J11" s="90"/>
      <c r="K11" s="90"/>
      <c r="L11" s="84">
        <f>'Control Test'!J103</f>
        <v>0.88135593220338981</v>
      </c>
      <c r="M11" s="91">
        <f>'Control Test'!K103</f>
        <v>0.51624999999999999</v>
      </c>
      <c r="N11" s="92"/>
      <c r="O11" s="84">
        <f>'Control Test'!L103</f>
        <v>1.027363184079602</v>
      </c>
      <c r="P11" s="7"/>
    </row>
    <row r="12" spans="2:16" ht="24.95" customHeight="1" x14ac:dyDescent="0.2">
      <c r="B12" s="93" t="str">
        <f>'Data Test'!B9</f>
        <v>Software Module 5</v>
      </c>
      <c r="C12" s="89">
        <f>'Control Test'!C104</f>
        <v>400</v>
      </c>
      <c r="D12" s="89">
        <f>'Control Test'!D104</f>
        <v>204</v>
      </c>
      <c r="E12" s="89">
        <f>'Control Test'!E104</f>
        <v>204</v>
      </c>
      <c r="F12" s="89">
        <f>'Control Test'!F104</f>
        <v>15</v>
      </c>
      <c r="G12" s="89">
        <f>'Control Test'!G104</f>
        <v>189</v>
      </c>
      <c r="H12" s="89">
        <f>'Control Test'!H104</f>
        <v>164</v>
      </c>
      <c r="I12" s="89">
        <f>'Control Test'!I104</f>
        <v>25</v>
      </c>
      <c r="J12" s="90"/>
      <c r="K12" s="90"/>
      <c r="L12" s="84">
        <f>'Control Test'!J104</f>
        <v>0.86772486772486768</v>
      </c>
      <c r="M12" s="91">
        <f>'Control Test'!K104</f>
        <v>0.47249999999999998</v>
      </c>
      <c r="N12" s="92"/>
      <c r="O12" s="84">
        <f>'Control Test'!L104</f>
        <v>0.92647058823529416</v>
      </c>
      <c r="P12" s="7"/>
    </row>
    <row r="13" spans="2:16" ht="24.95" customHeight="1" x14ac:dyDescent="0.2">
      <c r="B13" s="94" t="s">
        <v>6</v>
      </c>
      <c r="C13" s="95">
        <f>'Control Test'!C105</f>
        <v>2500</v>
      </c>
      <c r="D13" s="95">
        <f>'Control Test'!D105</f>
        <v>1260</v>
      </c>
      <c r="E13" s="95">
        <f>'Control Test'!E105</f>
        <v>1281</v>
      </c>
      <c r="F13" s="95">
        <f>'Control Test'!F105</f>
        <v>67</v>
      </c>
      <c r="G13" s="95">
        <f>'Control Test'!G105</f>
        <v>1214</v>
      </c>
      <c r="H13" s="95">
        <f>'Control Test'!H105</f>
        <v>1078</v>
      </c>
      <c r="I13" s="95">
        <f>'Control Test'!I105</f>
        <v>136</v>
      </c>
      <c r="J13" s="96"/>
      <c r="K13" s="97"/>
      <c r="L13" s="98">
        <f>'Control Test'!J105</f>
        <v>0.88797364085667219</v>
      </c>
      <c r="M13" s="99">
        <f>'Control Test'!K105</f>
        <v>0.48559999999999998</v>
      </c>
      <c r="N13" s="100"/>
      <c r="O13" s="98">
        <f>'Control Test'!L105</f>
        <v>0.96349206349206351</v>
      </c>
      <c r="P13" s="7"/>
    </row>
    <row r="14" spans="2:16" x14ac:dyDescent="0.2">
      <c r="E14" s="101"/>
      <c r="F14" s="101"/>
    </row>
    <row r="15" spans="2:16" x14ac:dyDescent="0.2">
      <c r="G15" s="101"/>
    </row>
    <row r="16" spans="2:16" ht="20.100000000000001" customHeight="1" x14ac:dyDescent="0.2">
      <c r="B16" s="73" t="s">
        <v>55</v>
      </c>
      <c r="C16" s="74"/>
      <c r="D16" s="74"/>
      <c r="E16" s="74"/>
      <c r="F16" s="74"/>
      <c r="G16" s="74"/>
      <c r="H16" s="74"/>
      <c r="J16" s="73" t="s">
        <v>56</v>
      </c>
      <c r="K16" s="102"/>
      <c r="L16" s="74"/>
      <c r="M16" s="74"/>
      <c r="N16" s="74"/>
      <c r="O16" s="102"/>
    </row>
    <row r="17" spans="18:18" ht="24.95" customHeight="1" x14ac:dyDescent="0.2"/>
    <row r="18" spans="18:18" ht="24.95" customHeight="1" x14ac:dyDescent="0.2"/>
    <row r="19" spans="18:18" ht="24.95" customHeight="1" x14ac:dyDescent="0.2"/>
    <row r="20" spans="18:18" ht="24.95" customHeight="1" x14ac:dyDescent="0.2">
      <c r="R20"/>
    </row>
    <row r="21" spans="18:18" ht="24.95" customHeight="1" x14ac:dyDescent="0.2"/>
    <row r="22" spans="18:18" ht="24.95" customHeight="1" x14ac:dyDescent="0.2"/>
    <row r="23" spans="18:18" ht="24.95" customHeight="1" x14ac:dyDescent="0.2"/>
    <row r="24" spans="18:18" ht="24.95" customHeight="1" x14ac:dyDescent="0.2"/>
    <row r="25" spans="18:18" ht="24.95" customHeight="1" x14ac:dyDescent="0.2"/>
    <row r="26" spans="18:18" ht="24.95" customHeight="1" x14ac:dyDescent="0.2"/>
    <row r="27" spans="18:18" ht="24.95" customHeight="1" x14ac:dyDescent="0.2"/>
  </sheetData>
  <mergeCells count="5">
    <mergeCell ref="N6:O7"/>
    <mergeCell ref="J6:L7"/>
    <mergeCell ref="C6:C7"/>
    <mergeCell ref="D6:D7"/>
    <mergeCell ref="E6:I6"/>
  </mergeCells>
  <phoneticPr fontId="0" type="noConversion"/>
  <conditionalFormatting sqref="L8:L13">
    <cfRule type="cellIs" dxfId="1" priority="1" stopIfTrue="1" operator="lessThan">
      <formula>mySuccessThreshold</formula>
    </cfRule>
  </conditionalFormatting>
  <conditionalFormatting sqref="O8:O13">
    <cfRule type="cellIs" dxfId="0" priority="2" stopIfTrue="1" operator="lessThan">
      <formula>myCompletionRateThreshold</formula>
    </cfRule>
  </conditionalFormatting>
  <printOptions horizontalCentered="1"/>
  <pageMargins left="0.19685039370078741" right="0.19685039370078741" top="0.39370078740157483" bottom="0.39370078740157483" header="0.19685039370078741" footer="0.19685039370078741"/>
  <pageSetup paperSize="9"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5" r:id="rId4" name="Spinner Weeks">
              <controlPr defaultSize="0" autoPict="0">
                <anchor moveWithCells="1" sizeWithCells="1">
                  <from>
                    <xdr:col>15</xdr:col>
                    <xdr:colOff>0</xdr:colOff>
                    <xdr:row>1</xdr:row>
                    <xdr:rowOff>0</xdr:rowOff>
                  </from>
                  <to>
                    <xdr:col>16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tabColor indexed="12"/>
    <pageSetUpPr fitToPage="1"/>
  </sheetPr>
  <dimension ref="A1:N35"/>
  <sheetViews>
    <sheetView showGridLines="0" tabSelected="1" zoomScaleNormal="85" workbookViewId="0">
      <selection activeCell="K2" sqref="K2:L2"/>
    </sheetView>
  </sheetViews>
  <sheetFormatPr defaultColWidth="10.7109375" defaultRowHeight="12.75" x14ac:dyDescent="0.2"/>
  <cols>
    <col min="1" max="1" width="1.7109375" style="193" customWidth="1"/>
    <col min="2" max="6" width="17.7109375" style="193" customWidth="1"/>
    <col min="7" max="7" width="2.7109375" style="193" customWidth="1"/>
    <col min="8" max="13" width="17.7109375" style="193" customWidth="1"/>
    <col min="14" max="14" width="2.7109375" style="193" customWidth="1"/>
  </cols>
  <sheetData>
    <row r="1" spans="1:14" ht="5.0999999999999996" customHeight="1" x14ac:dyDescent="0.2">
      <c r="A1" s="192"/>
    </row>
    <row r="2" spans="1:14" ht="30" customHeight="1" thickBot="1" x14ac:dyDescent="0.25">
      <c r="B2" s="70" t="s">
        <v>98</v>
      </c>
      <c r="C2" s="194"/>
      <c r="D2" s="194"/>
      <c r="E2" s="194"/>
      <c r="F2" s="194"/>
      <c r="G2" s="194"/>
      <c r="H2" s="194"/>
      <c r="I2" s="194"/>
      <c r="J2" s="194"/>
      <c r="K2" s="290">
        <f>'Control General'!$C$9</f>
        <v>40004</v>
      </c>
      <c r="L2" s="290"/>
      <c r="M2" s="72">
        <f>'DB Defects'!R2</f>
        <v>28</v>
      </c>
    </row>
    <row r="3" spans="1:14" ht="5.0999999999999996" customHeight="1" x14ac:dyDescent="0.2"/>
    <row r="4" spans="1:14" ht="20.100000000000001" customHeight="1" x14ac:dyDescent="0.2">
      <c r="B4" s="195" t="s">
        <v>99</v>
      </c>
      <c r="C4" s="196"/>
      <c r="D4" s="196"/>
      <c r="E4" s="196"/>
      <c r="F4" s="196"/>
      <c r="H4" s="195" t="s">
        <v>100</v>
      </c>
      <c r="I4" s="195"/>
      <c r="J4" s="196"/>
      <c r="K4" s="196"/>
      <c r="L4" s="196"/>
      <c r="M4" s="196"/>
    </row>
    <row r="5" spans="1:14" ht="5.0999999999999996" customHeight="1" x14ac:dyDescent="0.2"/>
    <row r="6" spans="1:14" ht="25.5" x14ac:dyDescent="0.2">
      <c r="B6" s="197" t="s">
        <v>101</v>
      </c>
      <c r="C6" s="197" t="s">
        <v>102</v>
      </c>
      <c r="D6" s="197" t="s">
        <v>103</v>
      </c>
      <c r="E6" s="197" t="s">
        <v>104</v>
      </c>
      <c r="F6" s="197" t="s">
        <v>105</v>
      </c>
    </row>
    <row r="7" spans="1:14" ht="25.5" customHeight="1" x14ac:dyDescent="0.2">
      <c r="B7" s="198">
        <f>'Control CRs'!$D$64</f>
        <v>32</v>
      </c>
      <c r="C7" s="198">
        <f>'Control CRs'!$D$65</f>
        <v>1</v>
      </c>
      <c r="D7" s="198">
        <f>'Control CRs'!$D$66</f>
        <v>33</v>
      </c>
      <c r="E7" s="198">
        <f>'Control CRs'!$D$67</f>
        <v>28</v>
      </c>
      <c r="F7" s="198">
        <f>'Control CRs'!$D$68</f>
        <v>5</v>
      </c>
    </row>
    <row r="8" spans="1:14" ht="12.75" customHeight="1" x14ac:dyDescent="0.2">
      <c r="D8" s="199"/>
      <c r="E8" s="200">
        <f>'Control CRs'!$E$67</f>
        <v>0.84848484848484851</v>
      </c>
      <c r="F8" s="200">
        <f>'Control CRs'!$E$68</f>
        <v>0.15151515151515152</v>
      </c>
    </row>
    <row r="9" spans="1:14" ht="5.0999999999999996" customHeight="1" x14ac:dyDescent="0.2">
      <c r="D9" s="199"/>
      <c r="E9" s="200"/>
      <c r="F9" s="200"/>
    </row>
    <row r="10" spans="1:14" ht="20.100000000000001" customHeight="1" x14ac:dyDescent="0.2">
      <c r="B10" s="195" t="s">
        <v>106</v>
      </c>
      <c r="C10" s="196"/>
      <c r="D10" s="196"/>
      <c r="E10" s="196"/>
      <c r="F10" s="196"/>
    </row>
    <row r="11" spans="1:14" ht="15" customHeight="1" x14ac:dyDescent="0.2">
      <c r="B11" s="201"/>
      <c r="C11" s="201"/>
      <c r="D11" s="201"/>
      <c r="E11" s="201"/>
      <c r="F11" s="202"/>
      <c r="G11" s="201"/>
      <c r="H11" s="201"/>
      <c r="I11" s="201"/>
      <c r="J11" s="201"/>
      <c r="K11" s="201"/>
      <c r="L11" s="201"/>
      <c r="M11" s="201"/>
      <c r="N11" s="201"/>
    </row>
    <row r="12" spans="1:14" ht="24.95" customHeight="1" x14ac:dyDescent="0.2">
      <c r="B12" s="203" t="str">
        <f>'Control CRs'!$C$72</f>
        <v>Total</v>
      </c>
      <c r="C12" s="203"/>
      <c r="D12" s="204"/>
      <c r="E12" s="204"/>
      <c r="F12" s="205">
        <f>'Control CRs'!$C$73</f>
        <v>33</v>
      </c>
    </row>
    <row r="13" spans="1:14" ht="24.95" customHeight="1" x14ac:dyDescent="0.2">
      <c r="B13" s="203" t="str">
        <f>'Control CRs'!$D$72</f>
        <v>In investigation</v>
      </c>
      <c r="C13" s="203"/>
      <c r="D13" s="204"/>
      <c r="E13" s="204"/>
      <c r="F13" s="205">
        <f>'Control CRs'!$D$73</f>
        <v>0</v>
      </c>
    </row>
    <row r="14" spans="1:14" ht="24.95" customHeight="1" x14ac:dyDescent="0.2">
      <c r="B14" s="203" t="str">
        <f>'Control CRs'!$E$72</f>
        <v>Approved (in implementation)</v>
      </c>
      <c r="C14" s="203"/>
      <c r="D14" s="204"/>
      <c r="E14" s="204"/>
      <c r="F14" s="205">
        <f>'Control CRs'!$E$73</f>
        <v>3</v>
      </c>
    </row>
    <row r="15" spans="1:14" ht="24.95" customHeight="1" x14ac:dyDescent="0.2">
      <c r="B15" s="203" t="str">
        <f>'Control CRs'!$F$72</f>
        <v>Included (delivered)</v>
      </c>
      <c r="C15" s="203"/>
      <c r="D15" s="204"/>
      <c r="E15" s="204"/>
      <c r="F15" s="205">
        <f>'Control CRs'!$F$73</f>
        <v>21</v>
      </c>
    </row>
    <row r="16" spans="1:14" ht="24.95" customHeight="1" x14ac:dyDescent="0.2">
      <c r="B16" s="203" t="str">
        <f>'Control CRs'!$G$72</f>
        <v>Future CRs</v>
      </c>
      <c r="C16" s="203"/>
      <c r="D16" s="204"/>
      <c r="E16" s="204"/>
      <c r="F16" s="205">
        <f>'Control CRs'!$G$73</f>
        <v>4</v>
      </c>
    </row>
    <row r="17" spans="2:13" ht="24.95" customHeight="1" x14ac:dyDescent="0.2">
      <c r="B17" s="203" t="str">
        <f>'Control CRs'!$H$72</f>
        <v>Rejected or cancelled</v>
      </c>
      <c r="C17" s="203"/>
      <c r="D17" s="204"/>
      <c r="E17" s="204"/>
      <c r="F17" s="205">
        <f>'Control CRs'!$H$73</f>
        <v>5</v>
      </c>
    </row>
    <row r="18" spans="2:13" ht="5.0999999999999996" customHeight="1" x14ac:dyDescent="0.2">
      <c r="F18" s="202"/>
    </row>
    <row r="19" spans="2:13" ht="20.100000000000001" customHeight="1" x14ac:dyDescent="0.2">
      <c r="B19" s="195" t="s">
        <v>107</v>
      </c>
      <c r="C19" s="196"/>
      <c r="D19" s="196"/>
      <c r="E19" s="196"/>
      <c r="F19" s="196"/>
      <c r="H19" s="195" t="s">
        <v>108</v>
      </c>
      <c r="I19" s="195"/>
      <c r="J19" s="196"/>
      <c r="K19" s="196"/>
      <c r="L19" s="196"/>
      <c r="M19" s="196"/>
    </row>
    <row r="20" spans="2:13" ht="15" customHeight="1" x14ac:dyDescent="0.2"/>
    <row r="21" spans="2:13" ht="15" customHeight="1" x14ac:dyDescent="0.2">
      <c r="F21" s="202"/>
    </row>
    <row r="22" spans="2:13" ht="15" customHeight="1" x14ac:dyDescent="0.2">
      <c r="F22" s="202"/>
    </row>
    <row r="23" spans="2:13" ht="15" customHeight="1" x14ac:dyDescent="0.2">
      <c r="F23" s="202"/>
    </row>
    <row r="24" spans="2:13" ht="15" customHeight="1" x14ac:dyDescent="0.2">
      <c r="F24" s="202"/>
    </row>
    <row r="25" spans="2:13" ht="15" customHeight="1" x14ac:dyDescent="0.2">
      <c r="F25" s="202"/>
    </row>
    <row r="26" spans="2:13" ht="15" customHeight="1" x14ac:dyDescent="0.2">
      <c r="F26" s="202"/>
    </row>
    <row r="27" spans="2:13" ht="15" customHeight="1" x14ac:dyDescent="0.2"/>
    <row r="28" spans="2:13" ht="15" customHeight="1" x14ac:dyDescent="0.2"/>
    <row r="29" spans="2:13" ht="15" customHeight="1" x14ac:dyDescent="0.2"/>
    <row r="30" spans="2:13" ht="15" customHeight="1" x14ac:dyDescent="0.2"/>
    <row r="31" spans="2:13" ht="15" customHeight="1" x14ac:dyDescent="0.2"/>
    <row r="32" spans="2:13" ht="15" customHeight="1" x14ac:dyDescent="0.2"/>
    <row r="33" spans="14:14" ht="15" customHeight="1" x14ac:dyDescent="0.2"/>
    <row r="34" spans="14:14" ht="15" customHeight="1" x14ac:dyDescent="0.2"/>
    <row r="35" spans="14:14" ht="15" customHeight="1" x14ac:dyDescent="0.2">
      <c r="N35"/>
    </row>
  </sheetData>
  <mergeCells count="1">
    <mergeCell ref="K2:L2"/>
  </mergeCells>
  <phoneticPr fontId="0" type="noConversion"/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6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8373" r:id="rId4" name="Spinner Weeks">
              <controlPr defaultSize="0" autoPict="0">
                <anchor moveWithCells="1" sizeWithCells="1">
                  <from>
                    <xdr:col>13</xdr:col>
                    <xdr:colOff>0</xdr:colOff>
                    <xdr:row>1</xdr:row>
                    <xdr:rowOff>0</xdr:rowOff>
                  </from>
                  <to>
                    <xdr:col>14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tabColor indexed="53"/>
    <pageSetUpPr fitToPage="1"/>
  </sheetPr>
  <dimension ref="A1:G504"/>
  <sheetViews>
    <sheetView showGridLines="0" zoomScaleNormal="70" workbookViewId="0">
      <pane ySplit="4" topLeftCell="A5" activePane="bottomLeft" state="frozen"/>
      <selection pane="bottomLeft" activeCell="A5" sqref="A5"/>
    </sheetView>
  </sheetViews>
  <sheetFormatPr defaultColWidth="10.7109375" defaultRowHeight="12.75" x14ac:dyDescent="0.2"/>
  <cols>
    <col min="1" max="1" width="1.7109375" style="61" customWidth="1"/>
    <col min="2" max="7" width="14.7109375" style="61" customWidth="1"/>
    <col min="8" max="8" width="1.7109375" style="61" customWidth="1"/>
    <col min="9" max="16384" width="10.7109375" style="61"/>
  </cols>
  <sheetData>
    <row r="1" spans="1:7" s="57" customFormat="1" x14ac:dyDescent="0.2"/>
    <row r="2" spans="1:7" s="60" customFormat="1" ht="30" customHeight="1" thickBot="1" x14ac:dyDescent="0.25">
      <c r="A2" s="62"/>
      <c r="B2" s="59" t="s">
        <v>200</v>
      </c>
      <c r="C2" s="58"/>
      <c r="D2" s="58"/>
      <c r="E2" s="58"/>
      <c r="F2" s="58"/>
      <c r="G2" s="58"/>
    </row>
    <row r="4" spans="1:7" ht="12.75" customHeight="1" x14ac:dyDescent="0.2">
      <c r="B4" s="245" t="s">
        <v>29</v>
      </c>
      <c r="C4" s="245" t="s">
        <v>24</v>
      </c>
      <c r="D4" s="245" t="s">
        <v>25</v>
      </c>
      <c r="E4" s="246" t="s">
        <v>26</v>
      </c>
      <c r="F4" s="246" t="s">
        <v>27</v>
      </c>
      <c r="G4" s="246" t="s">
        <v>28</v>
      </c>
    </row>
    <row r="5" spans="1:7" x14ac:dyDescent="0.2">
      <c r="B5" s="183">
        <v>1</v>
      </c>
      <c r="C5" s="184" t="s">
        <v>30</v>
      </c>
      <c r="D5" s="184" t="s">
        <v>34</v>
      </c>
      <c r="E5" s="185">
        <v>39841</v>
      </c>
      <c r="F5" s="185">
        <v>39841</v>
      </c>
      <c r="G5" s="185">
        <v>39843</v>
      </c>
    </row>
    <row r="6" spans="1:7" x14ac:dyDescent="0.2">
      <c r="B6" s="186">
        <v>2</v>
      </c>
      <c r="C6" s="187" t="s">
        <v>31</v>
      </c>
      <c r="D6" s="187" t="s">
        <v>34</v>
      </c>
      <c r="E6" s="188">
        <v>39842</v>
      </c>
      <c r="F6" s="188">
        <v>39843</v>
      </c>
      <c r="G6" s="188">
        <v>39844</v>
      </c>
    </row>
    <row r="7" spans="1:7" x14ac:dyDescent="0.2">
      <c r="B7" s="186">
        <v>3</v>
      </c>
      <c r="C7" s="187" t="s">
        <v>31</v>
      </c>
      <c r="D7" s="187" t="s">
        <v>34</v>
      </c>
      <c r="E7" s="188">
        <v>39843</v>
      </c>
      <c r="F7" s="188">
        <v>39856</v>
      </c>
      <c r="G7" s="188">
        <v>39858</v>
      </c>
    </row>
    <row r="8" spans="1:7" x14ac:dyDescent="0.2">
      <c r="B8" s="186">
        <v>4</v>
      </c>
      <c r="C8" s="187" t="s">
        <v>1</v>
      </c>
      <c r="D8" s="187" t="s">
        <v>34</v>
      </c>
      <c r="E8" s="188">
        <v>39843</v>
      </c>
      <c r="F8" s="188">
        <v>39858</v>
      </c>
      <c r="G8" s="188">
        <v>39861</v>
      </c>
    </row>
    <row r="9" spans="1:7" x14ac:dyDescent="0.2">
      <c r="B9" s="186">
        <v>5</v>
      </c>
      <c r="C9" s="187" t="s">
        <v>31</v>
      </c>
      <c r="D9" s="187" t="s">
        <v>34</v>
      </c>
      <c r="E9" s="188">
        <v>39843</v>
      </c>
      <c r="F9" s="188">
        <v>39889</v>
      </c>
      <c r="G9" s="188">
        <v>39904</v>
      </c>
    </row>
    <row r="10" spans="1:7" x14ac:dyDescent="0.2">
      <c r="B10" s="186">
        <v>6</v>
      </c>
      <c r="C10" s="187" t="s">
        <v>1</v>
      </c>
      <c r="D10" s="187" t="s">
        <v>34</v>
      </c>
      <c r="E10" s="188">
        <v>39844</v>
      </c>
      <c r="F10" s="188">
        <v>39854</v>
      </c>
      <c r="G10" s="188">
        <v>39855</v>
      </c>
    </row>
    <row r="11" spans="1:7" x14ac:dyDescent="0.2">
      <c r="B11" s="186">
        <v>7</v>
      </c>
      <c r="C11" s="187" t="s">
        <v>1</v>
      </c>
      <c r="D11" s="187" t="s">
        <v>34</v>
      </c>
      <c r="E11" s="188">
        <v>39844</v>
      </c>
      <c r="F11" s="188">
        <v>39848</v>
      </c>
      <c r="G11" s="188">
        <v>39899</v>
      </c>
    </row>
    <row r="12" spans="1:7" x14ac:dyDescent="0.2">
      <c r="B12" s="186">
        <v>8</v>
      </c>
      <c r="C12" s="187" t="s">
        <v>1</v>
      </c>
      <c r="D12" s="187" t="s">
        <v>34</v>
      </c>
      <c r="E12" s="188">
        <v>39847</v>
      </c>
      <c r="F12" s="188">
        <v>39858</v>
      </c>
      <c r="G12" s="188">
        <v>40008</v>
      </c>
    </row>
    <row r="13" spans="1:7" x14ac:dyDescent="0.2">
      <c r="B13" s="186">
        <v>9</v>
      </c>
      <c r="C13" s="187" t="s">
        <v>1</v>
      </c>
      <c r="D13" s="187" t="s">
        <v>34</v>
      </c>
      <c r="E13" s="188">
        <v>39850</v>
      </c>
      <c r="F13" s="188">
        <v>39857</v>
      </c>
      <c r="G13" s="188">
        <v>39861</v>
      </c>
    </row>
    <row r="14" spans="1:7" x14ac:dyDescent="0.2">
      <c r="B14" s="186">
        <v>10</v>
      </c>
      <c r="C14" s="187" t="s">
        <v>1</v>
      </c>
      <c r="D14" s="187" t="s">
        <v>34</v>
      </c>
      <c r="E14" s="188">
        <v>39851</v>
      </c>
      <c r="F14" s="188">
        <v>39858</v>
      </c>
      <c r="G14" s="188">
        <v>39878</v>
      </c>
    </row>
    <row r="15" spans="1:7" x14ac:dyDescent="0.2">
      <c r="B15" s="186">
        <v>11</v>
      </c>
      <c r="C15" s="187" t="s">
        <v>31</v>
      </c>
      <c r="D15" s="187" t="s">
        <v>34</v>
      </c>
      <c r="E15" s="188">
        <v>39851</v>
      </c>
      <c r="F15" s="188">
        <v>39872</v>
      </c>
      <c r="G15" s="188">
        <v>39876</v>
      </c>
    </row>
    <row r="16" spans="1:7" x14ac:dyDescent="0.2">
      <c r="B16" s="186">
        <v>12</v>
      </c>
      <c r="C16" s="187" t="s">
        <v>1</v>
      </c>
      <c r="D16" s="187" t="s">
        <v>34</v>
      </c>
      <c r="E16" s="188">
        <v>39851</v>
      </c>
      <c r="F16" s="188">
        <v>39877</v>
      </c>
      <c r="G16" s="188">
        <v>39879</v>
      </c>
    </row>
    <row r="17" spans="2:7" x14ac:dyDescent="0.2">
      <c r="B17" s="186">
        <v>13</v>
      </c>
      <c r="C17" s="187" t="s">
        <v>1</v>
      </c>
      <c r="D17" s="187" t="s">
        <v>34</v>
      </c>
      <c r="E17" s="188">
        <v>39852</v>
      </c>
      <c r="F17" s="188">
        <v>39857</v>
      </c>
      <c r="G17" s="188">
        <v>39869</v>
      </c>
    </row>
    <row r="18" spans="2:7" x14ac:dyDescent="0.2">
      <c r="B18" s="186">
        <v>14</v>
      </c>
      <c r="C18" s="187" t="s">
        <v>1</v>
      </c>
      <c r="D18" s="187" t="s">
        <v>34</v>
      </c>
      <c r="E18" s="188">
        <v>39852</v>
      </c>
      <c r="F18" s="188">
        <v>39872</v>
      </c>
      <c r="G18" s="188">
        <v>39879</v>
      </c>
    </row>
    <row r="19" spans="2:7" x14ac:dyDescent="0.2">
      <c r="B19" s="186">
        <v>15</v>
      </c>
      <c r="C19" s="187" t="s">
        <v>32</v>
      </c>
      <c r="D19" s="187" t="s">
        <v>34</v>
      </c>
      <c r="E19" s="188">
        <v>39854</v>
      </c>
      <c r="F19" s="188">
        <v>39885</v>
      </c>
      <c r="G19" s="188">
        <v>39886</v>
      </c>
    </row>
    <row r="20" spans="2:7" x14ac:dyDescent="0.2">
      <c r="B20" s="186">
        <v>16</v>
      </c>
      <c r="C20" s="187" t="s">
        <v>31</v>
      </c>
      <c r="D20" s="187" t="s">
        <v>34</v>
      </c>
      <c r="E20" s="188">
        <v>39855</v>
      </c>
      <c r="F20" s="188">
        <v>39872</v>
      </c>
      <c r="G20" s="188">
        <v>39904</v>
      </c>
    </row>
    <row r="21" spans="2:7" x14ac:dyDescent="0.2">
      <c r="B21" s="186">
        <v>17</v>
      </c>
      <c r="C21" s="187" t="s">
        <v>1</v>
      </c>
      <c r="D21" s="187" t="s">
        <v>34</v>
      </c>
      <c r="E21" s="188">
        <v>39855</v>
      </c>
      <c r="F21" s="188">
        <v>39857</v>
      </c>
      <c r="G21" s="188">
        <v>39977</v>
      </c>
    </row>
    <row r="22" spans="2:7" x14ac:dyDescent="0.2">
      <c r="B22" s="186">
        <v>18</v>
      </c>
      <c r="C22" s="187" t="s">
        <v>1</v>
      </c>
      <c r="D22" s="187" t="s">
        <v>34</v>
      </c>
      <c r="E22" s="188">
        <v>39856</v>
      </c>
      <c r="F22" s="188">
        <v>39857</v>
      </c>
      <c r="G22" s="188">
        <v>40071</v>
      </c>
    </row>
    <row r="23" spans="2:7" x14ac:dyDescent="0.2">
      <c r="B23" s="186">
        <v>19</v>
      </c>
      <c r="C23" s="187" t="s">
        <v>31</v>
      </c>
      <c r="D23" s="187" t="s">
        <v>34</v>
      </c>
      <c r="E23" s="188">
        <v>39856</v>
      </c>
      <c r="F23" s="188">
        <v>39856</v>
      </c>
      <c r="G23" s="188">
        <v>40002</v>
      </c>
    </row>
    <row r="24" spans="2:7" x14ac:dyDescent="0.2">
      <c r="B24" s="186">
        <v>20</v>
      </c>
      <c r="C24" s="187" t="s">
        <v>32</v>
      </c>
      <c r="D24" s="187" t="s">
        <v>34</v>
      </c>
      <c r="E24" s="188">
        <v>39857</v>
      </c>
      <c r="F24" s="188">
        <v>39862</v>
      </c>
      <c r="G24" s="188">
        <v>39863</v>
      </c>
    </row>
    <row r="25" spans="2:7" x14ac:dyDescent="0.2">
      <c r="B25" s="186">
        <v>21</v>
      </c>
      <c r="C25" s="187" t="s">
        <v>31</v>
      </c>
      <c r="D25" s="187" t="s">
        <v>34</v>
      </c>
      <c r="E25" s="188">
        <v>39857</v>
      </c>
      <c r="F25" s="188">
        <v>39872</v>
      </c>
      <c r="G25" s="188">
        <v>39875</v>
      </c>
    </row>
    <row r="26" spans="2:7" x14ac:dyDescent="0.2">
      <c r="B26" s="186">
        <v>22</v>
      </c>
      <c r="C26" s="187" t="s">
        <v>31</v>
      </c>
      <c r="D26" s="187" t="s">
        <v>34</v>
      </c>
      <c r="E26" s="188">
        <v>39857</v>
      </c>
      <c r="F26" s="188">
        <v>39864</v>
      </c>
      <c r="G26" s="188">
        <v>39869</v>
      </c>
    </row>
    <row r="27" spans="2:7" x14ac:dyDescent="0.2">
      <c r="B27" s="186">
        <v>23</v>
      </c>
      <c r="C27" s="187" t="s">
        <v>31</v>
      </c>
      <c r="D27" s="187" t="s">
        <v>34</v>
      </c>
      <c r="E27" s="188">
        <v>39857</v>
      </c>
      <c r="F27" s="188">
        <v>39872</v>
      </c>
      <c r="G27" s="188">
        <v>39877</v>
      </c>
    </row>
    <row r="28" spans="2:7" x14ac:dyDescent="0.2">
      <c r="B28" s="186">
        <v>24</v>
      </c>
      <c r="C28" s="187" t="s">
        <v>31</v>
      </c>
      <c r="D28" s="187" t="s">
        <v>34</v>
      </c>
      <c r="E28" s="188">
        <v>39857</v>
      </c>
      <c r="F28" s="188">
        <v>39858</v>
      </c>
      <c r="G28" s="188">
        <v>39858</v>
      </c>
    </row>
    <row r="29" spans="2:7" x14ac:dyDescent="0.2">
      <c r="B29" s="186">
        <v>25</v>
      </c>
      <c r="C29" s="187" t="s">
        <v>1</v>
      </c>
      <c r="D29" s="187" t="s">
        <v>34</v>
      </c>
      <c r="E29" s="188">
        <v>39859</v>
      </c>
      <c r="F29" s="188">
        <v>39910</v>
      </c>
      <c r="G29" s="188">
        <v>39942</v>
      </c>
    </row>
    <row r="30" spans="2:7" x14ac:dyDescent="0.2">
      <c r="B30" s="186">
        <v>26</v>
      </c>
      <c r="C30" s="187" t="s">
        <v>1</v>
      </c>
      <c r="D30" s="187" t="s">
        <v>34</v>
      </c>
      <c r="E30" s="188">
        <v>39859</v>
      </c>
      <c r="F30" s="188">
        <v>39910</v>
      </c>
      <c r="G30" s="188">
        <v>39913</v>
      </c>
    </row>
    <row r="31" spans="2:7" x14ac:dyDescent="0.2">
      <c r="B31" s="186">
        <v>27</v>
      </c>
      <c r="C31" s="187" t="s">
        <v>31</v>
      </c>
      <c r="D31" s="187" t="s">
        <v>34</v>
      </c>
      <c r="E31" s="188">
        <v>39861</v>
      </c>
      <c r="F31" s="188">
        <v>39876</v>
      </c>
      <c r="G31" s="188">
        <v>39879</v>
      </c>
    </row>
    <row r="32" spans="2:7" x14ac:dyDescent="0.2">
      <c r="B32" s="186">
        <v>28</v>
      </c>
      <c r="C32" s="187" t="s">
        <v>1</v>
      </c>
      <c r="D32" s="187" t="s">
        <v>34</v>
      </c>
      <c r="E32" s="188">
        <v>39862</v>
      </c>
      <c r="F32" s="188">
        <v>39862</v>
      </c>
      <c r="G32" s="188">
        <v>39863</v>
      </c>
    </row>
    <row r="33" spans="2:7" x14ac:dyDescent="0.2">
      <c r="B33" s="186">
        <v>29</v>
      </c>
      <c r="C33" s="187" t="s">
        <v>1</v>
      </c>
      <c r="D33" s="187" t="s">
        <v>34</v>
      </c>
      <c r="E33" s="188">
        <v>39863</v>
      </c>
      <c r="F33" s="188">
        <v>39910</v>
      </c>
      <c r="G33" s="188">
        <v>39915</v>
      </c>
    </row>
    <row r="34" spans="2:7" x14ac:dyDescent="0.2">
      <c r="B34" s="186">
        <v>30</v>
      </c>
      <c r="C34" s="187" t="s">
        <v>1</v>
      </c>
      <c r="D34" s="187" t="s">
        <v>34</v>
      </c>
      <c r="E34" s="188">
        <v>39863</v>
      </c>
      <c r="F34" s="188">
        <v>39910</v>
      </c>
      <c r="G34" s="188">
        <v>39994</v>
      </c>
    </row>
    <row r="35" spans="2:7" x14ac:dyDescent="0.2">
      <c r="B35" s="186">
        <v>31</v>
      </c>
      <c r="C35" s="187" t="s">
        <v>31</v>
      </c>
      <c r="D35" s="187" t="s">
        <v>34</v>
      </c>
      <c r="E35" s="188">
        <v>39863</v>
      </c>
      <c r="F35" s="188">
        <v>39910</v>
      </c>
      <c r="G35" s="188">
        <v>39915</v>
      </c>
    </row>
    <row r="36" spans="2:7" x14ac:dyDescent="0.2">
      <c r="B36" s="186">
        <v>32</v>
      </c>
      <c r="C36" s="187" t="s">
        <v>31</v>
      </c>
      <c r="D36" s="187" t="s">
        <v>34</v>
      </c>
      <c r="E36" s="188">
        <v>39863</v>
      </c>
      <c r="F36" s="188">
        <v>39921</v>
      </c>
      <c r="G36" s="188">
        <v>39921</v>
      </c>
    </row>
    <row r="37" spans="2:7" x14ac:dyDescent="0.2">
      <c r="B37" s="186">
        <v>33</v>
      </c>
      <c r="C37" s="187" t="s">
        <v>32</v>
      </c>
      <c r="D37" s="187" t="s">
        <v>34</v>
      </c>
      <c r="E37" s="188">
        <v>39863</v>
      </c>
      <c r="F37" s="188">
        <v>39864</v>
      </c>
      <c r="G37" s="188">
        <v>39899</v>
      </c>
    </row>
    <row r="38" spans="2:7" x14ac:dyDescent="0.2">
      <c r="B38" s="186">
        <v>34</v>
      </c>
      <c r="C38" s="187" t="s">
        <v>31</v>
      </c>
      <c r="D38" s="187" t="s">
        <v>34</v>
      </c>
      <c r="E38" s="188">
        <v>39863</v>
      </c>
      <c r="F38" s="188">
        <v>39885</v>
      </c>
      <c r="G38" s="188">
        <v>39892</v>
      </c>
    </row>
    <row r="39" spans="2:7" x14ac:dyDescent="0.2">
      <c r="B39" s="186">
        <v>35</v>
      </c>
      <c r="C39" s="187" t="s">
        <v>1</v>
      </c>
      <c r="D39" s="187" t="s">
        <v>34</v>
      </c>
      <c r="E39" s="188">
        <v>39863</v>
      </c>
      <c r="F39" s="188">
        <v>39885</v>
      </c>
      <c r="G39" s="188">
        <v>39920</v>
      </c>
    </row>
    <row r="40" spans="2:7" x14ac:dyDescent="0.2">
      <c r="B40" s="186">
        <v>36</v>
      </c>
      <c r="C40" s="187" t="s">
        <v>31</v>
      </c>
      <c r="D40" s="187" t="s">
        <v>34</v>
      </c>
      <c r="E40" s="188">
        <v>39864</v>
      </c>
      <c r="F40" s="188">
        <v>39885</v>
      </c>
      <c r="G40" s="188">
        <v>39897</v>
      </c>
    </row>
    <row r="41" spans="2:7" x14ac:dyDescent="0.2">
      <c r="B41" s="186">
        <v>37</v>
      </c>
      <c r="C41" s="187" t="s">
        <v>31</v>
      </c>
      <c r="D41" s="187" t="s">
        <v>34</v>
      </c>
      <c r="E41" s="188">
        <v>39864</v>
      </c>
      <c r="F41" s="188">
        <v>39885</v>
      </c>
      <c r="G41" s="188">
        <v>39938</v>
      </c>
    </row>
    <row r="42" spans="2:7" x14ac:dyDescent="0.2">
      <c r="B42" s="186">
        <v>38</v>
      </c>
      <c r="C42" s="187" t="s">
        <v>31</v>
      </c>
      <c r="D42" s="187" t="s">
        <v>34</v>
      </c>
      <c r="E42" s="188">
        <v>39864</v>
      </c>
      <c r="F42" s="188">
        <v>39917</v>
      </c>
      <c r="G42" s="188">
        <v>39917</v>
      </c>
    </row>
    <row r="43" spans="2:7" x14ac:dyDescent="0.2">
      <c r="B43" s="186">
        <v>39</v>
      </c>
      <c r="C43" s="187" t="s">
        <v>31</v>
      </c>
      <c r="D43" s="187" t="s">
        <v>34</v>
      </c>
      <c r="E43" s="188">
        <v>39865</v>
      </c>
      <c r="F43" s="188">
        <v>39868</v>
      </c>
      <c r="G43" s="188">
        <v>39868</v>
      </c>
    </row>
    <row r="44" spans="2:7" x14ac:dyDescent="0.2">
      <c r="B44" s="186">
        <v>40</v>
      </c>
      <c r="C44" s="187" t="s">
        <v>31</v>
      </c>
      <c r="D44" s="187" t="s">
        <v>34</v>
      </c>
      <c r="E44" s="188">
        <v>39865</v>
      </c>
      <c r="F44" s="188">
        <v>39906</v>
      </c>
      <c r="G44" s="188">
        <v>39938</v>
      </c>
    </row>
    <row r="45" spans="2:7" x14ac:dyDescent="0.2">
      <c r="B45" s="186">
        <v>41</v>
      </c>
      <c r="C45" s="187" t="s">
        <v>1</v>
      </c>
      <c r="D45" s="187" t="s">
        <v>34</v>
      </c>
      <c r="E45" s="188">
        <v>39869</v>
      </c>
      <c r="F45" s="188">
        <v>39885</v>
      </c>
      <c r="G45" s="188">
        <v>39939</v>
      </c>
    </row>
    <row r="46" spans="2:7" x14ac:dyDescent="0.2">
      <c r="B46" s="186">
        <v>42</v>
      </c>
      <c r="C46" s="187" t="s">
        <v>31</v>
      </c>
      <c r="D46" s="187" t="s">
        <v>34</v>
      </c>
      <c r="E46" s="188">
        <v>39869</v>
      </c>
      <c r="F46" s="188">
        <v>39905</v>
      </c>
      <c r="G46" s="188">
        <v>39919</v>
      </c>
    </row>
    <row r="47" spans="2:7" x14ac:dyDescent="0.2">
      <c r="B47" s="186">
        <v>43</v>
      </c>
      <c r="C47" s="187" t="s">
        <v>1</v>
      </c>
      <c r="D47" s="187" t="s">
        <v>34</v>
      </c>
      <c r="E47" s="188">
        <v>39869</v>
      </c>
      <c r="F47" s="188">
        <v>39892</v>
      </c>
      <c r="G47" s="188">
        <v>39899</v>
      </c>
    </row>
    <row r="48" spans="2:7" x14ac:dyDescent="0.2">
      <c r="B48" s="186">
        <v>44</v>
      </c>
      <c r="C48" s="187" t="s">
        <v>31</v>
      </c>
      <c r="D48" s="187" t="s">
        <v>34</v>
      </c>
      <c r="E48" s="188">
        <v>39870</v>
      </c>
      <c r="F48" s="188">
        <v>39885</v>
      </c>
      <c r="G48" s="188">
        <v>39927</v>
      </c>
    </row>
    <row r="49" spans="2:7" x14ac:dyDescent="0.2">
      <c r="B49" s="186">
        <v>45</v>
      </c>
      <c r="C49" s="187" t="s">
        <v>31</v>
      </c>
      <c r="D49" s="187" t="s">
        <v>34</v>
      </c>
      <c r="E49" s="188">
        <v>39870</v>
      </c>
      <c r="F49" s="188">
        <v>39890</v>
      </c>
      <c r="G49" s="188">
        <v>39904</v>
      </c>
    </row>
    <row r="50" spans="2:7" x14ac:dyDescent="0.2">
      <c r="B50" s="186">
        <v>46</v>
      </c>
      <c r="C50" s="187" t="s">
        <v>1</v>
      </c>
      <c r="D50" s="187" t="s">
        <v>34</v>
      </c>
      <c r="E50" s="188">
        <v>39870</v>
      </c>
      <c r="F50" s="188">
        <v>40042</v>
      </c>
      <c r="G50" s="188">
        <v>40074</v>
      </c>
    </row>
    <row r="51" spans="2:7" x14ac:dyDescent="0.2">
      <c r="B51" s="186">
        <v>47</v>
      </c>
      <c r="C51" s="187" t="s">
        <v>31</v>
      </c>
      <c r="D51" s="187" t="s">
        <v>34</v>
      </c>
      <c r="E51" s="188">
        <v>39870</v>
      </c>
      <c r="F51" s="188">
        <v>39870</v>
      </c>
      <c r="G51" s="188">
        <v>39870</v>
      </c>
    </row>
    <row r="52" spans="2:7" x14ac:dyDescent="0.2">
      <c r="B52" s="186">
        <v>48</v>
      </c>
      <c r="C52" s="187" t="s">
        <v>31</v>
      </c>
      <c r="D52" s="187" t="s">
        <v>34</v>
      </c>
      <c r="E52" s="188">
        <v>39871</v>
      </c>
      <c r="F52" s="188">
        <v>39911</v>
      </c>
      <c r="G52" s="188">
        <v>39934</v>
      </c>
    </row>
    <row r="53" spans="2:7" x14ac:dyDescent="0.2">
      <c r="B53" s="186">
        <v>49</v>
      </c>
      <c r="C53" s="187" t="s">
        <v>1</v>
      </c>
      <c r="D53" s="187" t="s">
        <v>34</v>
      </c>
      <c r="E53" s="188">
        <v>39871</v>
      </c>
      <c r="F53" s="188">
        <v>39910</v>
      </c>
      <c r="G53" s="188">
        <v>39925</v>
      </c>
    </row>
    <row r="54" spans="2:7" x14ac:dyDescent="0.2">
      <c r="B54" s="186">
        <v>50</v>
      </c>
      <c r="C54" s="187" t="s">
        <v>31</v>
      </c>
      <c r="D54" s="187" t="s">
        <v>34</v>
      </c>
      <c r="E54" s="188">
        <v>39871</v>
      </c>
      <c r="F54" s="188">
        <v>39896</v>
      </c>
      <c r="G54" s="188">
        <v>39913</v>
      </c>
    </row>
    <row r="55" spans="2:7" x14ac:dyDescent="0.2">
      <c r="B55" s="186">
        <v>51</v>
      </c>
      <c r="C55" s="187" t="s">
        <v>1</v>
      </c>
      <c r="D55" s="187" t="s">
        <v>34</v>
      </c>
      <c r="E55" s="188">
        <v>39872</v>
      </c>
      <c r="F55" s="188">
        <v>39879</v>
      </c>
      <c r="G55" s="188">
        <v>39935</v>
      </c>
    </row>
    <row r="56" spans="2:7" x14ac:dyDescent="0.2">
      <c r="B56" s="186">
        <v>52</v>
      </c>
      <c r="C56" s="187" t="s">
        <v>1</v>
      </c>
      <c r="D56" s="187" t="s">
        <v>34</v>
      </c>
      <c r="E56" s="188">
        <v>39872</v>
      </c>
      <c r="F56" s="188">
        <v>39885</v>
      </c>
      <c r="G56" s="188">
        <v>39897</v>
      </c>
    </row>
    <row r="57" spans="2:7" x14ac:dyDescent="0.2">
      <c r="B57" s="186">
        <v>53</v>
      </c>
      <c r="C57" s="187" t="s">
        <v>1</v>
      </c>
      <c r="D57" s="187" t="s">
        <v>34</v>
      </c>
      <c r="E57" s="188">
        <v>39873</v>
      </c>
      <c r="F57" s="188">
        <v>39885</v>
      </c>
      <c r="G57" s="188">
        <v>39886</v>
      </c>
    </row>
    <row r="58" spans="2:7" x14ac:dyDescent="0.2">
      <c r="B58" s="186">
        <v>54</v>
      </c>
      <c r="C58" s="187" t="s">
        <v>31</v>
      </c>
      <c r="D58" s="187" t="s">
        <v>34</v>
      </c>
      <c r="E58" s="188">
        <v>39877</v>
      </c>
      <c r="F58" s="188">
        <v>39910</v>
      </c>
      <c r="G58" s="188">
        <v>39977</v>
      </c>
    </row>
    <row r="59" spans="2:7" x14ac:dyDescent="0.2">
      <c r="B59" s="186">
        <v>55</v>
      </c>
      <c r="C59" s="187" t="s">
        <v>1</v>
      </c>
      <c r="D59" s="187" t="s">
        <v>34</v>
      </c>
      <c r="E59" s="188">
        <v>39877</v>
      </c>
      <c r="F59" s="188">
        <v>39892</v>
      </c>
      <c r="G59" s="188">
        <v>39893</v>
      </c>
    </row>
    <row r="60" spans="2:7" x14ac:dyDescent="0.2">
      <c r="B60" s="186">
        <v>56</v>
      </c>
      <c r="C60" s="187" t="s">
        <v>31</v>
      </c>
      <c r="D60" s="187" t="s">
        <v>34</v>
      </c>
      <c r="E60" s="188">
        <v>39877</v>
      </c>
      <c r="F60" s="188">
        <v>39910</v>
      </c>
      <c r="G60" s="188">
        <v>39977</v>
      </c>
    </row>
    <row r="61" spans="2:7" x14ac:dyDescent="0.2">
      <c r="B61" s="186">
        <v>57</v>
      </c>
      <c r="C61" s="187" t="s">
        <v>31</v>
      </c>
      <c r="D61" s="187" t="s">
        <v>34</v>
      </c>
      <c r="E61" s="188">
        <v>39877</v>
      </c>
      <c r="F61" s="188">
        <v>39910</v>
      </c>
      <c r="G61" s="188">
        <v>39977</v>
      </c>
    </row>
    <row r="62" spans="2:7" x14ac:dyDescent="0.2">
      <c r="B62" s="186">
        <v>58</v>
      </c>
      <c r="C62" s="187" t="s">
        <v>1</v>
      </c>
      <c r="D62" s="187" t="s">
        <v>34</v>
      </c>
      <c r="E62" s="188">
        <v>39877</v>
      </c>
      <c r="F62" s="188">
        <v>39910</v>
      </c>
      <c r="G62" s="188">
        <v>39977</v>
      </c>
    </row>
    <row r="63" spans="2:7" x14ac:dyDescent="0.2">
      <c r="B63" s="186">
        <v>59</v>
      </c>
      <c r="C63" s="187" t="s">
        <v>1</v>
      </c>
      <c r="D63" s="187" t="s">
        <v>34</v>
      </c>
      <c r="E63" s="188">
        <v>39877</v>
      </c>
      <c r="F63" s="188">
        <v>39910</v>
      </c>
      <c r="G63" s="188">
        <v>39977</v>
      </c>
    </row>
    <row r="64" spans="2:7" x14ac:dyDescent="0.2">
      <c r="B64" s="186">
        <v>60</v>
      </c>
      <c r="C64" s="187" t="s">
        <v>31</v>
      </c>
      <c r="D64" s="187" t="s">
        <v>34</v>
      </c>
      <c r="E64" s="188">
        <v>39877</v>
      </c>
      <c r="F64" s="188">
        <v>39877</v>
      </c>
      <c r="G64" s="188">
        <v>39877</v>
      </c>
    </row>
    <row r="65" spans="2:7" x14ac:dyDescent="0.2">
      <c r="B65" s="186">
        <v>61</v>
      </c>
      <c r="C65" s="187" t="s">
        <v>31</v>
      </c>
      <c r="D65" s="187" t="s">
        <v>34</v>
      </c>
      <c r="E65" s="188">
        <v>39877</v>
      </c>
      <c r="F65" s="188">
        <v>39910</v>
      </c>
      <c r="G65" s="188">
        <v>39913</v>
      </c>
    </row>
    <row r="66" spans="2:7" x14ac:dyDescent="0.2">
      <c r="B66" s="186">
        <v>62</v>
      </c>
      <c r="C66" s="187" t="s">
        <v>1</v>
      </c>
      <c r="D66" s="187" t="s">
        <v>34</v>
      </c>
      <c r="E66" s="188">
        <v>39877</v>
      </c>
      <c r="F66" s="188">
        <v>39910</v>
      </c>
      <c r="G66" s="188">
        <v>39913</v>
      </c>
    </row>
    <row r="67" spans="2:7" x14ac:dyDescent="0.2">
      <c r="B67" s="186">
        <v>63</v>
      </c>
      <c r="C67" s="187" t="s">
        <v>1</v>
      </c>
      <c r="D67" s="187" t="s">
        <v>34</v>
      </c>
      <c r="E67" s="188">
        <v>39878</v>
      </c>
      <c r="F67" s="188">
        <v>39879</v>
      </c>
      <c r="G67" s="188">
        <v>39879</v>
      </c>
    </row>
    <row r="68" spans="2:7" x14ac:dyDescent="0.2">
      <c r="B68" s="186">
        <v>64</v>
      </c>
      <c r="C68" s="187" t="s">
        <v>1</v>
      </c>
      <c r="D68" s="187" t="s">
        <v>34</v>
      </c>
      <c r="E68" s="188">
        <v>39878</v>
      </c>
      <c r="F68" s="188">
        <v>39885</v>
      </c>
      <c r="G68" s="188">
        <v>39897</v>
      </c>
    </row>
    <row r="69" spans="2:7" x14ac:dyDescent="0.2">
      <c r="B69" s="186">
        <v>65</v>
      </c>
      <c r="C69" s="187" t="s">
        <v>1</v>
      </c>
      <c r="D69" s="187" t="s">
        <v>34</v>
      </c>
      <c r="E69" s="188">
        <v>39878</v>
      </c>
      <c r="F69" s="188">
        <v>39925</v>
      </c>
      <c r="G69" s="188">
        <v>39932</v>
      </c>
    </row>
    <row r="70" spans="2:7" x14ac:dyDescent="0.2">
      <c r="B70" s="186">
        <v>66</v>
      </c>
      <c r="C70" s="187" t="s">
        <v>31</v>
      </c>
      <c r="D70" s="187" t="s">
        <v>34</v>
      </c>
      <c r="E70" s="188">
        <v>39879</v>
      </c>
      <c r="F70" s="188">
        <v>39906</v>
      </c>
      <c r="G70" s="188">
        <v>39974</v>
      </c>
    </row>
    <row r="71" spans="2:7" x14ac:dyDescent="0.2">
      <c r="B71" s="186">
        <v>67</v>
      </c>
      <c r="C71" s="187" t="s">
        <v>1</v>
      </c>
      <c r="D71" s="187" t="s">
        <v>34</v>
      </c>
      <c r="E71" s="188">
        <v>39880</v>
      </c>
      <c r="F71" s="188">
        <v>40004</v>
      </c>
      <c r="G71" s="188">
        <v>40008</v>
      </c>
    </row>
    <row r="72" spans="2:7" x14ac:dyDescent="0.2">
      <c r="B72" s="186">
        <v>68</v>
      </c>
      <c r="C72" s="187" t="s">
        <v>32</v>
      </c>
      <c r="D72" s="187" t="s">
        <v>34</v>
      </c>
      <c r="E72" s="188">
        <v>39882</v>
      </c>
      <c r="F72" s="188">
        <v>39885</v>
      </c>
      <c r="G72" s="188">
        <v>39886</v>
      </c>
    </row>
    <row r="73" spans="2:7" x14ac:dyDescent="0.2">
      <c r="B73" s="186">
        <v>69</v>
      </c>
      <c r="C73" s="187" t="s">
        <v>32</v>
      </c>
      <c r="D73" s="187" t="s">
        <v>34</v>
      </c>
      <c r="E73" s="188">
        <v>39882</v>
      </c>
      <c r="F73" s="188">
        <v>39885</v>
      </c>
      <c r="G73" s="188">
        <v>39886</v>
      </c>
    </row>
    <row r="74" spans="2:7" x14ac:dyDescent="0.2">
      <c r="B74" s="186">
        <v>70</v>
      </c>
      <c r="C74" s="187" t="s">
        <v>32</v>
      </c>
      <c r="D74" s="187" t="s">
        <v>34</v>
      </c>
      <c r="E74" s="188">
        <v>39882</v>
      </c>
      <c r="F74" s="188">
        <v>39885</v>
      </c>
      <c r="G74" s="188">
        <v>39886</v>
      </c>
    </row>
    <row r="75" spans="2:7" x14ac:dyDescent="0.2">
      <c r="B75" s="186">
        <v>71</v>
      </c>
      <c r="C75" s="187" t="s">
        <v>1</v>
      </c>
      <c r="D75" s="187" t="s">
        <v>34</v>
      </c>
      <c r="E75" s="188">
        <v>39883</v>
      </c>
      <c r="F75" s="188">
        <v>39893</v>
      </c>
      <c r="G75" s="188">
        <v>39897</v>
      </c>
    </row>
    <row r="76" spans="2:7" x14ac:dyDescent="0.2">
      <c r="B76" s="186">
        <v>72</v>
      </c>
      <c r="C76" s="187" t="s">
        <v>31</v>
      </c>
      <c r="D76" s="187" t="s">
        <v>34</v>
      </c>
      <c r="E76" s="188">
        <v>39883</v>
      </c>
      <c r="F76" s="188">
        <v>39905</v>
      </c>
      <c r="G76" s="188">
        <v>39918</v>
      </c>
    </row>
    <row r="77" spans="2:7" x14ac:dyDescent="0.2">
      <c r="B77" s="186">
        <v>73</v>
      </c>
      <c r="C77" s="187" t="s">
        <v>31</v>
      </c>
      <c r="D77" s="187" t="s">
        <v>34</v>
      </c>
      <c r="E77" s="188">
        <v>39883</v>
      </c>
      <c r="F77" s="188">
        <v>39910</v>
      </c>
      <c r="G77" s="188">
        <v>39927</v>
      </c>
    </row>
    <row r="78" spans="2:7" x14ac:dyDescent="0.2">
      <c r="B78" s="186">
        <v>74</v>
      </c>
      <c r="C78" s="187" t="s">
        <v>31</v>
      </c>
      <c r="D78" s="187" t="s">
        <v>34</v>
      </c>
      <c r="E78" s="188">
        <v>39883</v>
      </c>
      <c r="F78" s="188">
        <v>39910</v>
      </c>
      <c r="G78" s="188">
        <v>39921</v>
      </c>
    </row>
    <row r="79" spans="2:7" x14ac:dyDescent="0.2">
      <c r="B79" s="186">
        <v>75</v>
      </c>
      <c r="C79" s="187" t="s">
        <v>1</v>
      </c>
      <c r="D79" s="187" t="s">
        <v>34</v>
      </c>
      <c r="E79" s="188">
        <v>39883</v>
      </c>
      <c r="F79" s="188">
        <v>39890</v>
      </c>
      <c r="G79" s="188">
        <v>39897</v>
      </c>
    </row>
    <row r="80" spans="2:7" x14ac:dyDescent="0.2">
      <c r="B80" s="186">
        <v>76</v>
      </c>
      <c r="C80" s="187" t="s">
        <v>31</v>
      </c>
      <c r="D80" s="187" t="s">
        <v>34</v>
      </c>
      <c r="E80" s="188">
        <v>39883</v>
      </c>
      <c r="F80" s="188">
        <v>39910</v>
      </c>
      <c r="G80" s="188">
        <v>39934</v>
      </c>
    </row>
    <row r="81" spans="2:7" x14ac:dyDescent="0.2">
      <c r="B81" s="186">
        <v>77</v>
      </c>
      <c r="C81" s="187" t="s">
        <v>31</v>
      </c>
      <c r="D81" s="187" t="s">
        <v>34</v>
      </c>
      <c r="E81" s="188">
        <v>39884</v>
      </c>
      <c r="F81" s="188">
        <v>39889</v>
      </c>
      <c r="G81" s="188">
        <v>39906</v>
      </c>
    </row>
    <row r="82" spans="2:7" x14ac:dyDescent="0.2">
      <c r="B82" s="186">
        <v>78</v>
      </c>
      <c r="C82" s="187" t="s">
        <v>31</v>
      </c>
      <c r="D82" s="187" t="s">
        <v>34</v>
      </c>
      <c r="E82" s="188">
        <v>39885</v>
      </c>
      <c r="F82" s="188">
        <v>39897</v>
      </c>
      <c r="G82" s="188">
        <v>39897</v>
      </c>
    </row>
    <row r="83" spans="2:7" x14ac:dyDescent="0.2">
      <c r="B83" s="186">
        <v>79</v>
      </c>
      <c r="C83" s="187" t="s">
        <v>31</v>
      </c>
      <c r="D83" s="187" t="s">
        <v>34</v>
      </c>
      <c r="E83" s="188">
        <v>39886</v>
      </c>
      <c r="F83" s="188">
        <v>39905</v>
      </c>
      <c r="G83" s="188">
        <v>39912</v>
      </c>
    </row>
    <row r="84" spans="2:7" x14ac:dyDescent="0.2">
      <c r="B84" s="186">
        <v>80</v>
      </c>
      <c r="C84" s="187" t="s">
        <v>1</v>
      </c>
      <c r="D84" s="187" t="s">
        <v>34</v>
      </c>
      <c r="E84" s="188">
        <v>39886</v>
      </c>
      <c r="F84" s="188">
        <v>40004</v>
      </c>
      <c r="G84" s="188">
        <v>40012</v>
      </c>
    </row>
    <row r="85" spans="2:7" x14ac:dyDescent="0.2">
      <c r="B85" s="186">
        <v>81</v>
      </c>
      <c r="C85" s="187" t="s">
        <v>1</v>
      </c>
      <c r="D85" s="187" t="s">
        <v>34</v>
      </c>
      <c r="E85" s="188">
        <v>39887</v>
      </c>
      <c r="F85" s="188">
        <v>39888</v>
      </c>
      <c r="G85" s="188">
        <v>39895</v>
      </c>
    </row>
    <row r="86" spans="2:7" x14ac:dyDescent="0.2">
      <c r="B86" s="186">
        <v>82</v>
      </c>
      <c r="C86" s="187" t="s">
        <v>1</v>
      </c>
      <c r="D86" s="187" t="s">
        <v>34</v>
      </c>
      <c r="E86" s="188">
        <v>39887</v>
      </c>
      <c r="F86" s="188">
        <v>39888</v>
      </c>
      <c r="G86" s="188">
        <v>39895</v>
      </c>
    </row>
    <row r="87" spans="2:7" x14ac:dyDescent="0.2">
      <c r="B87" s="186">
        <v>83</v>
      </c>
      <c r="C87" s="187" t="s">
        <v>31</v>
      </c>
      <c r="D87" s="187" t="s">
        <v>34</v>
      </c>
      <c r="E87" s="188">
        <v>39887</v>
      </c>
      <c r="F87" s="188">
        <v>39905</v>
      </c>
      <c r="G87" s="188">
        <v>39933</v>
      </c>
    </row>
    <row r="88" spans="2:7" x14ac:dyDescent="0.2">
      <c r="B88" s="186">
        <v>84</v>
      </c>
      <c r="C88" s="187" t="s">
        <v>30</v>
      </c>
      <c r="D88" s="187" t="s">
        <v>34</v>
      </c>
      <c r="E88" s="188">
        <v>39887</v>
      </c>
      <c r="F88" s="188">
        <v>39905</v>
      </c>
      <c r="G88" s="188">
        <v>39927</v>
      </c>
    </row>
    <row r="89" spans="2:7" x14ac:dyDescent="0.2">
      <c r="B89" s="186">
        <v>85</v>
      </c>
      <c r="C89" s="187" t="s">
        <v>31</v>
      </c>
      <c r="D89" s="187" t="s">
        <v>34</v>
      </c>
      <c r="E89" s="188">
        <v>39887</v>
      </c>
      <c r="F89" s="188">
        <v>39925</v>
      </c>
      <c r="G89" s="188">
        <v>39927</v>
      </c>
    </row>
    <row r="90" spans="2:7" x14ac:dyDescent="0.2">
      <c r="B90" s="186">
        <v>86</v>
      </c>
      <c r="C90" s="187" t="s">
        <v>1</v>
      </c>
      <c r="D90" s="187" t="s">
        <v>34</v>
      </c>
      <c r="E90" s="188">
        <v>39887</v>
      </c>
      <c r="F90" s="188">
        <v>39911</v>
      </c>
      <c r="G90" s="188">
        <v>39912</v>
      </c>
    </row>
    <row r="91" spans="2:7" x14ac:dyDescent="0.2">
      <c r="B91" s="186">
        <v>87</v>
      </c>
      <c r="C91" s="187" t="s">
        <v>31</v>
      </c>
      <c r="D91" s="187" t="s">
        <v>34</v>
      </c>
      <c r="E91" s="188">
        <v>39890</v>
      </c>
      <c r="F91" s="188">
        <v>39890</v>
      </c>
      <c r="G91" s="188">
        <v>39890</v>
      </c>
    </row>
    <row r="92" spans="2:7" x14ac:dyDescent="0.2">
      <c r="B92" s="186">
        <v>88</v>
      </c>
      <c r="C92" s="187" t="s">
        <v>1</v>
      </c>
      <c r="D92" s="187" t="s">
        <v>34</v>
      </c>
      <c r="E92" s="188">
        <v>39890</v>
      </c>
      <c r="F92" s="188">
        <v>39910</v>
      </c>
      <c r="G92" s="188">
        <v>39977</v>
      </c>
    </row>
    <row r="93" spans="2:7" x14ac:dyDescent="0.2">
      <c r="B93" s="186">
        <v>89</v>
      </c>
      <c r="C93" s="187" t="s">
        <v>31</v>
      </c>
      <c r="D93" s="187" t="s">
        <v>34</v>
      </c>
      <c r="E93" s="188">
        <v>39892</v>
      </c>
      <c r="F93" s="188">
        <v>39905</v>
      </c>
      <c r="G93" s="188">
        <v>39938</v>
      </c>
    </row>
    <row r="94" spans="2:7" x14ac:dyDescent="0.2">
      <c r="B94" s="186">
        <v>90</v>
      </c>
      <c r="C94" s="187" t="s">
        <v>1</v>
      </c>
      <c r="D94" s="187" t="s">
        <v>34</v>
      </c>
      <c r="E94" s="188">
        <v>39892</v>
      </c>
      <c r="F94" s="188">
        <v>39906</v>
      </c>
      <c r="G94" s="188">
        <v>39917</v>
      </c>
    </row>
    <row r="95" spans="2:7" x14ac:dyDescent="0.2">
      <c r="B95" s="186">
        <v>91</v>
      </c>
      <c r="C95" s="187" t="s">
        <v>1</v>
      </c>
      <c r="D95" s="187" t="s">
        <v>34</v>
      </c>
      <c r="E95" s="188">
        <v>39893</v>
      </c>
      <c r="F95" s="188">
        <v>39906</v>
      </c>
      <c r="G95" s="188">
        <v>39911</v>
      </c>
    </row>
    <row r="96" spans="2:7" x14ac:dyDescent="0.2">
      <c r="B96" s="186">
        <v>92</v>
      </c>
      <c r="C96" s="187" t="s">
        <v>1</v>
      </c>
      <c r="D96" s="187" t="s">
        <v>34</v>
      </c>
      <c r="E96" s="188">
        <v>39896</v>
      </c>
      <c r="F96" s="188">
        <v>39910</v>
      </c>
      <c r="G96" s="188">
        <v>39977</v>
      </c>
    </row>
    <row r="97" spans="2:7" x14ac:dyDescent="0.2">
      <c r="B97" s="186">
        <v>93</v>
      </c>
      <c r="C97" s="187" t="s">
        <v>31</v>
      </c>
      <c r="D97" s="187" t="s">
        <v>34</v>
      </c>
      <c r="E97" s="188">
        <v>39897</v>
      </c>
      <c r="F97" s="188">
        <v>39905</v>
      </c>
      <c r="G97" s="188">
        <v>39911</v>
      </c>
    </row>
    <row r="98" spans="2:7" x14ac:dyDescent="0.2">
      <c r="B98" s="186">
        <v>94</v>
      </c>
      <c r="C98" s="187" t="s">
        <v>30</v>
      </c>
      <c r="D98" s="187" t="s">
        <v>34</v>
      </c>
      <c r="E98" s="188">
        <v>39897</v>
      </c>
      <c r="F98" s="188">
        <v>39905</v>
      </c>
      <c r="G98" s="188">
        <v>39919</v>
      </c>
    </row>
    <row r="99" spans="2:7" x14ac:dyDescent="0.2">
      <c r="B99" s="186">
        <v>95</v>
      </c>
      <c r="C99" s="187" t="s">
        <v>31</v>
      </c>
      <c r="D99" s="187" t="s">
        <v>34</v>
      </c>
      <c r="E99" s="188">
        <v>39897</v>
      </c>
      <c r="F99" s="188">
        <v>39906</v>
      </c>
      <c r="G99" s="188">
        <v>39907</v>
      </c>
    </row>
    <row r="100" spans="2:7" x14ac:dyDescent="0.2">
      <c r="B100" s="186">
        <v>96</v>
      </c>
      <c r="C100" s="187" t="s">
        <v>1</v>
      </c>
      <c r="D100" s="187" t="s">
        <v>34</v>
      </c>
      <c r="E100" s="188">
        <v>39897</v>
      </c>
      <c r="F100" s="188">
        <v>39905</v>
      </c>
      <c r="G100" s="188">
        <v>39906</v>
      </c>
    </row>
    <row r="101" spans="2:7" x14ac:dyDescent="0.2">
      <c r="B101" s="186">
        <v>97</v>
      </c>
      <c r="C101" s="187" t="s">
        <v>1</v>
      </c>
      <c r="D101" s="187" t="s">
        <v>34</v>
      </c>
      <c r="E101" s="188">
        <v>39897</v>
      </c>
      <c r="F101" s="188">
        <v>39921</v>
      </c>
      <c r="G101" s="188">
        <v>39938</v>
      </c>
    </row>
    <row r="102" spans="2:7" x14ac:dyDescent="0.2">
      <c r="B102" s="186">
        <v>98</v>
      </c>
      <c r="C102" s="187" t="s">
        <v>31</v>
      </c>
      <c r="D102" s="187" t="s">
        <v>34</v>
      </c>
      <c r="E102" s="188">
        <v>39899</v>
      </c>
      <c r="F102" s="188">
        <v>39955</v>
      </c>
      <c r="G102" s="188">
        <v>39956</v>
      </c>
    </row>
    <row r="103" spans="2:7" x14ac:dyDescent="0.2">
      <c r="B103" s="186">
        <v>99</v>
      </c>
      <c r="C103" s="187" t="s">
        <v>31</v>
      </c>
      <c r="D103" s="187" t="s">
        <v>34</v>
      </c>
      <c r="E103" s="188">
        <v>39899</v>
      </c>
      <c r="F103" s="188">
        <v>39905</v>
      </c>
      <c r="G103" s="188">
        <v>39906</v>
      </c>
    </row>
    <row r="104" spans="2:7" x14ac:dyDescent="0.2">
      <c r="B104" s="186">
        <v>100</v>
      </c>
      <c r="C104" s="187" t="s">
        <v>31</v>
      </c>
      <c r="D104" s="187" t="s">
        <v>34</v>
      </c>
      <c r="E104" s="188">
        <v>39899</v>
      </c>
      <c r="F104" s="188">
        <v>39906</v>
      </c>
      <c r="G104" s="188">
        <v>39920</v>
      </c>
    </row>
    <row r="105" spans="2:7" x14ac:dyDescent="0.2">
      <c r="B105" s="186">
        <v>101</v>
      </c>
      <c r="C105" s="187" t="s">
        <v>1</v>
      </c>
      <c r="D105" s="187" t="s">
        <v>34</v>
      </c>
      <c r="E105" s="188">
        <v>39900</v>
      </c>
      <c r="F105" s="188">
        <v>39921</v>
      </c>
      <c r="G105" s="188">
        <v>39925</v>
      </c>
    </row>
    <row r="106" spans="2:7" x14ac:dyDescent="0.2">
      <c r="B106" s="186">
        <v>102</v>
      </c>
      <c r="C106" s="187" t="s">
        <v>31</v>
      </c>
      <c r="D106" s="187" t="s">
        <v>34</v>
      </c>
      <c r="E106" s="188">
        <v>39900</v>
      </c>
      <c r="F106" s="188">
        <v>39911</v>
      </c>
      <c r="G106" s="188">
        <v>39941</v>
      </c>
    </row>
    <row r="107" spans="2:7" x14ac:dyDescent="0.2">
      <c r="B107" s="186">
        <v>103</v>
      </c>
      <c r="C107" s="187" t="s">
        <v>1</v>
      </c>
      <c r="D107" s="187" t="s">
        <v>34</v>
      </c>
      <c r="E107" s="188">
        <v>39903</v>
      </c>
      <c r="F107" s="188">
        <v>39910</v>
      </c>
      <c r="G107" s="188">
        <v>39913</v>
      </c>
    </row>
    <row r="108" spans="2:7" x14ac:dyDescent="0.2">
      <c r="B108" s="186">
        <v>104</v>
      </c>
      <c r="C108" s="187" t="s">
        <v>32</v>
      </c>
      <c r="D108" s="187" t="s">
        <v>34</v>
      </c>
      <c r="E108" s="188">
        <v>39904</v>
      </c>
      <c r="F108" s="188">
        <v>39912</v>
      </c>
      <c r="G108" s="188">
        <v>39926</v>
      </c>
    </row>
    <row r="109" spans="2:7" x14ac:dyDescent="0.2">
      <c r="B109" s="186">
        <v>105</v>
      </c>
      <c r="C109" s="187" t="s">
        <v>30</v>
      </c>
      <c r="D109" s="187" t="s">
        <v>34</v>
      </c>
      <c r="E109" s="188">
        <v>39906</v>
      </c>
      <c r="F109" s="188">
        <v>39911</v>
      </c>
      <c r="G109" s="188">
        <v>39912</v>
      </c>
    </row>
    <row r="110" spans="2:7" x14ac:dyDescent="0.2">
      <c r="B110" s="186">
        <v>106</v>
      </c>
      <c r="C110" s="187" t="s">
        <v>1</v>
      </c>
      <c r="D110" s="187" t="s">
        <v>34</v>
      </c>
      <c r="E110" s="188">
        <v>39908</v>
      </c>
      <c r="F110" s="188">
        <v>39919</v>
      </c>
      <c r="G110" s="188">
        <v>39920</v>
      </c>
    </row>
    <row r="111" spans="2:7" x14ac:dyDescent="0.2">
      <c r="B111" s="186">
        <v>107</v>
      </c>
      <c r="C111" s="187" t="s">
        <v>31</v>
      </c>
      <c r="D111" s="187" t="s">
        <v>34</v>
      </c>
      <c r="E111" s="188">
        <v>39908</v>
      </c>
      <c r="F111" s="188">
        <v>39927</v>
      </c>
      <c r="G111" s="188">
        <v>39933</v>
      </c>
    </row>
    <row r="112" spans="2:7" x14ac:dyDescent="0.2">
      <c r="B112" s="186">
        <v>108</v>
      </c>
      <c r="C112" s="187" t="s">
        <v>1</v>
      </c>
      <c r="D112" s="187" t="s">
        <v>34</v>
      </c>
      <c r="E112" s="188">
        <v>39911</v>
      </c>
      <c r="F112" s="188">
        <v>39945</v>
      </c>
      <c r="G112" s="188">
        <v>39955</v>
      </c>
    </row>
    <row r="113" spans="2:7" x14ac:dyDescent="0.2">
      <c r="B113" s="186">
        <v>109</v>
      </c>
      <c r="C113" s="187" t="s">
        <v>31</v>
      </c>
      <c r="D113" s="187" t="s">
        <v>34</v>
      </c>
      <c r="E113" s="188">
        <v>39911</v>
      </c>
      <c r="F113" s="188">
        <v>39921</v>
      </c>
      <c r="G113" s="188">
        <v>39925</v>
      </c>
    </row>
    <row r="114" spans="2:7" x14ac:dyDescent="0.2">
      <c r="B114" s="186">
        <v>110</v>
      </c>
      <c r="C114" s="187" t="s">
        <v>1</v>
      </c>
      <c r="D114" s="187" t="s">
        <v>34</v>
      </c>
      <c r="E114" s="188">
        <v>39911</v>
      </c>
      <c r="F114" s="188">
        <v>39921</v>
      </c>
      <c r="G114" s="188">
        <v>39925</v>
      </c>
    </row>
    <row r="115" spans="2:7" x14ac:dyDescent="0.2">
      <c r="B115" s="186">
        <v>111</v>
      </c>
      <c r="C115" s="187" t="s">
        <v>31</v>
      </c>
      <c r="D115" s="187" t="s">
        <v>34</v>
      </c>
      <c r="E115" s="188">
        <v>39912</v>
      </c>
      <c r="F115" s="188">
        <v>40009</v>
      </c>
      <c r="G115" s="188">
        <v>40016</v>
      </c>
    </row>
    <row r="116" spans="2:7" x14ac:dyDescent="0.2">
      <c r="B116" s="186">
        <v>112</v>
      </c>
      <c r="C116" s="187" t="s">
        <v>1</v>
      </c>
      <c r="D116" s="187" t="s">
        <v>34</v>
      </c>
      <c r="E116" s="188">
        <v>39912</v>
      </c>
      <c r="F116" s="188">
        <v>39921</v>
      </c>
      <c r="G116" s="188">
        <v>39926</v>
      </c>
    </row>
    <row r="117" spans="2:7" x14ac:dyDescent="0.2">
      <c r="B117" s="186">
        <v>113</v>
      </c>
      <c r="C117" s="187" t="s">
        <v>1</v>
      </c>
      <c r="D117" s="187" t="s">
        <v>34</v>
      </c>
      <c r="E117" s="188">
        <v>39912</v>
      </c>
      <c r="F117" s="188">
        <v>39921</v>
      </c>
      <c r="G117" s="188">
        <v>39926</v>
      </c>
    </row>
    <row r="118" spans="2:7" x14ac:dyDescent="0.2">
      <c r="B118" s="186">
        <v>114</v>
      </c>
      <c r="C118" s="187" t="s">
        <v>1</v>
      </c>
      <c r="D118" s="187" t="s">
        <v>34</v>
      </c>
      <c r="E118" s="188">
        <v>39912</v>
      </c>
      <c r="F118" s="188">
        <v>39919</v>
      </c>
      <c r="G118" s="188">
        <v>39920</v>
      </c>
    </row>
    <row r="119" spans="2:7" x14ac:dyDescent="0.2">
      <c r="B119" s="186">
        <v>115</v>
      </c>
      <c r="C119" s="187" t="s">
        <v>1</v>
      </c>
      <c r="D119" s="187" t="s">
        <v>34</v>
      </c>
      <c r="E119" s="188">
        <v>39912</v>
      </c>
      <c r="F119" s="188">
        <v>39955</v>
      </c>
      <c r="G119" s="188">
        <v>39955</v>
      </c>
    </row>
    <row r="120" spans="2:7" x14ac:dyDescent="0.2">
      <c r="B120" s="186">
        <v>116</v>
      </c>
      <c r="C120" s="187" t="s">
        <v>31</v>
      </c>
      <c r="D120" s="187" t="s">
        <v>34</v>
      </c>
      <c r="E120" s="188">
        <v>39913</v>
      </c>
      <c r="F120" s="188">
        <v>40009</v>
      </c>
      <c r="G120" s="188">
        <v>40043</v>
      </c>
    </row>
    <row r="121" spans="2:7" x14ac:dyDescent="0.2">
      <c r="B121" s="186">
        <v>117</v>
      </c>
      <c r="C121" s="187" t="s">
        <v>31</v>
      </c>
      <c r="D121" s="187" t="s">
        <v>34</v>
      </c>
      <c r="E121" s="188">
        <v>39913</v>
      </c>
      <c r="F121" s="188">
        <v>39913</v>
      </c>
      <c r="G121" s="188">
        <v>39913</v>
      </c>
    </row>
    <row r="122" spans="2:7" x14ac:dyDescent="0.2">
      <c r="B122" s="186">
        <v>118</v>
      </c>
      <c r="C122" s="187" t="s">
        <v>1</v>
      </c>
      <c r="D122" s="187" t="s">
        <v>34</v>
      </c>
      <c r="E122" s="188">
        <v>39913</v>
      </c>
      <c r="F122" s="188">
        <v>39948</v>
      </c>
      <c r="G122" s="188">
        <v>39956</v>
      </c>
    </row>
    <row r="123" spans="2:7" x14ac:dyDescent="0.2">
      <c r="B123" s="186">
        <v>119</v>
      </c>
      <c r="C123" s="187" t="s">
        <v>30</v>
      </c>
      <c r="D123" s="187" t="s">
        <v>34</v>
      </c>
      <c r="E123" s="188">
        <v>39914</v>
      </c>
      <c r="F123" s="188">
        <v>39921</v>
      </c>
      <c r="G123" s="188">
        <v>39926</v>
      </c>
    </row>
    <row r="124" spans="2:7" x14ac:dyDescent="0.2">
      <c r="B124" s="186">
        <v>120</v>
      </c>
      <c r="C124" s="187" t="s">
        <v>1</v>
      </c>
      <c r="D124" s="187" t="s">
        <v>34</v>
      </c>
      <c r="E124" s="188">
        <v>39914</v>
      </c>
      <c r="F124" s="188">
        <v>39934</v>
      </c>
      <c r="G124" s="188">
        <v>39935</v>
      </c>
    </row>
    <row r="125" spans="2:7" x14ac:dyDescent="0.2">
      <c r="B125" s="186">
        <v>121</v>
      </c>
      <c r="C125" s="187" t="s">
        <v>1</v>
      </c>
      <c r="D125" s="187" t="s">
        <v>34</v>
      </c>
      <c r="E125" s="188">
        <v>39917</v>
      </c>
      <c r="F125" s="188">
        <v>39955</v>
      </c>
      <c r="G125" s="188">
        <v>39974</v>
      </c>
    </row>
    <row r="126" spans="2:7" x14ac:dyDescent="0.2">
      <c r="B126" s="186">
        <v>122</v>
      </c>
      <c r="C126" s="187" t="s">
        <v>31</v>
      </c>
      <c r="D126" s="187" t="s">
        <v>34</v>
      </c>
      <c r="E126" s="188">
        <v>39917</v>
      </c>
      <c r="F126" s="188">
        <v>39918</v>
      </c>
      <c r="G126" s="188">
        <v>39927</v>
      </c>
    </row>
    <row r="127" spans="2:7" x14ac:dyDescent="0.2">
      <c r="B127" s="186">
        <v>123</v>
      </c>
      <c r="C127" s="187" t="s">
        <v>31</v>
      </c>
      <c r="D127" s="187" t="s">
        <v>34</v>
      </c>
      <c r="E127" s="188">
        <v>39919</v>
      </c>
      <c r="F127" s="188">
        <v>39925</v>
      </c>
      <c r="G127" s="188">
        <v>39927</v>
      </c>
    </row>
    <row r="128" spans="2:7" x14ac:dyDescent="0.2">
      <c r="B128" s="186">
        <v>124</v>
      </c>
      <c r="C128" s="187" t="s">
        <v>31</v>
      </c>
      <c r="D128" s="187" t="s">
        <v>34</v>
      </c>
      <c r="E128" s="188">
        <v>39919</v>
      </c>
      <c r="F128" s="188">
        <v>39962</v>
      </c>
      <c r="G128" s="188">
        <v>39963</v>
      </c>
    </row>
    <row r="129" spans="2:7" x14ac:dyDescent="0.2">
      <c r="B129" s="186">
        <v>125</v>
      </c>
      <c r="C129" s="187" t="s">
        <v>30</v>
      </c>
      <c r="D129" s="187" t="s">
        <v>34</v>
      </c>
      <c r="E129" s="188">
        <v>39919</v>
      </c>
      <c r="F129" s="188">
        <v>39942</v>
      </c>
      <c r="G129" s="188">
        <v>39947</v>
      </c>
    </row>
    <row r="130" spans="2:7" x14ac:dyDescent="0.2">
      <c r="B130" s="186">
        <v>126</v>
      </c>
      <c r="C130" s="187" t="s">
        <v>1</v>
      </c>
      <c r="D130" s="187" t="s">
        <v>34</v>
      </c>
      <c r="E130" s="188">
        <v>39919</v>
      </c>
      <c r="F130" s="188">
        <v>39942</v>
      </c>
      <c r="G130" s="188">
        <v>39946</v>
      </c>
    </row>
    <row r="131" spans="2:7" x14ac:dyDescent="0.2">
      <c r="B131" s="186">
        <v>127</v>
      </c>
      <c r="C131" s="187" t="s">
        <v>31</v>
      </c>
      <c r="D131" s="187" t="s">
        <v>34</v>
      </c>
      <c r="E131" s="188">
        <v>39920</v>
      </c>
      <c r="F131" s="188">
        <v>39934</v>
      </c>
      <c r="G131" s="188">
        <v>40075</v>
      </c>
    </row>
    <row r="132" spans="2:7" x14ac:dyDescent="0.2">
      <c r="B132" s="186">
        <v>128</v>
      </c>
      <c r="C132" s="187" t="s">
        <v>31</v>
      </c>
      <c r="D132" s="187" t="s">
        <v>34</v>
      </c>
      <c r="E132" s="188">
        <v>39920</v>
      </c>
      <c r="F132" s="188">
        <v>39934</v>
      </c>
      <c r="G132" s="188">
        <v>39940</v>
      </c>
    </row>
    <row r="133" spans="2:7" x14ac:dyDescent="0.2">
      <c r="B133" s="186">
        <v>129</v>
      </c>
      <c r="C133" s="187" t="s">
        <v>1</v>
      </c>
      <c r="D133" s="187" t="s">
        <v>34</v>
      </c>
      <c r="E133" s="188">
        <v>39920</v>
      </c>
      <c r="F133" s="188">
        <v>40016</v>
      </c>
      <c r="G133" s="188">
        <v>40075</v>
      </c>
    </row>
    <row r="134" spans="2:7" x14ac:dyDescent="0.2">
      <c r="B134" s="186">
        <v>130</v>
      </c>
      <c r="C134" s="187" t="s">
        <v>31</v>
      </c>
      <c r="D134" s="187" t="s">
        <v>34</v>
      </c>
      <c r="E134" s="188">
        <v>39920</v>
      </c>
      <c r="F134" s="188">
        <v>39942</v>
      </c>
      <c r="G134" s="188">
        <v>39942</v>
      </c>
    </row>
    <row r="135" spans="2:7" x14ac:dyDescent="0.2">
      <c r="B135" s="186">
        <v>131</v>
      </c>
      <c r="C135" s="187" t="s">
        <v>1</v>
      </c>
      <c r="D135" s="187" t="s">
        <v>34</v>
      </c>
      <c r="E135" s="188">
        <v>39920</v>
      </c>
      <c r="F135" s="188">
        <v>39938</v>
      </c>
      <c r="G135" s="188">
        <v>39939</v>
      </c>
    </row>
    <row r="136" spans="2:7" x14ac:dyDescent="0.2">
      <c r="B136" s="186">
        <v>132</v>
      </c>
      <c r="C136" s="187" t="s">
        <v>31</v>
      </c>
      <c r="D136" s="187" t="s">
        <v>34</v>
      </c>
      <c r="E136" s="188">
        <v>39920</v>
      </c>
      <c r="F136" s="188">
        <v>39934</v>
      </c>
      <c r="G136" s="188">
        <v>39939</v>
      </c>
    </row>
    <row r="137" spans="2:7" x14ac:dyDescent="0.2">
      <c r="B137" s="186">
        <v>133</v>
      </c>
      <c r="C137" s="187" t="s">
        <v>30</v>
      </c>
      <c r="D137" s="187" t="s">
        <v>34</v>
      </c>
      <c r="E137" s="188">
        <v>39921</v>
      </c>
      <c r="F137" s="188">
        <v>39955</v>
      </c>
      <c r="G137" s="188">
        <v>39962</v>
      </c>
    </row>
    <row r="138" spans="2:7" x14ac:dyDescent="0.2">
      <c r="B138" s="186">
        <v>134</v>
      </c>
      <c r="C138" s="187" t="s">
        <v>31</v>
      </c>
      <c r="D138" s="187" t="s">
        <v>34</v>
      </c>
      <c r="E138" s="188">
        <v>39925</v>
      </c>
      <c r="F138" s="188">
        <v>39956</v>
      </c>
      <c r="G138" s="188">
        <v>39966</v>
      </c>
    </row>
    <row r="139" spans="2:7" x14ac:dyDescent="0.2">
      <c r="B139" s="186">
        <v>135</v>
      </c>
      <c r="C139" s="187" t="s">
        <v>31</v>
      </c>
      <c r="D139" s="187" t="s">
        <v>34</v>
      </c>
      <c r="E139" s="188">
        <v>39925</v>
      </c>
      <c r="F139" s="188">
        <v>39956</v>
      </c>
      <c r="G139" s="188">
        <v>39967</v>
      </c>
    </row>
    <row r="140" spans="2:7" x14ac:dyDescent="0.2">
      <c r="B140" s="186">
        <v>136</v>
      </c>
      <c r="C140" s="187" t="s">
        <v>31</v>
      </c>
      <c r="D140" s="187" t="s">
        <v>34</v>
      </c>
      <c r="E140" s="188">
        <v>39925</v>
      </c>
      <c r="F140" s="188">
        <v>39944</v>
      </c>
      <c r="G140" s="188">
        <v>39946</v>
      </c>
    </row>
    <row r="141" spans="2:7" x14ac:dyDescent="0.2">
      <c r="B141" s="186">
        <v>137</v>
      </c>
      <c r="C141" s="187" t="s">
        <v>31</v>
      </c>
      <c r="D141" s="187" t="s">
        <v>34</v>
      </c>
      <c r="E141" s="188">
        <v>39926</v>
      </c>
      <c r="F141" s="188">
        <v>39956</v>
      </c>
      <c r="G141" s="188">
        <v>39956</v>
      </c>
    </row>
    <row r="142" spans="2:7" x14ac:dyDescent="0.2">
      <c r="B142" s="186">
        <v>138</v>
      </c>
      <c r="C142" s="187" t="s">
        <v>31</v>
      </c>
      <c r="D142" s="187" t="s">
        <v>34</v>
      </c>
      <c r="E142" s="188">
        <v>39926</v>
      </c>
      <c r="F142" s="188">
        <v>40009</v>
      </c>
      <c r="G142" s="188">
        <v>40016</v>
      </c>
    </row>
    <row r="143" spans="2:7" x14ac:dyDescent="0.2">
      <c r="B143" s="186">
        <v>139</v>
      </c>
      <c r="C143" s="187" t="s">
        <v>31</v>
      </c>
      <c r="D143" s="187" t="s">
        <v>34</v>
      </c>
      <c r="E143" s="188">
        <v>39926</v>
      </c>
      <c r="F143" s="188">
        <v>39955</v>
      </c>
      <c r="G143" s="188">
        <v>39964</v>
      </c>
    </row>
    <row r="144" spans="2:7" x14ac:dyDescent="0.2">
      <c r="B144" s="186">
        <v>140</v>
      </c>
      <c r="C144" s="187" t="s">
        <v>32</v>
      </c>
      <c r="D144" s="187" t="s">
        <v>34</v>
      </c>
      <c r="E144" s="188">
        <v>39927</v>
      </c>
      <c r="F144" s="188">
        <v>40016</v>
      </c>
      <c r="G144" s="188">
        <v>40024</v>
      </c>
    </row>
    <row r="145" spans="2:7" x14ac:dyDescent="0.2">
      <c r="B145" s="186">
        <v>141</v>
      </c>
      <c r="C145" s="187" t="s">
        <v>1</v>
      </c>
      <c r="D145" s="187" t="s">
        <v>34</v>
      </c>
      <c r="E145" s="188">
        <v>39928</v>
      </c>
      <c r="F145" s="188">
        <v>39934</v>
      </c>
      <c r="G145" s="188">
        <v>39934</v>
      </c>
    </row>
    <row r="146" spans="2:7" x14ac:dyDescent="0.2">
      <c r="B146" s="186">
        <v>142</v>
      </c>
      <c r="C146" s="187" t="s">
        <v>1</v>
      </c>
      <c r="D146" s="187" t="s">
        <v>34</v>
      </c>
      <c r="E146" s="188">
        <v>39932</v>
      </c>
      <c r="F146" s="188">
        <v>39932</v>
      </c>
      <c r="G146" s="188">
        <v>39932</v>
      </c>
    </row>
    <row r="147" spans="2:7" x14ac:dyDescent="0.2">
      <c r="B147" s="186">
        <v>143</v>
      </c>
      <c r="C147" s="187" t="s">
        <v>1</v>
      </c>
      <c r="D147" s="187" t="s">
        <v>34</v>
      </c>
      <c r="E147" s="188">
        <v>39933</v>
      </c>
      <c r="F147" s="188">
        <v>40004</v>
      </c>
      <c r="G147" s="188">
        <v>40004</v>
      </c>
    </row>
    <row r="148" spans="2:7" x14ac:dyDescent="0.2">
      <c r="B148" s="186">
        <v>144</v>
      </c>
      <c r="C148" s="187" t="s">
        <v>1</v>
      </c>
      <c r="D148" s="187" t="s">
        <v>34</v>
      </c>
      <c r="E148" s="188">
        <v>39933</v>
      </c>
      <c r="F148" s="188">
        <v>39997</v>
      </c>
      <c r="G148" s="188">
        <v>40013</v>
      </c>
    </row>
    <row r="149" spans="2:7" x14ac:dyDescent="0.2">
      <c r="B149" s="186">
        <v>145</v>
      </c>
      <c r="C149" s="187" t="s">
        <v>1</v>
      </c>
      <c r="D149" s="187" t="s">
        <v>34</v>
      </c>
      <c r="E149" s="188">
        <v>39933</v>
      </c>
      <c r="F149" s="188">
        <v>39956</v>
      </c>
      <c r="G149" s="188">
        <v>39956</v>
      </c>
    </row>
    <row r="150" spans="2:7" x14ac:dyDescent="0.2">
      <c r="B150" s="186">
        <v>146</v>
      </c>
      <c r="C150" s="187" t="s">
        <v>1</v>
      </c>
      <c r="D150" s="187" t="s">
        <v>34</v>
      </c>
      <c r="E150" s="188">
        <v>39933</v>
      </c>
      <c r="F150" s="188">
        <v>39945</v>
      </c>
      <c r="G150" s="188">
        <v>39967</v>
      </c>
    </row>
    <row r="151" spans="2:7" x14ac:dyDescent="0.2">
      <c r="B151" s="186">
        <v>147</v>
      </c>
      <c r="C151" s="187" t="s">
        <v>31</v>
      </c>
      <c r="D151" s="187" t="s">
        <v>34</v>
      </c>
      <c r="E151" s="188">
        <v>39933</v>
      </c>
      <c r="F151" s="188">
        <v>39955</v>
      </c>
      <c r="G151" s="188">
        <v>39961</v>
      </c>
    </row>
    <row r="152" spans="2:7" x14ac:dyDescent="0.2">
      <c r="B152" s="186">
        <v>148</v>
      </c>
      <c r="C152" s="187" t="s">
        <v>31</v>
      </c>
      <c r="D152" s="187" t="s">
        <v>2</v>
      </c>
      <c r="E152" s="188">
        <v>39934</v>
      </c>
      <c r="F152" s="188">
        <v>39955</v>
      </c>
      <c r="G152" s="188">
        <v>39963</v>
      </c>
    </row>
    <row r="153" spans="2:7" x14ac:dyDescent="0.2">
      <c r="B153" s="186">
        <v>149</v>
      </c>
      <c r="C153" s="187" t="s">
        <v>31</v>
      </c>
      <c r="D153" s="187" t="s">
        <v>34</v>
      </c>
      <c r="E153" s="188">
        <v>39934</v>
      </c>
      <c r="F153" s="188">
        <v>39962</v>
      </c>
      <c r="G153" s="188">
        <v>39973</v>
      </c>
    </row>
    <row r="154" spans="2:7" x14ac:dyDescent="0.2">
      <c r="B154" s="186">
        <v>150</v>
      </c>
      <c r="C154" s="187" t="s">
        <v>1</v>
      </c>
      <c r="D154" s="187" t="s">
        <v>34</v>
      </c>
      <c r="E154" s="188">
        <v>39934</v>
      </c>
      <c r="F154" s="188">
        <v>39945</v>
      </c>
      <c r="G154" s="188">
        <v>39970</v>
      </c>
    </row>
    <row r="155" spans="2:7" x14ac:dyDescent="0.2">
      <c r="B155" s="186">
        <v>151</v>
      </c>
      <c r="C155" s="187" t="s">
        <v>31</v>
      </c>
      <c r="D155" s="187" t="s">
        <v>34</v>
      </c>
      <c r="E155" s="188">
        <v>39934</v>
      </c>
      <c r="F155" s="188">
        <v>39955</v>
      </c>
      <c r="G155" s="188">
        <v>39956</v>
      </c>
    </row>
    <row r="156" spans="2:7" x14ac:dyDescent="0.2">
      <c r="B156" s="186">
        <v>152</v>
      </c>
      <c r="C156" s="187" t="s">
        <v>31</v>
      </c>
      <c r="D156" s="187" t="s">
        <v>34</v>
      </c>
      <c r="E156" s="188">
        <v>39935</v>
      </c>
      <c r="F156" s="188">
        <v>39962</v>
      </c>
      <c r="G156" s="188">
        <v>39963</v>
      </c>
    </row>
    <row r="157" spans="2:7" x14ac:dyDescent="0.2">
      <c r="B157" s="186">
        <v>153</v>
      </c>
      <c r="C157" s="187" t="s">
        <v>31</v>
      </c>
      <c r="D157" s="187" t="s">
        <v>34</v>
      </c>
      <c r="E157" s="188">
        <v>39935</v>
      </c>
      <c r="F157" s="188">
        <v>39954</v>
      </c>
      <c r="G157" s="188">
        <v>39956</v>
      </c>
    </row>
    <row r="158" spans="2:7" x14ac:dyDescent="0.2">
      <c r="B158" s="186">
        <v>154</v>
      </c>
      <c r="C158" s="187" t="s">
        <v>30</v>
      </c>
      <c r="D158" s="187" t="s">
        <v>34</v>
      </c>
      <c r="E158" s="188">
        <v>39935</v>
      </c>
      <c r="F158" s="188">
        <v>39939</v>
      </c>
      <c r="G158" s="188">
        <v>39939</v>
      </c>
    </row>
    <row r="159" spans="2:7" x14ac:dyDescent="0.2">
      <c r="B159" s="186">
        <v>155</v>
      </c>
      <c r="C159" s="187" t="s">
        <v>1</v>
      </c>
      <c r="D159" s="187" t="s">
        <v>34</v>
      </c>
      <c r="E159" s="188">
        <v>39935</v>
      </c>
      <c r="F159" s="188">
        <v>39962</v>
      </c>
      <c r="G159" s="188">
        <v>39974</v>
      </c>
    </row>
    <row r="160" spans="2:7" x14ac:dyDescent="0.2">
      <c r="B160" s="186">
        <v>156</v>
      </c>
      <c r="C160" s="187" t="s">
        <v>1</v>
      </c>
      <c r="D160" s="187" t="s">
        <v>34</v>
      </c>
      <c r="E160" s="188">
        <v>39936</v>
      </c>
      <c r="F160" s="188">
        <v>39945</v>
      </c>
      <c r="G160" s="188">
        <v>39956</v>
      </c>
    </row>
    <row r="161" spans="2:7" x14ac:dyDescent="0.2">
      <c r="B161" s="186">
        <v>157</v>
      </c>
      <c r="C161" s="187" t="s">
        <v>1</v>
      </c>
      <c r="D161" s="187" t="s">
        <v>34</v>
      </c>
      <c r="E161" s="188">
        <v>39936</v>
      </c>
      <c r="F161" s="188">
        <v>39942</v>
      </c>
      <c r="G161" s="188">
        <v>39954</v>
      </c>
    </row>
    <row r="162" spans="2:7" x14ac:dyDescent="0.2">
      <c r="B162" s="186">
        <v>158</v>
      </c>
      <c r="C162" s="187" t="s">
        <v>31</v>
      </c>
      <c r="D162" s="187" t="s">
        <v>34</v>
      </c>
      <c r="E162" s="188">
        <v>39936</v>
      </c>
      <c r="F162" s="188">
        <v>39962</v>
      </c>
      <c r="G162" s="188">
        <v>39995</v>
      </c>
    </row>
    <row r="163" spans="2:7" x14ac:dyDescent="0.2">
      <c r="B163" s="186">
        <v>159</v>
      </c>
      <c r="C163" s="187" t="s">
        <v>31</v>
      </c>
      <c r="D163" s="187" t="s">
        <v>34</v>
      </c>
      <c r="E163" s="188">
        <v>39939</v>
      </c>
      <c r="F163" s="188">
        <v>39955</v>
      </c>
      <c r="G163" s="188">
        <v>39962</v>
      </c>
    </row>
    <row r="164" spans="2:7" x14ac:dyDescent="0.2">
      <c r="B164" s="186">
        <v>160</v>
      </c>
      <c r="C164" s="187" t="s">
        <v>31</v>
      </c>
      <c r="D164" s="187" t="s">
        <v>34</v>
      </c>
      <c r="E164" s="188">
        <v>39939</v>
      </c>
      <c r="F164" s="188">
        <v>39955</v>
      </c>
      <c r="G164" s="188">
        <v>39956</v>
      </c>
    </row>
    <row r="165" spans="2:7" x14ac:dyDescent="0.2">
      <c r="B165" s="186">
        <v>161</v>
      </c>
      <c r="C165" s="187" t="s">
        <v>31</v>
      </c>
      <c r="D165" s="187" t="s">
        <v>34</v>
      </c>
      <c r="E165" s="188">
        <v>39939</v>
      </c>
      <c r="F165" s="188">
        <v>39956</v>
      </c>
      <c r="G165" s="188">
        <v>39956</v>
      </c>
    </row>
    <row r="166" spans="2:7" x14ac:dyDescent="0.2">
      <c r="B166" s="186">
        <v>162</v>
      </c>
      <c r="C166" s="187" t="s">
        <v>1</v>
      </c>
      <c r="D166" s="187" t="s">
        <v>34</v>
      </c>
      <c r="E166" s="188">
        <v>39939</v>
      </c>
      <c r="F166" s="188">
        <v>40004</v>
      </c>
      <c r="G166" s="188">
        <v>40013</v>
      </c>
    </row>
    <row r="167" spans="2:7" x14ac:dyDescent="0.2">
      <c r="B167" s="186">
        <v>163</v>
      </c>
      <c r="C167" s="187" t="s">
        <v>30</v>
      </c>
      <c r="D167" s="187" t="s">
        <v>34</v>
      </c>
      <c r="E167" s="188">
        <v>39939</v>
      </c>
      <c r="F167" s="188">
        <v>39942</v>
      </c>
      <c r="G167" s="188">
        <v>39942</v>
      </c>
    </row>
    <row r="168" spans="2:7" x14ac:dyDescent="0.2">
      <c r="B168" s="186">
        <v>164</v>
      </c>
      <c r="C168" s="187" t="s">
        <v>31</v>
      </c>
      <c r="D168" s="187" t="s">
        <v>34</v>
      </c>
      <c r="E168" s="188">
        <v>39940</v>
      </c>
      <c r="F168" s="188">
        <v>39968</v>
      </c>
      <c r="G168" s="188">
        <v>39974</v>
      </c>
    </row>
    <row r="169" spans="2:7" x14ac:dyDescent="0.2">
      <c r="B169" s="186">
        <v>165</v>
      </c>
      <c r="C169" s="187" t="s">
        <v>1</v>
      </c>
      <c r="D169" s="187" t="s">
        <v>34</v>
      </c>
      <c r="E169" s="188">
        <v>39940</v>
      </c>
      <c r="F169" s="188">
        <v>39955</v>
      </c>
      <c r="G169" s="188">
        <v>39966</v>
      </c>
    </row>
    <row r="170" spans="2:7" x14ac:dyDescent="0.2">
      <c r="B170" s="186">
        <v>166</v>
      </c>
      <c r="C170" s="187" t="s">
        <v>31</v>
      </c>
      <c r="D170" s="187" t="s">
        <v>34</v>
      </c>
      <c r="E170" s="188">
        <v>39941</v>
      </c>
      <c r="F170" s="188">
        <v>39955</v>
      </c>
      <c r="G170" s="188">
        <v>39962</v>
      </c>
    </row>
    <row r="171" spans="2:7" x14ac:dyDescent="0.2">
      <c r="B171" s="186">
        <v>167</v>
      </c>
      <c r="C171" s="187" t="s">
        <v>1</v>
      </c>
      <c r="D171" s="187" t="s">
        <v>34</v>
      </c>
      <c r="E171" s="188">
        <v>39941</v>
      </c>
      <c r="F171" s="188">
        <v>40018</v>
      </c>
      <c r="G171" s="188">
        <v>40019</v>
      </c>
    </row>
    <row r="172" spans="2:7" x14ac:dyDescent="0.2">
      <c r="B172" s="186">
        <v>168</v>
      </c>
      <c r="C172" s="187" t="s">
        <v>31</v>
      </c>
      <c r="D172" s="187" t="s">
        <v>34</v>
      </c>
      <c r="E172" s="188">
        <v>39941</v>
      </c>
      <c r="F172" s="188">
        <v>40009</v>
      </c>
      <c r="G172" s="188">
        <v>40016</v>
      </c>
    </row>
    <row r="173" spans="2:7" x14ac:dyDescent="0.2">
      <c r="B173" s="186">
        <v>169</v>
      </c>
      <c r="C173" s="187" t="s">
        <v>30</v>
      </c>
      <c r="D173" s="187" t="s">
        <v>34</v>
      </c>
      <c r="E173" s="188">
        <v>39942</v>
      </c>
      <c r="F173" s="188">
        <v>39948</v>
      </c>
      <c r="G173" s="188">
        <v>39955</v>
      </c>
    </row>
    <row r="174" spans="2:7" x14ac:dyDescent="0.2">
      <c r="B174" s="186">
        <v>170</v>
      </c>
      <c r="C174" s="187" t="s">
        <v>30</v>
      </c>
      <c r="D174" s="187" t="s">
        <v>34</v>
      </c>
      <c r="E174" s="188">
        <v>39942</v>
      </c>
      <c r="F174" s="188">
        <v>40025</v>
      </c>
      <c r="G174" s="188">
        <v>40037</v>
      </c>
    </row>
    <row r="175" spans="2:7" x14ac:dyDescent="0.2">
      <c r="B175" s="186">
        <v>171</v>
      </c>
      <c r="C175" s="187" t="s">
        <v>32</v>
      </c>
      <c r="D175" s="187" t="s">
        <v>34</v>
      </c>
      <c r="E175" s="188">
        <v>39945</v>
      </c>
      <c r="F175" s="188">
        <v>39962</v>
      </c>
      <c r="G175" s="188">
        <v>39967</v>
      </c>
    </row>
    <row r="176" spans="2:7" x14ac:dyDescent="0.2">
      <c r="B176" s="186">
        <v>172</v>
      </c>
      <c r="C176" s="187" t="s">
        <v>31</v>
      </c>
      <c r="D176" s="187" t="s">
        <v>34</v>
      </c>
      <c r="E176" s="188">
        <v>39946</v>
      </c>
      <c r="F176" s="188">
        <v>39952</v>
      </c>
      <c r="G176" s="188">
        <v>39954</v>
      </c>
    </row>
    <row r="177" spans="2:7" x14ac:dyDescent="0.2">
      <c r="B177" s="186">
        <v>173</v>
      </c>
      <c r="C177" s="187" t="s">
        <v>1</v>
      </c>
      <c r="D177" s="187" t="s">
        <v>34</v>
      </c>
      <c r="E177" s="188">
        <v>39947</v>
      </c>
      <c r="F177" s="188">
        <v>40009</v>
      </c>
      <c r="G177" s="188">
        <v>40087</v>
      </c>
    </row>
    <row r="178" spans="2:7" x14ac:dyDescent="0.2">
      <c r="B178" s="186">
        <v>174</v>
      </c>
      <c r="C178" s="187" t="s">
        <v>32</v>
      </c>
      <c r="D178" s="187" t="s">
        <v>34</v>
      </c>
      <c r="E178" s="188">
        <v>39948</v>
      </c>
      <c r="F178" s="188">
        <v>39974</v>
      </c>
      <c r="G178" s="188">
        <v>39975</v>
      </c>
    </row>
    <row r="179" spans="2:7" x14ac:dyDescent="0.2">
      <c r="B179" s="186">
        <v>175</v>
      </c>
      <c r="C179" s="187" t="s">
        <v>1</v>
      </c>
      <c r="D179" s="187" t="s">
        <v>34</v>
      </c>
      <c r="E179" s="188">
        <v>39949</v>
      </c>
      <c r="F179" s="188">
        <v>39993</v>
      </c>
      <c r="G179" s="188">
        <v>40002</v>
      </c>
    </row>
    <row r="180" spans="2:7" x14ac:dyDescent="0.2">
      <c r="B180" s="186">
        <v>176</v>
      </c>
      <c r="C180" s="187" t="s">
        <v>31</v>
      </c>
      <c r="D180" s="187" t="s">
        <v>34</v>
      </c>
      <c r="E180" s="188">
        <v>39952</v>
      </c>
      <c r="F180" s="188">
        <v>39961</v>
      </c>
      <c r="G180" s="188">
        <v>40024</v>
      </c>
    </row>
    <row r="181" spans="2:7" x14ac:dyDescent="0.2">
      <c r="B181" s="186">
        <v>177</v>
      </c>
      <c r="C181" s="187" t="s">
        <v>31</v>
      </c>
      <c r="D181" s="187" t="s">
        <v>34</v>
      </c>
      <c r="E181" s="188">
        <v>39952</v>
      </c>
      <c r="F181" s="188">
        <v>39955</v>
      </c>
      <c r="G181" s="188">
        <v>40005</v>
      </c>
    </row>
    <row r="182" spans="2:7" x14ac:dyDescent="0.2">
      <c r="B182" s="186">
        <v>178</v>
      </c>
      <c r="C182" s="187" t="s">
        <v>30</v>
      </c>
      <c r="D182" s="187" t="s">
        <v>34</v>
      </c>
      <c r="E182" s="188">
        <v>39954</v>
      </c>
      <c r="F182" s="188">
        <v>40009</v>
      </c>
      <c r="G182" s="188">
        <v>40019</v>
      </c>
    </row>
    <row r="183" spans="2:7" x14ac:dyDescent="0.2">
      <c r="B183" s="186">
        <v>179</v>
      </c>
      <c r="C183" s="187" t="s">
        <v>1</v>
      </c>
      <c r="D183" s="187" t="s">
        <v>34</v>
      </c>
      <c r="E183" s="188">
        <v>39955</v>
      </c>
      <c r="F183" s="188">
        <v>39968</v>
      </c>
      <c r="G183" s="188">
        <v>39968</v>
      </c>
    </row>
    <row r="184" spans="2:7" x14ac:dyDescent="0.2">
      <c r="B184" s="186">
        <v>180</v>
      </c>
      <c r="C184" s="187" t="s">
        <v>1</v>
      </c>
      <c r="D184" s="187" t="s">
        <v>34</v>
      </c>
      <c r="E184" s="188">
        <v>39955</v>
      </c>
      <c r="F184" s="188">
        <v>40009</v>
      </c>
      <c r="G184" s="188">
        <v>40043</v>
      </c>
    </row>
    <row r="185" spans="2:7" x14ac:dyDescent="0.2">
      <c r="B185" s="186">
        <v>181</v>
      </c>
      <c r="C185" s="187" t="s">
        <v>30</v>
      </c>
      <c r="D185" s="187" t="s">
        <v>34</v>
      </c>
      <c r="E185" s="188">
        <v>39956</v>
      </c>
      <c r="F185" s="188">
        <v>39962</v>
      </c>
      <c r="G185" s="188">
        <v>39966</v>
      </c>
    </row>
    <row r="186" spans="2:7" x14ac:dyDescent="0.2">
      <c r="B186" s="186">
        <v>182</v>
      </c>
      <c r="C186" s="187" t="s">
        <v>30</v>
      </c>
      <c r="D186" s="187" t="s">
        <v>34</v>
      </c>
      <c r="E186" s="188">
        <v>39956</v>
      </c>
      <c r="F186" s="188">
        <v>39962</v>
      </c>
      <c r="G186" s="188">
        <v>39963</v>
      </c>
    </row>
    <row r="187" spans="2:7" x14ac:dyDescent="0.2">
      <c r="B187" s="186">
        <v>183</v>
      </c>
      <c r="C187" s="187" t="s">
        <v>1</v>
      </c>
      <c r="D187" s="187" t="s">
        <v>34</v>
      </c>
      <c r="E187" s="188">
        <v>39956</v>
      </c>
      <c r="F187" s="188">
        <v>39963</v>
      </c>
      <c r="G187" s="188">
        <v>39963</v>
      </c>
    </row>
    <row r="188" spans="2:7" x14ac:dyDescent="0.2">
      <c r="B188" s="186">
        <v>184</v>
      </c>
      <c r="C188" s="187" t="s">
        <v>1</v>
      </c>
      <c r="D188" s="187" t="s">
        <v>34</v>
      </c>
      <c r="E188" s="188">
        <v>39957</v>
      </c>
      <c r="F188" s="188">
        <v>40057</v>
      </c>
      <c r="G188" s="188">
        <v>40086</v>
      </c>
    </row>
    <row r="189" spans="2:7" x14ac:dyDescent="0.2">
      <c r="B189" s="186">
        <v>185</v>
      </c>
      <c r="C189" s="187" t="s">
        <v>30</v>
      </c>
      <c r="D189" s="187" t="s">
        <v>34</v>
      </c>
      <c r="E189" s="188">
        <v>39957</v>
      </c>
      <c r="F189" s="188">
        <v>39963</v>
      </c>
      <c r="G189" s="188">
        <v>39967</v>
      </c>
    </row>
    <row r="190" spans="2:7" x14ac:dyDescent="0.2">
      <c r="B190" s="186">
        <v>186</v>
      </c>
      <c r="C190" s="187" t="s">
        <v>30</v>
      </c>
      <c r="D190" s="187" t="s">
        <v>34</v>
      </c>
      <c r="E190" s="188">
        <v>39959</v>
      </c>
      <c r="F190" s="188">
        <v>39960</v>
      </c>
      <c r="G190" s="188">
        <v>39961</v>
      </c>
    </row>
    <row r="191" spans="2:7" x14ac:dyDescent="0.2">
      <c r="B191" s="186">
        <v>187</v>
      </c>
      <c r="C191" s="187" t="s">
        <v>31</v>
      </c>
      <c r="D191" s="187" t="s">
        <v>34</v>
      </c>
      <c r="E191" s="188">
        <v>39959</v>
      </c>
      <c r="F191" s="188">
        <v>40009</v>
      </c>
      <c r="G191" s="188">
        <v>40016</v>
      </c>
    </row>
    <row r="192" spans="2:7" x14ac:dyDescent="0.2">
      <c r="B192" s="186">
        <v>188</v>
      </c>
      <c r="C192" s="187" t="s">
        <v>31</v>
      </c>
      <c r="D192" s="187" t="s">
        <v>34</v>
      </c>
      <c r="E192" s="188">
        <v>39960</v>
      </c>
      <c r="F192" s="188">
        <v>39968</v>
      </c>
      <c r="G192" s="188">
        <v>39973</v>
      </c>
    </row>
    <row r="193" spans="2:7" x14ac:dyDescent="0.2">
      <c r="B193" s="186">
        <v>189</v>
      </c>
      <c r="C193" s="187" t="s">
        <v>31</v>
      </c>
      <c r="D193" s="187" t="s">
        <v>34</v>
      </c>
      <c r="E193" s="188">
        <v>39960</v>
      </c>
      <c r="F193" s="188">
        <v>40009</v>
      </c>
      <c r="G193" s="188">
        <v>40016</v>
      </c>
    </row>
    <row r="194" spans="2:7" x14ac:dyDescent="0.2">
      <c r="B194" s="186">
        <v>190</v>
      </c>
      <c r="C194" s="187" t="s">
        <v>1</v>
      </c>
      <c r="D194" s="187" t="s">
        <v>34</v>
      </c>
      <c r="E194" s="188">
        <v>39960</v>
      </c>
      <c r="F194" s="188">
        <v>39971</v>
      </c>
      <c r="G194" s="188">
        <v>40002</v>
      </c>
    </row>
    <row r="195" spans="2:7" x14ac:dyDescent="0.2">
      <c r="B195" s="186">
        <v>191</v>
      </c>
      <c r="C195" s="187" t="s">
        <v>30</v>
      </c>
      <c r="D195" s="187" t="s">
        <v>34</v>
      </c>
      <c r="E195" s="188">
        <v>39961</v>
      </c>
      <c r="F195" s="188">
        <v>40009</v>
      </c>
      <c r="G195" s="188">
        <v>40017</v>
      </c>
    </row>
    <row r="196" spans="2:7" x14ac:dyDescent="0.2">
      <c r="B196" s="186">
        <v>192</v>
      </c>
      <c r="C196" s="187" t="s">
        <v>31</v>
      </c>
      <c r="D196" s="187" t="s">
        <v>34</v>
      </c>
      <c r="E196" s="188">
        <v>39961</v>
      </c>
      <c r="F196" s="188">
        <v>39963</v>
      </c>
      <c r="G196" s="188">
        <v>39967</v>
      </c>
    </row>
    <row r="197" spans="2:7" x14ac:dyDescent="0.2">
      <c r="B197" s="186">
        <v>193</v>
      </c>
      <c r="C197" s="187" t="s">
        <v>31</v>
      </c>
      <c r="D197" s="187" t="s">
        <v>34</v>
      </c>
      <c r="E197" s="188">
        <v>39961</v>
      </c>
      <c r="F197" s="188">
        <v>39968</v>
      </c>
      <c r="G197" s="188">
        <v>39974</v>
      </c>
    </row>
    <row r="198" spans="2:7" x14ac:dyDescent="0.2">
      <c r="B198" s="186">
        <v>194</v>
      </c>
      <c r="C198" s="187" t="s">
        <v>31</v>
      </c>
      <c r="D198" s="187" t="s">
        <v>34</v>
      </c>
      <c r="E198" s="188">
        <v>39961</v>
      </c>
      <c r="F198" s="188">
        <v>39974</v>
      </c>
      <c r="G198" s="188">
        <v>39974</v>
      </c>
    </row>
    <row r="199" spans="2:7" x14ac:dyDescent="0.2">
      <c r="B199" s="186">
        <v>195</v>
      </c>
      <c r="C199" s="187" t="s">
        <v>1</v>
      </c>
      <c r="D199" s="187" t="s">
        <v>34</v>
      </c>
      <c r="E199" s="188">
        <v>39962</v>
      </c>
      <c r="F199" s="188">
        <v>40107</v>
      </c>
      <c r="G199" s="188">
        <v>40107</v>
      </c>
    </row>
    <row r="200" spans="2:7" x14ac:dyDescent="0.2">
      <c r="B200" s="186">
        <v>196</v>
      </c>
      <c r="C200" s="187" t="s">
        <v>31</v>
      </c>
      <c r="D200" s="187" t="s">
        <v>34</v>
      </c>
      <c r="E200" s="188">
        <v>39962</v>
      </c>
      <c r="F200" s="188">
        <v>39969</v>
      </c>
      <c r="G200" s="188">
        <v>39970</v>
      </c>
    </row>
    <row r="201" spans="2:7" x14ac:dyDescent="0.2">
      <c r="B201" s="186">
        <v>197</v>
      </c>
      <c r="C201" s="187" t="s">
        <v>31</v>
      </c>
      <c r="D201" s="187" t="s">
        <v>34</v>
      </c>
      <c r="E201" s="188">
        <v>39963</v>
      </c>
      <c r="F201" s="188">
        <v>40016</v>
      </c>
      <c r="G201" s="188">
        <v>40024</v>
      </c>
    </row>
    <row r="202" spans="2:7" x14ac:dyDescent="0.2">
      <c r="B202" s="186">
        <v>198</v>
      </c>
      <c r="C202" s="187" t="s">
        <v>1</v>
      </c>
      <c r="D202" s="187" t="s">
        <v>34</v>
      </c>
      <c r="E202" s="188">
        <v>39963</v>
      </c>
      <c r="F202" s="188">
        <v>39964</v>
      </c>
      <c r="G202" s="188">
        <v>39970</v>
      </c>
    </row>
    <row r="203" spans="2:7" x14ac:dyDescent="0.2">
      <c r="B203" s="186">
        <v>199</v>
      </c>
      <c r="C203" s="187" t="s">
        <v>30</v>
      </c>
      <c r="D203" s="187" t="s">
        <v>34</v>
      </c>
      <c r="E203" s="188">
        <v>39964</v>
      </c>
      <c r="F203" s="188">
        <v>39974</v>
      </c>
      <c r="G203" s="188">
        <v>40002</v>
      </c>
    </row>
    <row r="204" spans="2:7" x14ac:dyDescent="0.2">
      <c r="B204" s="186">
        <v>200</v>
      </c>
      <c r="C204" s="187" t="s">
        <v>31</v>
      </c>
      <c r="D204" s="187" t="s">
        <v>34</v>
      </c>
      <c r="E204" s="188">
        <v>39966</v>
      </c>
      <c r="F204" s="188">
        <v>39974</v>
      </c>
      <c r="G204" s="188">
        <v>39977</v>
      </c>
    </row>
    <row r="205" spans="2:7" x14ac:dyDescent="0.2">
      <c r="B205" s="186">
        <v>201</v>
      </c>
      <c r="C205" s="187" t="s">
        <v>31</v>
      </c>
      <c r="D205" s="187" t="s">
        <v>34</v>
      </c>
      <c r="E205" s="188">
        <v>39966</v>
      </c>
      <c r="F205" s="188">
        <v>39971</v>
      </c>
      <c r="G205" s="188">
        <v>39973</v>
      </c>
    </row>
    <row r="206" spans="2:7" x14ac:dyDescent="0.2">
      <c r="B206" s="186">
        <v>202</v>
      </c>
      <c r="C206" s="187" t="s">
        <v>31</v>
      </c>
      <c r="D206" s="187" t="s">
        <v>34</v>
      </c>
      <c r="E206" s="188">
        <v>39966</v>
      </c>
      <c r="F206" s="188">
        <v>40025</v>
      </c>
      <c r="G206" s="188">
        <v>40068</v>
      </c>
    </row>
    <row r="207" spans="2:7" x14ac:dyDescent="0.2">
      <c r="B207" s="186">
        <v>203</v>
      </c>
      <c r="C207" s="187" t="s">
        <v>1</v>
      </c>
      <c r="D207" s="187" t="s">
        <v>34</v>
      </c>
      <c r="E207" s="188">
        <v>39967</v>
      </c>
      <c r="F207" s="188">
        <v>39974</v>
      </c>
      <c r="G207" s="188">
        <v>39974</v>
      </c>
    </row>
    <row r="208" spans="2:7" x14ac:dyDescent="0.2">
      <c r="B208" s="186">
        <v>204</v>
      </c>
      <c r="C208" s="187" t="s">
        <v>1</v>
      </c>
      <c r="D208" s="187" t="s">
        <v>34</v>
      </c>
      <c r="E208" s="188">
        <v>39967</v>
      </c>
      <c r="F208" s="188">
        <v>39994</v>
      </c>
      <c r="G208" s="188">
        <v>40004</v>
      </c>
    </row>
    <row r="209" spans="2:7" x14ac:dyDescent="0.2">
      <c r="B209" s="186">
        <v>205</v>
      </c>
      <c r="C209" s="187" t="s">
        <v>1</v>
      </c>
      <c r="D209" s="187" t="s">
        <v>34</v>
      </c>
      <c r="E209" s="188">
        <v>39967</v>
      </c>
      <c r="F209" s="188">
        <v>39977</v>
      </c>
      <c r="G209" s="188">
        <v>39977</v>
      </c>
    </row>
    <row r="210" spans="2:7" x14ac:dyDescent="0.2">
      <c r="B210" s="186">
        <v>206</v>
      </c>
      <c r="C210" s="187" t="s">
        <v>31</v>
      </c>
      <c r="D210" s="187" t="s">
        <v>34</v>
      </c>
      <c r="E210" s="188">
        <v>39967</v>
      </c>
      <c r="F210" s="188">
        <v>39968</v>
      </c>
      <c r="G210" s="188">
        <v>40001</v>
      </c>
    </row>
    <row r="211" spans="2:7" x14ac:dyDescent="0.2">
      <c r="B211" s="186">
        <v>207</v>
      </c>
      <c r="C211" s="187" t="s">
        <v>31</v>
      </c>
      <c r="D211" s="187" t="s">
        <v>34</v>
      </c>
      <c r="E211" s="188">
        <v>39967</v>
      </c>
      <c r="F211" s="188">
        <v>40009</v>
      </c>
      <c r="G211" s="188">
        <v>40022</v>
      </c>
    </row>
    <row r="212" spans="2:7" x14ac:dyDescent="0.2">
      <c r="B212" s="186">
        <v>208</v>
      </c>
      <c r="C212" s="187" t="s">
        <v>1</v>
      </c>
      <c r="D212" s="187" t="s">
        <v>34</v>
      </c>
      <c r="E212" s="188">
        <v>39967</v>
      </c>
      <c r="F212" s="188">
        <v>39993</v>
      </c>
      <c r="G212" s="188">
        <v>39995</v>
      </c>
    </row>
    <row r="213" spans="2:7" x14ac:dyDescent="0.2">
      <c r="B213" s="186">
        <v>209</v>
      </c>
      <c r="C213" s="187" t="s">
        <v>1</v>
      </c>
      <c r="D213" s="187" t="s">
        <v>34</v>
      </c>
      <c r="E213" s="188">
        <v>39967</v>
      </c>
      <c r="F213" s="188">
        <v>39974</v>
      </c>
      <c r="G213" s="188">
        <v>39975</v>
      </c>
    </row>
    <row r="214" spans="2:7" x14ac:dyDescent="0.2">
      <c r="B214" s="186">
        <v>210</v>
      </c>
      <c r="C214" s="187" t="s">
        <v>1</v>
      </c>
      <c r="D214" s="187" t="s">
        <v>34</v>
      </c>
      <c r="E214" s="188">
        <v>39967</v>
      </c>
      <c r="F214" s="188">
        <v>39974</v>
      </c>
      <c r="G214" s="188">
        <v>39975</v>
      </c>
    </row>
    <row r="215" spans="2:7" x14ac:dyDescent="0.2">
      <c r="B215" s="186">
        <v>211</v>
      </c>
      <c r="C215" s="187" t="s">
        <v>1</v>
      </c>
      <c r="D215" s="187" t="s">
        <v>34</v>
      </c>
      <c r="E215" s="188">
        <v>39968</v>
      </c>
      <c r="F215" s="188">
        <v>40009</v>
      </c>
      <c r="G215" s="188">
        <v>40043</v>
      </c>
    </row>
    <row r="216" spans="2:7" x14ac:dyDescent="0.2">
      <c r="B216" s="186">
        <v>212</v>
      </c>
      <c r="C216" s="187" t="s">
        <v>31</v>
      </c>
      <c r="D216" s="187" t="s">
        <v>34</v>
      </c>
      <c r="E216" s="188">
        <v>39968</v>
      </c>
      <c r="F216" s="188">
        <v>39968</v>
      </c>
      <c r="G216" s="188">
        <v>39975</v>
      </c>
    </row>
    <row r="217" spans="2:7" x14ac:dyDescent="0.2">
      <c r="B217" s="186">
        <v>213</v>
      </c>
      <c r="C217" s="187" t="s">
        <v>31</v>
      </c>
      <c r="D217" s="187" t="s">
        <v>34</v>
      </c>
      <c r="E217" s="188">
        <v>39968</v>
      </c>
      <c r="F217" s="188">
        <v>39989</v>
      </c>
      <c r="G217" s="188">
        <v>39997</v>
      </c>
    </row>
    <row r="218" spans="2:7" x14ac:dyDescent="0.2">
      <c r="B218" s="186">
        <v>214</v>
      </c>
      <c r="C218" s="187" t="s">
        <v>1</v>
      </c>
      <c r="D218" s="187" t="s">
        <v>34</v>
      </c>
      <c r="E218" s="188">
        <v>39968</v>
      </c>
      <c r="F218" s="188">
        <v>39994</v>
      </c>
      <c r="G218" s="188">
        <v>39994</v>
      </c>
    </row>
    <row r="219" spans="2:7" x14ac:dyDescent="0.2">
      <c r="B219" s="186">
        <v>215</v>
      </c>
      <c r="C219" s="187" t="s">
        <v>31</v>
      </c>
      <c r="D219" s="187" t="s">
        <v>34</v>
      </c>
      <c r="E219" s="188">
        <v>39969</v>
      </c>
      <c r="F219" s="188">
        <v>39974</v>
      </c>
      <c r="G219" s="188">
        <v>39974</v>
      </c>
    </row>
    <row r="220" spans="2:7" x14ac:dyDescent="0.2">
      <c r="B220" s="186">
        <v>216</v>
      </c>
      <c r="C220" s="187" t="s">
        <v>1</v>
      </c>
      <c r="D220" s="187" t="s">
        <v>34</v>
      </c>
      <c r="E220" s="188">
        <v>39969</v>
      </c>
      <c r="F220" s="188">
        <v>40016</v>
      </c>
      <c r="G220" s="188">
        <v>40016</v>
      </c>
    </row>
    <row r="221" spans="2:7" x14ac:dyDescent="0.2">
      <c r="B221" s="186">
        <v>217</v>
      </c>
      <c r="C221" s="187" t="s">
        <v>31</v>
      </c>
      <c r="D221" s="187" t="s">
        <v>34</v>
      </c>
      <c r="E221" s="188">
        <v>39973</v>
      </c>
      <c r="F221" s="188">
        <v>39975</v>
      </c>
      <c r="G221" s="188">
        <v>39975</v>
      </c>
    </row>
    <row r="222" spans="2:7" x14ac:dyDescent="0.2">
      <c r="B222" s="186">
        <v>218</v>
      </c>
      <c r="C222" s="187" t="s">
        <v>31</v>
      </c>
      <c r="D222" s="187" t="s">
        <v>34</v>
      </c>
      <c r="E222" s="188">
        <v>39973</v>
      </c>
      <c r="F222" s="188">
        <v>40009</v>
      </c>
      <c r="G222" s="188">
        <v>40022</v>
      </c>
    </row>
    <row r="223" spans="2:7" x14ac:dyDescent="0.2">
      <c r="B223" s="186">
        <v>219</v>
      </c>
      <c r="C223" s="187" t="s">
        <v>31</v>
      </c>
      <c r="D223" s="187" t="s">
        <v>34</v>
      </c>
      <c r="E223" s="188">
        <v>39974</v>
      </c>
      <c r="F223" s="188">
        <v>39989</v>
      </c>
      <c r="G223" s="188">
        <v>39998</v>
      </c>
    </row>
    <row r="224" spans="2:7" x14ac:dyDescent="0.2">
      <c r="B224" s="186">
        <v>220</v>
      </c>
      <c r="C224" s="187" t="s">
        <v>31</v>
      </c>
      <c r="D224" s="187" t="s">
        <v>34</v>
      </c>
      <c r="E224" s="188">
        <v>39975</v>
      </c>
      <c r="F224" s="188">
        <v>39983</v>
      </c>
      <c r="G224" s="188">
        <v>39998</v>
      </c>
    </row>
    <row r="225" spans="2:7" x14ac:dyDescent="0.2">
      <c r="B225" s="186">
        <v>221</v>
      </c>
      <c r="C225" s="187" t="s">
        <v>31</v>
      </c>
      <c r="D225" s="187" t="s">
        <v>34</v>
      </c>
      <c r="E225" s="188">
        <v>39975</v>
      </c>
      <c r="F225" s="188">
        <v>39978</v>
      </c>
      <c r="G225" s="188">
        <v>40019</v>
      </c>
    </row>
    <row r="226" spans="2:7" x14ac:dyDescent="0.2">
      <c r="B226" s="186">
        <v>222</v>
      </c>
      <c r="C226" s="187" t="s">
        <v>31</v>
      </c>
      <c r="D226" s="187" t="s">
        <v>34</v>
      </c>
      <c r="E226" s="188">
        <v>39975</v>
      </c>
      <c r="F226" s="188">
        <v>39989</v>
      </c>
      <c r="G226" s="188">
        <v>40003</v>
      </c>
    </row>
    <row r="227" spans="2:7" x14ac:dyDescent="0.2">
      <c r="B227" s="186">
        <v>223</v>
      </c>
      <c r="C227" s="187" t="s">
        <v>31</v>
      </c>
      <c r="D227" s="187" t="s">
        <v>34</v>
      </c>
      <c r="E227" s="188">
        <v>39975</v>
      </c>
      <c r="F227" s="188">
        <v>40004</v>
      </c>
      <c r="G227" s="188">
        <v>40010</v>
      </c>
    </row>
    <row r="228" spans="2:7" x14ac:dyDescent="0.2">
      <c r="B228" s="186">
        <v>224</v>
      </c>
      <c r="C228" s="187" t="s">
        <v>31</v>
      </c>
      <c r="D228" s="187" t="s">
        <v>34</v>
      </c>
      <c r="E228" s="188">
        <v>39976</v>
      </c>
      <c r="F228" s="188">
        <v>39997</v>
      </c>
      <c r="G228" s="188">
        <v>40018</v>
      </c>
    </row>
    <row r="229" spans="2:7" x14ac:dyDescent="0.2">
      <c r="B229" s="186">
        <v>225</v>
      </c>
      <c r="C229" s="187" t="s">
        <v>1</v>
      </c>
      <c r="D229" s="187" t="s">
        <v>34</v>
      </c>
      <c r="E229" s="188">
        <v>39976</v>
      </c>
      <c r="F229" s="188">
        <v>40015</v>
      </c>
      <c r="G229" s="188">
        <v>40022</v>
      </c>
    </row>
    <row r="230" spans="2:7" x14ac:dyDescent="0.2">
      <c r="B230" s="186">
        <v>226</v>
      </c>
      <c r="C230" s="187" t="s">
        <v>31</v>
      </c>
      <c r="D230" s="187" t="s">
        <v>2</v>
      </c>
      <c r="E230" s="188">
        <v>39977</v>
      </c>
      <c r="F230" s="188">
        <v>40017</v>
      </c>
      <c r="G230" s="188">
        <v>40023</v>
      </c>
    </row>
    <row r="231" spans="2:7" x14ac:dyDescent="0.2">
      <c r="B231" s="186">
        <v>227</v>
      </c>
      <c r="C231" s="187" t="s">
        <v>31</v>
      </c>
      <c r="D231" s="187" t="s">
        <v>34</v>
      </c>
      <c r="E231" s="188">
        <v>39982</v>
      </c>
      <c r="F231" s="188">
        <v>40009</v>
      </c>
      <c r="G231" s="188">
        <v>40022</v>
      </c>
    </row>
    <row r="232" spans="2:7" x14ac:dyDescent="0.2">
      <c r="B232" s="186">
        <v>228</v>
      </c>
      <c r="C232" s="187" t="s">
        <v>31</v>
      </c>
      <c r="D232" s="187" t="s">
        <v>34</v>
      </c>
      <c r="E232" s="188">
        <v>39987</v>
      </c>
      <c r="F232" s="188">
        <v>39997</v>
      </c>
      <c r="G232" s="188">
        <v>40009</v>
      </c>
    </row>
    <row r="233" spans="2:7" x14ac:dyDescent="0.2">
      <c r="B233" s="186">
        <v>229</v>
      </c>
      <c r="C233" s="187" t="s">
        <v>31</v>
      </c>
      <c r="D233" s="187" t="s">
        <v>34</v>
      </c>
      <c r="E233" s="188">
        <v>39987</v>
      </c>
      <c r="F233" s="188">
        <v>40004</v>
      </c>
      <c r="G233" s="188">
        <v>40010</v>
      </c>
    </row>
    <row r="234" spans="2:7" x14ac:dyDescent="0.2">
      <c r="B234" s="186">
        <v>230</v>
      </c>
      <c r="C234" s="187" t="s">
        <v>1</v>
      </c>
      <c r="D234" s="187" t="s">
        <v>34</v>
      </c>
      <c r="E234" s="188">
        <v>39987</v>
      </c>
      <c r="F234" s="188">
        <v>40001</v>
      </c>
      <c r="G234" s="188">
        <v>40002</v>
      </c>
    </row>
    <row r="235" spans="2:7" x14ac:dyDescent="0.2">
      <c r="B235" s="186">
        <v>231</v>
      </c>
      <c r="C235" s="187" t="s">
        <v>31</v>
      </c>
      <c r="D235" s="187" t="s">
        <v>34</v>
      </c>
      <c r="E235" s="188">
        <v>39988</v>
      </c>
      <c r="F235" s="188">
        <v>40009</v>
      </c>
      <c r="G235" s="188">
        <v>40022</v>
      </c>
    </row>
    <row r="236" spans="2:7" x14ac:dyDescent="0.2">
      <c r="B236" s="186">
        <v>232</v>
      </c>
      <c r="C236" s="187" t="s">
        <v>31</v>
      </c>
      <c r="D236" s="187" t="s">
        <v>34</v>
      </c>
      <c r="E236" s="188">
        <v>39988</v>
      </c>
      <c r="F236" s="188">
        <v>40009</v>
      </c>
      <c r="G236" s="188">
        <v>40019</v>
      </c>
    </row>
    <row r="237" spans="2:7" x14ac:dyDescent="0.2">
      <c r="B237" s="186">
        <v>233</v>
      </c>
      <c r="C237" s="187" t="s">
        <v>31</v>
      </c>
      <c r="D237" s="187" t="s">
        <v>34</v>
      </c>
      <c r="E237" s="188">
        <v>39989</v>
      </c>
      <c r="F237" s="188">
        <v>40018</v>
      </c>
      <c r="G237" s="188">
        <v>40019</v>
      </c>
    </row>
    <row r="238" spans="2:7" x14ac:dyDescent="0.2">
      <c r="B238" s="186">
        <v>234</v>
      </c>
      <c r="C238" s="187" t="s">
        <v>1</v>
      </c>
      <c r="D238" s="187" t="s">
        <v>34</v>
      </c>
      <c r="E238" s="188">
        <v>39989</v>
      </c>
      <c r="F238" s="188">
        <v>39997</v>
      </c>
      <c r="G238" s="188">
        <v>39999</v>
      </c>
    </row>
    <row r="239" spans="2:7" x14ac:dyDescent="0.2">
      <c r="B239" s="186">
        <v>235</v>
      </c>
      <c r="C239" s="187" t="s">
        <v>31</v>
      </c>
      <c r="D239" s="187" t="s">
        <v>34</v>
      </c>
      <c r="E239" s="188">
        <v>39989</v>
      </c>
      <c r="F239" s="188">
        <v>40009</v>
      </c>
      <c r="G239" s="188">
        <v>40018</v>
      </c>
    </row>
    <row r="240" spans="2:7" x14ac:dyDescent="0.2">
      <c r="B240" s="186">
        <v>236</v>
      </c>
      <c r="C240" s="187" t="s">
        <v>31</v>
      </c>
      <c r="D240" s="187" t="s">
        <v>34</v>
      </c>
      <c r="E240" s="188">
        <v>39992</v>
      </c>
      <c r="F240" s="188">
        <v>39993</v>
      </c>
      <c r="G240" s="188">
        <v>39996</v>
      </c>
    </row>
    <row r="241" spans="2:7" x14ac:dyDescent="0.2">
      <c r="B241" s="186">
        <v>237</v>
      </c>
      <c r="C241" s="187" t="s">
        <v>30</v>
      </c>
      <c r="D241" s="187" t="s">
        <v>34</v>
      </c>
      <c r="E241" s="188">
        <v>39994</v>
      </c>
      <c r="F241" s="188">
        <v>39997</v>
      </c>
      <c r="G241" s="188">
        <v>39997</v>
      </c>
    </row>
    <row r="242" spans="2:7" x14ac:dyDescent="0.2">
      <c r="B242" s="186">
        <v>238</v>
      </c>
      <c r="C242" s="187" t="s">
        <v>31</v>
      </c>
      <c r="D242" s="187" t="s">
        <v>34</v>
      </c>
      <c r="E242" s="188">
        <v>39996</v>
      </c>
      <c r="F242" s="188">
        <v>39997</v>
      </c>
      <c r="G242" s="188">
        <v>40012</v>
      </c>
    </row>
    <row r="243" spans="2:7" x14ac:dyDescent="0.2">
      <c r="B243" s="186">
        <v>239</v>
      </c>
      <c r="C243" s="187" t="s">
        <v>31</v>
      </c>
      <c r="D243" s="187" t="s">
        <v>34</v>
      </c>
      <c r="E243" s="188">
        <v>39996</v>
      </c>
      <c r="F243" s="188">
        <v>39997</v>
      </c>
      <c r="G243" s="188">
        <v>40009</v>
      </c>
    </row>
    <row r="244" spans="2:7" x14ac:dyDescent="0.2">
      <c r="B244" s="186">
        <v>240</v>
      </c>
      <c r="C244" s="187" t="s">
        <v>1</v>
      </c>
      <c r="D244" s="187" t="s">
        <v>34</v>
      </c>
      <c r="E244" s="188">
        <v>39996</v>
      </c>
      <c r="F244" s="188">
        <v>39997</v>
      </c>
      <c r="G244" s="188">
        <v>39997</v>
      </c>
    </row>
    <row r="245" spans="2:7" x14ac:dyDescent="0.2">
      <c r="B245" s="186">
        <v>241</v>
      </c>
      <c r="C245" s="187" t="s">
        <v>31</v>
      </c>
      <c r="D245" s="187" t="s">
        <v>34</v>
      </c>
      <c r="E245" s="188">
        <v>39997</v>
      </c>
      <c r="F245" s="188">
        <v>40016</v>
      </c>
      <c r="G245" s="188">
        <v>40019</v>
      </c>
    </row>
    <row r="246" spans="2:7" x14ac:dyDescent="0.2">
      <c r="B246" s="186">
        <v>242</v>
      </c>
      <c r="C246" s="187" t="s">
        <v>1</v>
      </c>
      <c r="D246" s="187" t="s">
        <v>34</v>
      </c>
      <c r="E246" s="188">
        <v>39997</v>
      </c>
      <c r="F246" s="188">
        <v>40015</v>
      </c>
      <c r="G246" s="188">
        <v>40022</v>
      </c>
    </row>
    <row r="247" spans="2:7" x14ac:dyDescent="0.2">
      <c r="B247" s="186">
        <v>243</v>
      </c>
      <c r="C247" s="187" t="s">
        <v>31</v>
      </c>
      <c r="D247" s="187" t="s">
        <v>34</v>
      </c>
      <c r="E247" s="188">
        <v>39997</v>
      </c>
      <c r="F247" s="188">
        <v>40012</v>
      </c>
      <c r="G247" s="188">
        <v>40015</v>
      </c>
    </row>
    <row r="248" spans="2:7" x14ac:dyDescent="0.2">
      <c r="B248" s="186">
        <v>244</v>
      </c>
      <c r="C248" s="187" t="s">
        <v>31</v>
      </c>
      <c r="D248" s="187" t="s">
        <v>34</v>
      </c>
      <c r="E248" s="188">
        <v>39998</v>
      </c>
      <c r="F248" s="188">
        <v>40015</v>
      </c>
      <c r="G248" s="188">
        <v>40029</v>
      </c>
    </row>
    <row r="249" spans="2:7" x14ac:dyDescent="0.2">
      <c r="B249" s="186">
        <v>245</v>
      </c>
      <c r="C249" s="187" t="s">
        <v>1</v>
      </c>
      <c r="D249" s="187" t="s">
        <v>34</v>
      </c>
      <c r="E249" s="188">
        <v>39998</v>
      </c>
      <c r="F249" s="188">
        <v>40004</v>
      </c>
      <c r="G249" s="188">
        <v>40009</v>
      </c>
    </row>
    <row r="250" spans="2:7" x14ac:dyDescent="0.2">
      <c r="B250" s="186">
        <v>246</v>
      </c>
      <c r="C250" s="187" t="s">
        <v>1</v>
      </c>
      <c r="D250" s="187" t="s">
        <v>34</v>
      </c>
      <c r="E250" s="188">
        <v>40001</v>
      </c>
      <c r="F250" s="188">
        <v>40004</v>
      </c>
      <c r="G250" s="188">
        <v>40006</v>
      </c>
    </row>
    <row r="251" spans="2:7" x14ac:dyDescent="0.2">
      <c r="B251" s="186">
        <v>247</v>
      </c>
      <c r="C251" s="187" t="s">
        <v>32</v>
      </c>
      <c r="D251" s="187" t="s">
        <v>34</v>
      </c>
      <c r="E251" s="188">
        <v>40001</v>
      </c>
      <c r="F251" s="188">
        <v>40015</v>
      </c>
      <c r="G251" s="188">
        <v>40032</v>
      </c>
    </row>
    <row r="252" spans="2:7" x14ac:dyDescent="0.2">
      <c r="B252" s="186">
        <v>248</v>
      </c>
      <c r="C252" s="187" t="s">
        <v>31</v>
      </c>
      <c r="D252" s="187" t="s">
        <v>34</v>
      </c>
      <c r="E252" s="188">
        <v>40001</v>
      </c>
      <c r="F252" s="188">
        <v>40012</v>
      </c>
      <c r="G252" s="188">
        <v>40018</v>
      </c>
    </row>
    <row r="253" spans="2:7" x14ac:dyDescent="0.2">
      <c r="B253" s="186">
        <v>249</v>
      </c>
      <c r="C253" s="187" t="s">
        <v>1</v>
      </c>
      <c r="D253" s="187" t="s">
        <v>34</v>
      </c>
      <c r="E253" s="188">
        <v>40001</v>
      </c>
      <c r="F253" s="188">
        <v>40015</v>
      </c>
      <c r="G253" s="188">
        <v>40037</v>
      </c>
    </row>
    <row r="254" spans="2:7" x14ac:dyDescent="0.2">
      <c r="B254" s="186">
        <v>250</v>
      </c>
      <c r="C254" s="187" t="s">
        <v>1</v>
      </c>
      <c r="D254" s="187" t="s">
        <v>34</v>
      </c>
      <c r="E254" s="188">
        <v>40001</v>
      </c>
      <c r="F254" s="188">
        <v>40016</v>
      </c>
      <c r="G254" s="188">
        <v>40019</v>
      </c>
    </row>
    <row r="255" spans="2:7" x14ac:dyDescent="0.2">
      <c r="B255" s="186">
        <v>251</v>
      </c>
      <c r="C255" s="187" t="s">
        <v>31</v>
      </c>
      <c r="D255" s="187" t="s">
        <v>34</v>
      </c>
      <c r="E255" s="188">
        <v>40001</v>
      </c>
      <c r="F255" s="188">
        <v>40012</v>
      </c>
      <c r="G255" s="188">
        <v>40024</v>
      </c>
    </row>
    <row r="256" spans="2:7" x14ac:dyDescent="0.2">
      <c r="B256" s="186">
        <v>252</v>
      </c>
      <c r="C256" s="187" t="s">
        <v>1</v>
      </c>
      <c r="D256" s="187" t="s">
        <v>34</v>
      </c>
      <c r="E256" s="188">
        <v>40001</v>
      </c>
      <c r="F256" s="188">
        <v>40015</v>
      </c>
      <c r="G256" s="188">
        <v>40018</v>
      </c>
    </row>
    <row r="257" spans="2:7" x14ac:dyDescent="0.2">
      <c r="B257" s="186">
        <v>253</v>
      </c>
      <c r="C257" s="187" t="s">
        <v>32</v>
      </c>
      <c r="D257" s="187" t="s">
        <v>34</v>
      </c>
      <c r="E257" s="188">
        <v>40003</v>
      </c>
      <c r="F257" s="188">
        <v>40018</v>
      </c>
      <c r="G257" s="188">
        <v>40032</v>
      </c>
    </row>
    <row r="258" spans="2:7" x14ac:dyDescent="0.2">
      <c r="B258" s="186">
        <v>254</v>
      </c>
      <c r="C258" s="187" t="s">
        <v>31</v>
      </c>
      <c r="D258" s="187" t="s">
        <v>34</v>
      </c>
      <c r="E258" s="188">
        <v>40003</v>
      </c>
      <c r="F258" s="188">
        <v>40012</v>
      </c>
      <c r="G258" s="188">
        <v>40019</v>
      </c>
    </row>
    <row r="259" spans="2:7" x14ac:dyDescent="0.2">
      <c r="B259" s="186">
        <v>255</v>
      </c>
      <c r="C259" s="187" t="s">
        <v>31</v>
      </c>
      <c r="D259" s="187" t="s">
        <v>34</v>
      </c>
      <c r="E259" s="188">
        <v>40004</v>
      </c>
      <c r="F259" s="188">
        <v>40012</v>
      </c>
      <c r="G259" s="188">
        <v>40022</v>
      </c>
    </row>
    <row r="260" spans="2:7" x14ac:dyDescent="0.2">
      <c r="B260" s="186">
        <v>256</v>
      </c>
      <c r="C260" s="187" t="s">
        <v>31</v>
      </c>
      <c r="D260" s="187" t="s">
        <v>34</v>
      </c>
      <c r="E260" s="188">
        <v>40009</v>
      </c>
      <c r="F260" s="188">
        <v>40025</v>
      </c>
      <c r="G260" s="188">
        <v>40073</v>
      </c>
    </row>
    <row r="261" spans="2:7" x14ac:dyDescent="0.2">
      <c r="B261" s="186">
        <v>257</v>
      </c>
      <c r="C261" s="187" t="s">
        <v>1</v>
      </c>
      <c r="D261" s="187" t="s">
        <v>34</v>
      </c>
      <c r="E261" s="188">
        <v>40009</v>
      </c>
      <c r="F261" s="188">
        <v>40032</v>
      </c>
      <c r="G261" s="188">
        <v>40033</v>
      </c>
    </row>
    <row r="262" spans="2:7" x14ac:dyDescent="0.2">
      <c r="B262" s="186">
        <v>258</v>
      </c>
      <c r="C262" s="187" t="s">
        <v>1</v>
      </c>
      <c r="D262" s="187" t="s">
        <v>34</v>
      </c>
      <c r="E262" s="188">
        <v>40010</v>
      </c>
      <c r="F262" s="188">
        <v>40040</v>
      </c>
      <c r="G262" s="188">
        <v>40046</v>
      </c>
    </row>
    <row r="263" spans="2:7" x14ac:dyDescent="0.2">
      <c r="B263" s="186">
        <v>259</v>
      </c>
      <c r="C263" s="187" t="s">
        <v>31</v>
      </c>
      <c r="D263" s="187" t="s">
        <v>34</v>
      </c>
      <c r="E263" s="188">
        <v>40010</v>
      </c>
      <c r="F263" s="188">
        <v>40040</v>
      </c>
      <c r="G263" s="188">
        <v>40059</v>
      </c>
    </row>
    <row r="264" spans="2:7" x14ac:dyDescent="0.2">
      <c r="B264" s="186">
        <v>260</v>
      </c>
      <c r="C264" s="187" t="s">
        <v>31</v>
      </c>
      <c r="D264" s="187" t="s">
        <v>34</v>
      </c>
      <c r="E264" s="188">
        <v>40015</v>
      </c>
      <c r="F264" s="188">
        <v>40025</v>
      </c>
      <c r="G264" s="188">
        <v>40025</v>
      </c>
    </row>
    <row r="265" spans="2:7" x14ac:dyDescent="0.2">
      <c r="B265" s="186">
        <v>261</v>
      </c>
      <c r="C265" s="187" t="s">
        <v>31</v>
      </c>
      <c r="D265" s="187" t="s">
        <v>34</v>
      </c>
      <c r="E265" s="188">
        <v>40015</v>
      </c>
      <c r="F265" s="188">
        <v>40022</v>
      </c>
      <c r="G265" s="188">
        <v>40038</v>
      </c>
    </row>
    <row r="266" spans="2:7" x14ac:dyDescent="0.2">
      <c r="B266" s="186">
        <v>262</v>
      </c>
      <c r="C266" s="187" t="s">
        <v>1</v>
      </c>
      <c r="D266" s="187" t="s">
        <v>34</v>
      </c>
      <c r="E266" s="188">
        <v>40016</v>
      </c>
      <c r="F266" s="188">
        <v>40058</v>
      </c>
      <c r="G266" s="188">
        <v>40076</v>
      </c>
    </row>
    <row r="267" spans="2:7" x14ac:dyDescent="0.2">
      <c r="B267" s="186">
        <v>263</v>
      </c>
      <c r="C267" s="187" t="s">
        <v>31</v>
      </c>
      <c r="D267" s="187" t="s">
        <v>34</v>
      </c>
      <c r="E267" s="188">
        <v>40016</v>
      </c>
      <c r="F267" s="188">
        <v>40032</v>
      </c>
      <c r="G267" s="188">
        <v>40057</v>
      </c>
    </row>
    <row r="268" spans="2:7" x14ac:dyDescent="0.2">
      <c r="B268" s="186">
        <v>264</v>
      </c>
      <c r="C268" s="187" t="s">
        <v>1</v>
      </c>
      <c r="D268" s="187" t="s">
        <v>34</v>
      </c>
      <c r="E268" s="188">
        <v>40017</v>
      </c>
      <c r="F268" s="188">
        <v>40030</v>
      </c>
      <c r="G268" s="188">
        <v>40060</v>
      </c>
    </row>
    <row r="269" spans="2:7" x14ac:dyDescent="0.2">
      <c r="B269" s="186">
        <v>265</v>
      </c>
      <c r="C269" s="187" t="s">
        <v>31</v>
      </c>
      <c r="D269" s="187" t="s">
        <v>2</v>
      </c>
      <c r="E269" s="188">
        <v>40017</v>
      </c>
      <c r="F269" s="188">
        <v>40058</v>
      </c>
      <c r="G269" s="188">
        <v>40066</v>
      </c>
    </row>
    <row r="270" spans="2:7" x14ac:dyDescent="0.2">
      <c r="B270" s="186">
        <v>266</v>
      </c>
      <c r="C270" s="187" t="s">
        <v>31</v>
      </c>
      <c r="D270" s="187" t="s">
        <v>2</v>
      </c>
      <c r="E270" s="188">
        <v>40017</v>
      </c>
      <c r="F270" s="188">
        <v>40058</v>
      </c>
      <c r="G270" s="188">
        <v>40065</v>
      </c>
    </row>
    <row r="271" spans="2:7" x14ac:dyDescent="0.2">
      <c r="B271" s="186">
        <v>267</v>
      </c>
      <c r="C271" s="187" t="s">
        <v>1</v>
      </c>
      <c r="D271" s="187" t="s">
        <v>34</v>
      </c>
      <c r="E271" s="188">
        <v>40017</v>
      </c>
      <c r="F271" s="188">
        <v>40023</v>
      </c>
      <c r="G271" s="188">
        <v>40024</v>
      </c>
    </row>
    <row r="272" spans="2:7" x14ac:dyDescent="0.2">
      <c r="B272" s="186">
        <v>268</v>
      </c>
      <c r="C272" s="187" t="s">
        <v>31</v>
      </c>
      <c r="D272" s="187" t="s">
        <v>34</v>
      </c>
      <c r="E272" s="188">
        <v>40017</v>
      </c>
      <c r="F272" s="188">
        <v>40023</v>
      </c>
      <c r="G272" s="188">
        <v>40025</v>
      </c>
    </row>
    <row r="273" spans="2:7" x14ac:dyDescent="0.2">
      <c r="B273" s="186">
        <v>269</v>
      </c>
      <c r="C273" s="187" t="s">
        <v>32</v>
      </c>
      <c r="D273" s="187" t="s">
        <v>34</v>
      </c>
      <c r="E273" s="188">
        <v>40018</v>
      </c>
      <c r="F273" s="188">
        <v>40030</v>
      </c>
      <c r="G273" s="188">
        <v>40033</v>
      </c>
    </row>
    <row r="274" spans="2:7" x14ac:dyDescent="0.2">
      <c r="B274" s="186">
        <v>270</v>
      </c>
      <c r="C274" s="187" t="s">
        <v>1</v>
      </c>
      <c r="D274" s="187" t="s">
        <v>34</v>
      </c>
      <c r="E274" s="188">
        <v>40019</v>
      </c>
      <c r="F274" s="188">
        <v>40030</v>
      </c>
      <c r="G274" s="188">
        <v>40037</v>
      </c>
    </row>
    <row r="275" spans="2:7" x14ac:dyDescent="0.2">
      <c r="B275" s="186">
        <v>271</v>
      </c>
      <c r="C275" s="187" t="s">
        <v>1</v>
      </c>
      <c r="D275" s="187" t="s">
        <v>34</v>
      </c>
      <c r="E275" s="188">
        <v>40019</v>
      </c>
      <c r="F275" s="188">
        <v>40059</v>
      </c>
      <c r="G275" s="188">
        <v>40067</v>
      </c>
    </row>
    <row r="276" spans="2:7" x14ac:dyDescent="0.2">
      <c r="B276" s="186">
        <v>272</v>
      </c>
      <c r="C276" s="187" t="s">
        <v>1</v>
      </c>
      <c r="D276" s="187" t="s">
        <v>34</v>
      </c>
      <c r="E276" s="188">
        <v>40019</v>
      </c>
      <c r="F276" s="188">
        <v>40030</v>
      </c>
      <c r="G276" s="188">
        <v>40067</v>
      </c>
    </row>
    <row r="277" spans="2:7" x14ac:dyDescent="0.2">
      <c r="B277" s="186">
        <v>273</v>
      </c>
      <c r="C277" s="187" t="s">
        <v>31</v>
      </c>
      <c r="D277" s="187" t="s">
        <v>34</v>
      </c>
      <c r="E277" s="188">
        <v>40023</v>
      </c>
      <c r="F277" s="188">
        <v>40040</v>
      </c>
      <c r="G277" s="188">
        <v>40050</v>
      </c>
    </row>
    <row r="278" spans="2:7" x14ac:dyDescent="0.2">
      <c r="B278" s="186">
        <v>274</v>
      </c>
      <c r="C278" s="187" t="s">
        <v>1</v>
      </c>
      <c r="D278" s="187" t="s">
        <v>34</v>
      </c>
      <c r="E278" s="188">
        <v>40023</v>
      </c>
      <c r="F278" s="188">
        <v>40058</v>
      </c>
      <c r="G278" s="188">
        <v>40080</v>
      </c>
    </row>
    <row r="279" spans="2:7" x14ac:dyDescent="0.2">
      <c r="B279" s="186">
        <v>275</v>
      </c>
      <c r="C279" s="187" t="s">
        <v>1</v>
      </c>
      <c r="D279" s="187" t="s">
        <v>34</v>
      </c>
      <c r="E279" s="188">
        <v>40024</v>
      </c>
      <c r="F279" s="188">
        <v>40024</v>
      </c>
      <c r="G279" s="188">
        <v>40024</v>
      </c>
    </row>
    <row r="280" spans="2:7" x14ac:dyDescent="0.2">
      <c r="B280" s="186">
        <v>276</v>
      </c>
      <c r="C280" s="187" t="s">
        <v>31</v>
      </c>
      <c r="D280" s="187" t="s">
        <v>34</v>
      </c>
      <c r="E280" s="188">
        <v>40024</v>
      </c>
      <c r="F280" s="188">
        <v>40031</v>
      </c>
      <c r="G280" s="188">
        <v>40072</v>
      </c>
    </row>
    <row r="281" spans="2:7" x14ac:dyDescent="0.2">
      <c r="B281" s="186">
        <v>277</v>
      </c>
      <c r="C281" s="187" t="s">
        <v>31</v>
      </c>
      <c r="D281" s="187" t="s">
        <v>34</v>
      </c>
      <c r="E281" s="188">
        <v>40026</v>
      </c>
      <c r="F281" s="188">
        <v>40046</v>
      </c>
      <c r="G281" s="188">
        <v>40064</v>
      </c>
    </row>
    <row r="282" spans="2:7" x14ac:dyDescent="0.2">
      <c r="B282" s="186">
        <v>278</v>
      </c>
      <c r="C282" s="187" t="s">
        <v>32</v>
      </c>
      <c r="D282" s="187" t="s">
        <v>34</v>
      </c>
      <c r="E282" s="188">
        <v>40026</v>
      </c>
      <c r="F282" s="188">
        <v>40032</v>
      </c>
      <c r="G282" s="188">
        <v>40036</v>
      </c>
    </row>
    <row r="283" spans="2:7" x14ac:dyDescent="0.2">
      <c r="B283" s="186">
        <v>279</v>
      </c>
      <c r="C283" s="187" t="s">
        <v>30</v>
      </c>
      <c r="D283" s="187" t="s">
        <v>34</v>
      </c>
      <c r="E283" s="188">
        <v>40026</v>
      </c>
      <c r="F283" s="188">
        <v>40031</v>
      </c>
      <c r="G283" s="188">
        <v>40038</v>
      </c>
    </row>
    <row r="284" spans="2:7" x14ac:dyDescent="0.2">
      <c r="B284" s="186">
        <v>280</v>
      </c>
      <c r="C284" s="187" t="s">
        <v>31</v>
      </c>
      <c r="D284" s="187" t="s">
        <v>34</v>
      </c>
      <c r="E284" s="188">
        <v>40030</v>
      </c>
      <c r="F284" s="188">
        <v>40068</v>
      </c>
      <c r="G284" s="188">
        <v>40085</v>
      </c>
    </row>
    <row r="285" spans="2:7" x14ac:dyDescent="0.2">
      <c r="B285" s="186">
        <v>281</v>
      </c>
      <c r="C285" s="187" t="s">
        <v>31</v>
      </c>
      <c r="D285" s="187" t="s">
        <v>34</v>
      </c>
      <c r="E285" s="188">
        <v>40030</v>
      </c>
      <c r="F285" s="188">
        <v>40040</v>
      </c>
      <c r="G285" s="188">
        <v>40050</v>
      </c>
    </row>
    <row r="286" spans="2:7" x14ac:dyDescent="0.2">
      <c r="B286" s="186">
        <v>282</v>
      </c>
      <c r="C286" s="187" t="s">
        <v>31</v>
      </c>
      <c r="D286" s="187" t="s">
        <v>34</v>
      </c>
      <c r="E286" s="188">
        <v>40030</v>
      </c>
      <c r="F286" s="188">
        <v>40057</v>
      </c>
      <c r="G286" s="188">
        <v>40088</v>
      </c>
    </row>
    <row r="287" spans="2:7" x14ac:dyDescent="0.2">
      <c r="B287" s="186">
        <v>283</v>
      </c>
      <c r="C287" s="187" t="s">
        <v>31</v>
      </c>
      <c r="D287" s="187" t="s">
        <v>34</v>
      </c>
      <c r="E287" s="188">
        <v>40031</v>
      </c>
      <c r="F287" s="188">
        <v>40094</v>
      </c>
      <c r="G287" s="188">
        <v>40103</v>
      </c>
    </row>
    <row r="288" spans="2:7" x14ac:dyDescent="0.2">
      <c r="B288" s="186">
        <v>284</v>
      </c>
      <c r="C288" s="187" t="s">
        <v>31</v>
      </c>
      <c r="D288" s="187" t="s">
        <v>34</v>
      </c>
      <c r="E288" s="188">
        <v>40033</v>
      </c>
      <c r="F288" s="188">
        <v>40042</v>
      </c>
      <c r="G288" s="188">
        <v>40051</v>
      </c>
    </row>
    <row r="289" spans="2:7" x14ac:dyDescent="0.2">
      <c r="B289" s="186">
        <v>285</v>
      </c>
      <c r="C289" s="187" t="s">
        <v>31</v>
      </c>
      <c r="D289" s="187" t="s">
        <v>34</v>
      </c>
      <c r="E289" s="188">
        <v>40033</v>
      </c>
      <c r="F289" s="188">
        <v>40036</v>
      </c>
      <c r="G289" s="188">
        <v>40051</v>
      </c>
    </row>
    <row r="290" spans="2:7" x14ac:dyDescent="0.2">
      <c r="B290" s="186">
        <v>286</v>
      </c>
      <c r="C290" s="187" t="s">
        <v>1</v>
      </c>
      <c r="D290" s="187" t="s">
        <v>34</v>
      </c>
      <c r="E290" s="188">
        <v>40033</v>
      </c>
      <c r="F290" s="188">
        <v>40064</v>
      </c>
      <c r="G290" s="188">
        <v>40088</v>
      </c>
    </row>
    <row r="291" spans="2:7" x14ac:dyDescent="0.2">
      <c r="B291" s="186">
        <v>287</v>
      </c>
      <c r="C291" s="187" t="s">
        <v>30</v>
      </c>
      <c r="D291" s="187" t="s">
        <v>34</v>
      </c>
      <c r="E291" s="188">
        <v>40036</v>
      </c>
      <c r="F291" s="188">
        <v>40038</v>
      </c>
      <c r="G291" s="188">
        <v>40059</v>
      </c>
    </row>
    <row r="292" spans="2:7" x14ac:dyDescent="0.2">
      <c r="B292" s="186">
        <v>288</v>
      </c>
      <c r="C292" s="187" t="s">
        <v>1</v>
      </c>
      <c r="D292" s="187" t="s">
        <v>34</v>
      </c>
      <c r="E292" s="188">
        <v>40037</v>
      </c>
      <c r="F292" s="188">
        <v>40043</v>
      </c>
      <c r="G292" s="188">
        <v>40064</v>
      </c>
    </row>
    <row r="293" spans="2:7" x14ac:dyDescent="0.2">
      <c r="B293" s="186">
        <v>289</v>
      </c>
      <c r="C293" s="187" t="s">
        <v>31</v>
      </c>
      <c r="D293" s="187" t="s">
        <v>34</v>
      </c>
      <c r="E293" s="188">
        <v>40039</v>
      </c>
      <c r="F293" s="188">
        <v>40086</v>
      </c>
      <c r="G293" s="188">
        <v>40088</v>
      </c>
    </row>
    <row r="294" spans="2:7" x14ac:dyDescent="0.2">
      <c r="B294" s="186">
        <v>290</v>
      </c>
      <c r="C294" s="187" t="s">
        <v>31</v>
      </c>
      <c r="D294" s="187" t="s">
        <v>34</v>
      </c>
      <c r="E294" s="188">
        <v>40040</v>
      </c>
      <c r="F294" s="188">
        <v>40044</v>
      </c>
      <c r="G294" s="188">
        <v>40051</v>
      </c>
    </row>
    <row r="295" spans="2:7" x14ac:dyDescent="0.2">
      <c r="B295" s="186">
        <v>291</v>
      </c>
      <c r="C295" s="187" t="s">
        <v>30</v>
      </c>
      <c r="D295" s="187" t="s">
        <v>34</v>
      </c>
      <c r="E295" s="188">
        <v>40040</v>
      </c>
      <c r="F295" s="188">
        <v>40041</v>
      </c>
      <c r="G295" s="188">
        <v>40043</v>
      </c>
    </row>
    <row r="296" spans="2:7" x14ac:dyDescent="0.2">
      <c r="B296" s="186">
        <v>292</v>
      </c>
      <c r="C296" s="187" t="s">
        <v>31</v>
      </c>
      <c r="D296" s="187" t="s">
        <v>34</v>
      </c>
      <c r="E296" s="188">
        <v>40043</v>
      </c>
      <c r="F296" s="188">
        <v>40093</v>
      </c>
      <c r="G296" s="188">
        <v>40095</v>
      </c>
    </row>
    <row r="297" spans="2:7" x14ac:dyDescent="0.2">
      <c r="B297" s="186">
        <v>293</v>
      </c>
      <c r="C297" s="187" t="s">
        <v>31</v>
      </c>
      <c r="D297" s="187" t="s">
        <v>34</v>
      </c>
      <c r="E297" s="188">
        <v>40043</v>
      </c>
      <c r="F297" s="188">
        <v>40094</v>
      </c>
      <c r="G297" s="188">
        <v>40103</v>
      </c>
    </row>
    <row r="298" spans="2:7" x14ac:dyDescent="0.2">
      <c r="B298" s="186">
        <v>294</v>
      </c>
      <c r="C298" s="187" t="s">
        <v>31</v>
      </c>
      <c r="D298" s="187" t="s">
        <v>34</v>
      </c>
      <c r="E298" s="188">
        <v>40043</v>
      </c>
      <c r="F298" s="188">
        <v>40061</v>
      </c>
      <c r="G298" s="188">
        <v>40078</v>
      </c>
    </row>
    <row r="299" spans="2:7" x14ac:dyDescent="0.2">
      <c r="B299" s="186">
        <v>295</v>
      </c>
      <c r="C299" s="187" t="s">
        <v>31</v>
      </c>
      <c r="D299" s="187" t="s">
        <v>34</v>
      </c>
      <c r="E299" s="188">
        <v>40044</v>
      </c>
      <c r="F299" s="188">
        <v>40082</v>
      </c>
      <c r="G299" s="188">
        <v>40085</v>
      </c>
    </row>
    <row r="300" spans="2:7" x14ac:dyDescent="0.2">
      <c r="B300" s="186">
        <v>296</v>
      </c>
      <c r="C300" s="187" t="s">
        <v>1</v>
      </c>
      <c r="D300" s="187" t="s">
        <v>34</v>
      </c>
      <c r="E300" s="188">
        <v>40044</v>
      </c>
      <c r="F300" s="188">
        <v>40062</v>
      </c>
      <c r="G300" s="188">
        <v>40078</v>
      </c>
    </row>
    <row r="301" spans="2:7" x14ac:dyDescent="0.2">
      <c r="B301" s="186">
        <v>297</v>
      </c>
      <c r="C301" s="187" t="s">
        <v>1</v>
      </c>
      <c r="D301" s="187" t="s">
        <v>34</v>
      </c>
      <c r="E301" s="188">
        <v>40046</v>
      </c>
      <c r="F301" s="188">
        <v>40058</v>
      </c>
      <c r="G301" s="188">
        <v>40066</v>
      </c>
    </row>
    <row r="302" spans="2:7" x14ac:dyDescent="0.2">
      <c r="B302" s="186">
        <v>298</v>
      </c>
      <c r="C302" s="187" t="s">
        <v>31</v>
      </c>
      <c r="D302" s="187" t="s">
        <v>34</v>
      </c>
      <c r="E302" s="188">
        <v>40047</v>
      </c>
      <c r="F302" s="188">
        <v>40100</v>
      </c>
      <c r="G302" s="188">
        <v>40107</v>
      </c>
    </row>
    <row r="303" spans="2:7" x14ac:dyDescent="0.2">
      <c r="B303" s="186">
        <v>299</v>
      </c>
      <c r="C303" s="187" t="s">
        <v>31</v>
      </c>
      <c r="D303" s="187" t="s">
        <v>34</v>
      </c>
      <c r="E303" s="188">
        <v>40047</v>
      </c>
      <c r="F303" s="188">
        <v>40062</v>
      </c>
      <c r="G303" s="188">
        <v>40079</v>
      </c>
    </row>
    <row r="304" spans="2:7" x14ac:dyDescent="0.2">
      <c r="B304" s="186">
        <v>300</v>
      </c>
      <c r="C304" s="187" t="s">
        <v>31</v>
      </c>
      <c r="D304" s="187" t="s">
        <v>34</v>
      </c>
      <c r="E304" s="188">
        <v>40051</v>
      </c>
      <c r="F304" s="188">
        <v>40052</v>
      </c>
      <c r="G304" s="188">
        <v>40052</v>
      </c>
    </row>
    <row r="305" spans="2:7" x14ac:dyDescent="0.2">
      <c r="B305" s="186">
        <v>301</v>
      </c>
      <c r="C305" s="187" t="s">
        <v>1</v>
      </c>
      <c r="D305" s="187" t="s">
        <v>34</v>
      </c>
      <c r="E305" s="188">
        <v>40051</v>
      </c>
      <c r="F305" s="188">
        <v>40053</v>
      </c>
      <c r="G305" s="188">
        <v>40060</v>
      </c>
    </row>
    <row r="306" spans="2:7" x14ac:dyDescent="0.2">
      <c r="B306" s="186">
        <v>302</v>
      </c>
      <c r="C306" s="187" t="s">
        <v>1</v>
      </c>
      <c r="D306" s="187" t="s">
        <v>34</v>
      </c>
      <c r="E306" s="188">
        <v>40051</v>
      </c>
      <c r="F306" s="188">
        <v>40067</v>
      </c>
      <c r="G306" s="188">
        <v>40087</v>
      </c>
    </row>
    <row r="307" spans="2:7" x14ac:dyDescent="0.2">
      <c r="B307" s="186">
        <v>303</v>
      </c>
      <c r="C307" s="187" t="s">
        <v>31</v>
      </c>
      <c r="D307" s="187" t="s">
        <v>34</v>
      </c>
      <c r="E307" s="188">
        <v>40051</v>
      </c>
      <c r="F307" s="188">
        <v>40057</v>
      </c>
      <c r="G307" s="188">
        <v>40060</v>
      </c>
    </row>
    <row r="308" spans="2:7" x14ac:dyDescent="0.2">
      <c r="B308" s="186">
        <v>304</v>
      </c>
      <c r="C308" s="187" t="s">
        <v>31</v>
      </c>
      <c r="D308" s="187" t="s">
        <v>0</v>
      </c>
      <c r="E308" s="188">
        <v>40051</v>
      </c>
      <c r="F308" s="188">
        <v>40059</v>
      </c>
      <c r="G308" s="188">
        <v>40065</v>
      </c>
    </row>
    <row r="309" spans="2:7" x14ac:dyDescent="0.2">
      <c r="B309" s="186">
        <v>305</v>
      </c>
      <c r="C309" s="187" t="s">
        <v>32</v>
      </c>
      <c r="D309" s="187" t="s">
        <v>2</v>
      </c>
      <c r="E309" s="188">
        <v>40054</v>
      </c>
      <c r="F309" s="188">
        <v>40100</v>
      </c>
      <c r="G309" s="188">
        <v>40107</v>
      </c>
    </row>
    <row r="310" spans="2:7" x14ac:dyDescent="0.2">
      <c r="B310" s="186">
        <v>306</v>
      </c>
      <c r="C310" s="187" t="s">
        <v>31</v>
      </c>
      <c r="D310" s="187" t="s">
        <v>34</v>
      </c>
      <c r="E310" s="188">
        <v>40054</v>
      </c>
      <c r="F310" s="188">
        <v>40061</v>
      </c>
      <c r="G310" s="188">
        <v>40088</v>
      </c>
    </row>
    <row r="311" spans="2:7" x14ac:dyDescent="0.2">
      <c r="B311" s="186">
        <v>307</v>
      </c>
      <c r="C311" s="187" t="s">
        <v>31</v>
      </c>
      <c r="D311" s="187" t="s">
        <v>34</v>
      </c>
      <c r="E311" s="188">
        <v>40057</v>
      </c>
      <c r="F311" s="188">
        <v>40100</v>
      </c>
      <c r="G311" s="188">
        <v>40107</v>
      </c>
    </row>
    <row r="312" spans="2:7" x14ac:dyDescent="0.2">
      <c r="B312" s="186">
        <v>308</v>
      </c>
      <c r="C312" s="187" t="s">
        <v>1</v>
      </c>
      <c r="D312" s="187" t="s">
        <v>34</v>
      </c>
      <c r="E312" s="188">
        <v>40059</v>
      </c>
      <c r="F312" s="188">
        <v>40100</v>
      </c>
      <c r="G312" s="188">
        <v>40106</v>
      </c>
    </row>
    <row r="313" spans="2:7" x14ac:dyDescent="0.2">
      <c r="B313" s="186">
        <v>309</v>
      </c>
      <c r="C313" s="187" t="s">
        <v>32</v>
      </c>
      <c r="D313" s="187" t="s">
        <v>0</v>
      </c>
      <c r="E313" s="188">
        <v>40059</v>
      </c>
      <c r="F313" s="188">
        <v>40071</v>
      </c>
      <c r="G313" s="188">
        <v>40077</v>
      </c>
    </row>
    <row r="314" spans="2:7" x14ac:dyDescent="0.2">
      <c r="B314" s="186">
        <v>310</v>
      </c>
      <c r="C314" s="187" t="s">
        <v>1</v>
      </c>
      <c r="D314" s="187" t="s">
        <v>34</v>
      </c>
      <c r="E314" s="188">
        <v>40061</v>
      </c>
      <c r="F314" s="188">
        <v>40082</v>
      </c>
      <c r="G314" s="188">
        <v>40083</v>
      </c>
    </row>
    <row r="315" spans="2:7" x14ac:dyDescent="0.2">
      <c r="B315" s="186">
        <v>311</v>
      </c>
      <c r="C315" s="187" t="s">
        <v>31</v>
      </c>
      <c r="D315" s="187" t="s">
        <v>34</v>
      </c>
      <c r="E315" s="188">
        <v>40061</v>
      </c>
      <c r="F315" s="188">
        <v>40074</v>
      </c>
      <c r="G315" s="188">
        <v>40079</v>
      </c>
    </row>
    <row r="316" spans="2:7" x14ac:dyDescent="0.2">
      <c r="B316" s="186">
        <v>312</v>
      </c>
      <c r="C316" s="187" t="s">
        <v>1</v>
      </c>
      <c r="D316" s="187" t="s">
        <v>0</v>
      </c>
      <c r="E316" s="188">
        <v>40062</v>
      </c>
      <c r="F316" s="188">
        <v>40070</v>
      </c>
      <c r="G316" s="188">
        <v>40079</v>
      </c>
    </row>
    <row r="317" spans="2:7" x14ac:dyDescent="0.2">
      <c r="B317" s="186">
        <v>313</v>
      </c>
      <c r="C317" s="187" t="s">
        <v>1</v>
      </c>
      <c r="D317" s="187" t="s">
        <v>34</v>
      </c>
      <c r="E317" s="188">
        <v>40064</v>
      </c>
      <c r="F317" s="188">
        <v>40067</v>
      </c>
      <c r="G317" s="188">
        <v>40079</v>
      </c>
    </row>
    <row r="318" spans="2:7" x14ac:dyDescent="0.2">
      <c r="B318" s="186">
        <v>314</v>
      </c>
      <c r="C318" s="187" t="s">
        <v>1</v>
      </c>
      <c r="D318" s="187" t="s">
        <v>34</v>
      </c>
      <c r="E318" s="188">
        <v>40064</v>
      </c>
      <c r="F318" s="188">
        <v>40067</v>
      </c>
      <c r="G318" s="188">
        <v>40067</v>
      </c>
    </row>
    <row r="319" spans="2:7" x14ac:dyDescent="0.2">
      <c r="B319" s="186">
        <v>315</v>
      </c>
      <c r="C319" s="187" t="s">
        <v>1</v>
      </c>
      <c r="D319" s="187" t="s">
        <v>34</v>
      </c>
      <c r="E319" s="188">
        <v>40064</v>
      </c>
      <c r="F319" s="188">
        <v>40074</v>
      </c>
      <c r="G319" s="188">
        <v>40080</v>
      </c>
    </row>
    <row r="320" spans="2:7" x14ac:dyDescent="0.2">
      <c r="B320" s="186">
        <v>316</v>
      </c>
      <c r="C320" s="187" t="s">
        <v>31</v>
      </c>
      <c r="D320" s="187" t="s">
        <v>2</v>
      </c>
      <c r="E320" s="188">
        <v>40064</v>
      </c>
      <c r="F320" s="188">
        <v>40100</v>
      </c>
      <c r="G320" s="188">
        <v>40107</v>
      </c>
    </row>
    <row r="321" spans="2:7" x14ac:dyDescent="0.2">
      <c r="B321" s="186">
        <v>317</v>
      </c>
      <c r="C321" s="187" t="s">
        <v>31</v>
      </c>
      <c r="D321" s="187" t="s">
        <v>34</v>
      </c>
      <c r="E321" s="188">
        <v>40065</v>
      </c>
      <c r="F321" s="188">
        <v>40078</v>
      </c>
      <c r="G321" s="188">
        <v>40086</v>
      </c>
    </row>
    <row r="322" spans="2:7" x14ac:dyDescent="0.2">
      <c r="B322" s="186">
        <v>318</v>
      </c>
      <c r="C322" s="187" t="s">
        <v>32</v>
      </c>
      <c r="D322" s="187" t="s">
        <v>34</v>
      </c>
      <c r="E322" s="188">
        <v>40065</v>
      </c>
      <c r="F322" s="188">
        <v>40072</v>
      </c>
      <c r="G322" s="188">
        <v>40082</v>
      </c>
    </row>
    <row r="323" spans="2:7" x14ac:dyDescent="0.2">
      <c r="B323" s="186">
        <v>319</v>
      </c>
      <c r="C323" s="187" t="s">
        <v>31</v>
      </c>
      <c r="D323" s="187" t="s">
        <v>34</v>
      </c>
      <c r="E323" s="188">
        <v>40066</v>
      </c>
      <c r="F323" s="188">
        <v>40074</v>
      </c>
      <c r="G323" s="188">
        <v>40075</v>
      </c>
    </row>
    <row r="324" spans="2:7" x14ac:dyDescent="0.2">
      <c r="B324" s="186">
        <v>320</v>
      </c>
      <c r="C324" s="187" t="s">
        <v>31</v>
      </c>
      <c r="D324" s="187" t="s">
        <v>34</v>
      </c>
      <c r="E324" s="188">
        <v>40066</v>
      </c>
      <c r="F324" s="188">
        <v>40074</v>
      </c>
      <c r="G324" s="188">
        <v>40075</v>
      </c>
    </row>
    <row r="325" spans="2:7" x14ac:dyDescent="0.2">
      <c r="B325" s="186">
        <v>321</v>
      </c>
      <c r="C325" s="187" t="s">
        <v>1</v>
      </c>
      <c r="D325" s="187" t="s">
        <v>34</v>
      </c>
      <c r="E325" s="188">
        <v>40066</v>
      </c>
      <c r="F325" s="188">
        <v>40079</v>
      </c>
      <c r="G325" s="188">
        <v>40080</v>
      </c>
    </row>
    <row r="326" spans="2:7" x14ac:dyDescent="0.2">
      <c r="B326" s="186">
        <v>322</v>
      </c>
      <c r="C326" s="187" t="s">
        <v>31</v>
      </c>
      <c r="D326" s="187" t="s">
        <v>34</v>
      </c>
      <c r="E326" s="188">
        <v>40066</v>
      </c>
      <c r="F326" s="188">
        <v>40079</v>
      </c>
      <c r="G326" s="188">
        <v>40088</v>
      </c>
    </row>
    <row r="327" spans="2:7" x14ac:dyDescent="0.2">
      <c r="B327" s="186">
        <v>323</v>
      </c>
      <c r="C327" s="187" t="s">
        <v>31</v>
      </c>
      <c r="D327" s="187" t="s">
        <v>34</v>
      </c>
      <c r="E327" s="188">
        <v>40067</v>
      </c>
      <c r="F327" s="188">
        <v>40076</v>
      </c>
      <c r="G327" s="188">
        <v>40085</v>
      </c>
    </row>
    <row r="328" spans="2:7" x14ac:dyDescent="0.2">
      <c r="B328" s="186">
        <v>324</v>
      </c>
      <c r="C328" s="187" t="s">
        <v>1</v>
      </c>
      <c r="D328" s="187" t="s">
        <v>34</v>
      </c>
      <c r="E328" s="188">
        <v>40067</v>
      </c>
      <c r="F328" s="188">
        <v>40074</v>
      </c>
      <c r="G328" s="188">
        <v>40080</v>
      </c>
    </row>
    <row r="329" spans="2:7" x14ac:dyDescent="0.2">
      <c r="B329" s="186">
        <v>325</v>
      </c>
      <c r="C329" s="187" t="s">
        <v>1</v>
      </c>
      <c r="D329" s="187" t="s">
        <v>34</v>
      </c>
      <c r="E329" s="188">
        <v>40067</v>
      </c>
      <c r="F329" s="188">
        <v>40076</v>
      </c>
      <c r="G329" s="188">
        <v>40089</v>
      </c>
    </row>
    <row r="330" spans="2:7" x14ac:dyDescent="0.2">
      <c r="B330" s="186">
        <v>326</v>
      </c>
      <c r="C330" s="187" t="s">
        <v>1</v>
      </c>
      <c r="D330" s="187" t="s">
        <v>34</v>
      </c>
      <c r="E330" s="188">
        <v>40067</v>
      </c>
      <c r="F330" s="188">
        <v>40067</v>
      </c>
      <c r="G330" s="188">
        <v>40087</v>
      </c>
    </row>
    <row r="331" spans="2:7" x14ac:dyDescent="0.2">
      <c r="B331" s="186">
        <v>327</v>
      </c>
      <c r="C331" s="187" t="s">
        <v>1</v>
      </c>
      <c r="D331" s="187" t="s">
        <v>34</v>
      </c>
      <c r="E331" s="188">
        <v>40067</v>
      </c>
      <c r="F331" s="188">
        <v>40074</v>
      </c>
      <c r="G331" s="188">
        <v>40085</v>
      </c>
    </row>
    <row r="332" spans="2:7" x14ac:dyDescent="0.2">
      <c r="B332" s="186">
        <v>328</v>
      </c>
      <c r="C332" s="187" t="s">
        <v>31</v>
      </c>
      <c r="D332" s="187" t="s">
        <v>34</v>
      </c>
      <c r="E332" s="188">
        <v>40068</v>
      </c>
      <c r="F332" s="188">
        <v>40079</v>
      </c>
      <c r="G332" s="188">
        <v>40087</v>
      </c>
    </row>
    <row r="333" spans="2:7" x14ac:dyDescent="0.2">
      <c r="B333" s="186">
        <v>329</v>
      </c>
      <c r="C333" s="187" t="s">
        <v>31</v>
      </c>
      <c r="D333" s="187" t="s">
        <v>34</v>
      </c>
      <c r="E333" s="188">
        <v>40069</v>
      </c>
      <c r="F333" s="188">
        <v>40077</v>
      </c>
      <c r="G333" s="188">
        <v>40087</v>
      </c>
    </row>
    <row r="334" spans="2:7" x14ac:dyDescent="0.2">
      <c r="B334" s="186">
        <v>330</v>
      </c>
      <c r="C334" s="187" t="s">
        <v>31</v>
      </c>
      <c r="D334" s="187" t="s">
        <v>0</v>
      </c>
      <c r="E334" s="188">
        <v>40069</v>
      </c>
      <c r="F334" s="188">
        <v>40079</v>
      </c>
      <c r="G334" s="188">
        <v>40086</v>
      </c>
    </row>
    <row r="335" spans="2:7" x14ac:dyDescent="0.2">
      <c r="B335" s="186">
        <v>331</v>
      </c>
      <c r="C335" s="187" t="s">
        <v>32</v>
      </c>
      <c r="D335" s="187" t="s">
        <v>34</v>
      </c>
      <c r="E335" s="188">
        <v>40069</v>
      </c>
      <c r="F335" s="188">
        <v>40078</v>
      </c>
      <c r="G335" s="188">
        <v>40082</v>
      </c>
    </row>
    <row r="336" spans="2:7" x14ac:dyDescent="0.2">
      <c r="B336" s="186">
        <v>332</v>
      </c>
      <c r="C336" s="187" t="s">
        <v>32</v>
      </c>
      <c r="D336" s="187" t="s">
        <v>34</v>
      </c>
      <c r="E336" s="188">
        <v>40071</v>
      </c>
      <c r="F336" s="188">
        <v>40081</v>
      </c>
      <c r="G336" s="188">
        <v>40085</v>
      </c>
    </row>
    <row r="337" spans="2:7" x14ac:dyDescent="0.2">
      <c r="B337" s="186">
        <v>333</v>
      </c>
      <c r="C337" s="187" t="s">
        <v>1</v>
      </c>
      <c r="D337" s="187" t="s">
        <v>34</v>
      </c>
      <c r="E337" s="188">
        <v>40072</v>
      </c>
      <c r="F337" s="188">
        <v>40086</v>
      </c>
      <c r="G337" s="188">
        <v>40089</v>
      </c>
    </row>
    <row r="338" spans="2:7" x14ac:dyDescent="0.2">
      <c r="B338" s="186">
        <v>334</v>
      </c>
      <c r="C338" s="187" t="s">
        <v>31</v>
      </c>
      <c r="D338" s="187" t="s">
        <v>34</v>
      </c>
      <c r="E338" s="188">
        <v>40072</v>
      </c>
      <c r="F338" s="188">
        <v>40082</v>
      </c>
      <c r="G338" s="188">
        <v>40086</v>
      </c>
    </row>
    <row r="339" spans="2:7" x14ac:dyDescent="0.2">
      <c r="B339" s="186">
        <v>335</v>
      </c>
      <c r="C339" s="187" t="s">
        <v>1</v>
      </c>
      <c r="D339" s="187" t="s">
        <v>34</v>
      </c>
      <c r="E339" s="188">
        <v>40072</v>
      </c>
      <c r="F339" s="188">
        <v>40079</v>
      </c>
      <c r="G339" s="188">
        <v>40081</v>
      </c>
    </row>
    <row r="340" spans="2:7" x14ac:dyDescent="0.2">
      <c r="B340" s="186">
        <v>336</v>
      </c>
      <c r="C340" s="187" t="s">
        <v>1</v>
      </c>
      <c r="D340" s="187" t="s">
        <v>2</v>
      </c>
      <c r="E340" s="188">
        <v>40072</v>
      </c>
      <c r="F340" s="188">
        <v>40100</v>
      </c>
      <c r="G340" s="188">
        <v>40109</v>
      </c>
    </row>
    <row r="341" spans="2:7" x14ac:dyDescent="0.2">
      <c r="B341" s="186">
        <v>337</v>
      </c>
      <c r="C341" s="187" t="s">
        <v>31</v>
      </c>
      <c r="D341" s="187" t="s">
        <v>2</v>
      </c>
      <c r="E341" s="188">
        <v>40072</v>
      </c>
      <c r="F341" s="188">
        <v>40100</v>
      </c>
      <c r="G341" s="188">
        <v>40106</v>
      </c>
    </row>
    <row r="342" spans="2:7" x14ac:dyDescent="0.2">
      <c r="B342" s="186">
        <v>338</v>
      </c>
      <c r="C342" s="187" t="s">
        <v>31</v>
      </c>
      <c r="D342" s="187" t="s">
        <v>34</v>
      </c>
      <c r="E342" s="188">
        <v>40073</v>
      </c>
      <c r="F342" s="188">
        <v>40082</v>
      </c>
      <c r="G342" s="188">
        <v>40086</v>
      </c>
    </row>
    <row r="343" spans="2:7" x14ac:dyDescent="0.2">
      <c r="B343" s="186">
        <v>339</v>
      </c>
      <c r="C343" s="187" t="s">
        <v>31</v>
      </c>
      <c r="D343" s="187" t="s">
        <v>34</v>
      </c>
      <c r="E343" s="188">
        <v>40073</v>
      </c>
      <c r="F343" s="188">
        <v>40079</v>
      </c>
      <c r="G343" s="188">
        <v>40079</v>
      </c>
    </row>
    <row r="344" spans="2:7" x14ac:dyDescent="0.2">
      <c r="B344" s="186">
        <v>340</v>
      </c>
      <c r="C344" s="187" t="s">
        <v>31</v>
      </c>
      <c r="D344" s="187" t="s">
        <v>34</v>
      </c>
      <c r="E344" s="188">
        <v>40074</v>
      </c>
      <c r="F344" s="188">
        <v>40100</v>
      </c>
      <c r="G344" s="188">
        <v>40103</v>
      </c>
    </row>
    <row r="345" spans="2:7" x14ac:dyDescent="0.2">
      <c r="B345" s="186">
        <v>341</v>
      </c>
      <c r="C345" s="187" t="s">
        <v>1</v>
      </c>
      <c r="D345" s="187" t="s">
        <v>34</v>
      </c>
      <c r="E345" s="188">
        <v>40074</v>
      </c>
      <c r="F345" s="188">
        <v>40081</v>
      </c>
      <c r="G345" s="188">
        <v>40082</v>
      </c>
    </row>
    <row r="346" spans="2:7" x14ac:dyDescent="0.2">
      <c r="B346" s="186">
        <v>342</v>
      </c>
      <c r="C346" s="187" t="s">
        <v>1</v>
      </c>
      <c r="D346" s="187" t="s">
        <v>0</v>
      </c>
      <c r="E346" s="188">
        <v>40075</v>
      </c>
      <c r="F346" s="188">
        <v>40085</v>
      </c>
      <c r="G346" s="188">
        <v>40091</v>
      </c>
    </row>
    <row r="347" spans="2:7" x14ac:dyDescent="0.2">
      <c r="B347" s="186">
        <v>343</v>
      </c>
      <c r="C347" s="187" t="s">
        <v>1</v>
      </c>
      <c r="D347" s="187" t="s">
        <v>34</v>
      </c>
      <c r="E347" s="188">
        <v>40075</v>
      </c>
      <c r="F347" s="188">
        <v>40082</v>
      </c>
      <c r="G347" s="188">
        <v>40088</v>
      </c>
    </row>
    <row r="348" spans="2:7" x14ac:dyDescent="0.2">
      <c r="B348" s="186">
        <v>344</v>
      </c>
      <c r="C348" s="187" t="s">
        <v>31</v>
      </c>
      <c r="D348" s="187" t="s">
        <v>2</v>
      </c>
      <c r="E348" s="188">
        <v>40075</v>
      </c>
      <c r="F348" s="188">
        <v>40100</v>
      </c>
      <c r="G348" s="188">
        <v>40109</v>
      </c>
    </row>
    <row r="349" spans="2:7" x14ac:dyDescent="0.2">
      <c r="B349" s="186">
        <v>345</v>
      </c>
      <c r="C349" s="187" t="s">
        <v>1</v>
      </c>
      <c r="D349" s="187" t="s">
        <v>2</v>
      </c>
      <c r="E349" s="188">
        <v>40075</v>
      </c>
      <c r="F349" s="188">
        <v>40100</v>
      </c>
      <c r="G349" s="188">
        <v>40105</v>
      </c>
    </row>
    <row r="350" spans="2:7" x14ac:dyDescent="0.2">
      <c r="B350" s="186">
        <v>346</v>
      </c>
      <c r="C350" s="187" t="s">
        <v>31</v>
      </c>
      <c r="D350" s="187" t="s">
        <v>34</v>
      </c>
      <c r="E350" s="188">
        <v>40076</v>
      </c>
      <c r="F350" s="188">
        <v>40082</v>
      </c>
      <c r="G350" s="188">
        <v>40083</v>
      </c>
    </row>
    <row r="351" spans="2:7" x14ac:dyDescent="0.2">
      <c r="B351" s="186">
        <v>347</v>
      </c>
      <c r="C351" s="187" t="s">
        <v>1</v>
      </c>
      <c r="D351" s="187" t="s">
        <v>34</v>
      </c>
      <c r="E351" s="188">
        <v>40078</v>
      </c>
      <c r="F351" s="188">
        <v>40081</v>
      </c>
      <c r="G351" s="188">
        <v>40089</v>
      </c>
    </row>
    <row r="352" spans="2:7" x14ac:dyDescent="0.2">
      <c r="B352" s="186">
        <v>348</v>
      </c>
      <c r="C352" s="187" t="s">
        <v>1</v>
      </c>
      <c r="D352" s="187" t="s">
        <v>34</v>
      </c>
      <c r="E352" s="188">
        <v>40079</v>
      </c>
      <c r="F352" s="188">
        <v>40082</v>
      </c>
      <c r="G352" s="188">
        <v>40086</v>
      </c>
    </row>
    <row r="353" spans="2:7" x14ac:dyDescent="0.2">
      <c r="B353" s="186">
        <v>349</v>
      </c>
      <c r="C353" s="187" t="s">
        <v>1</v>
      </c>
      <c r="D353" s="187" t="s">
        <v>34</v>
      </c>
      <c r="E353" s="188">
        <v>40080</v>
      </c>
      <c r="F353" s="188">
        <v>40080</v>
      </c>
      <c r="G353" s="188">
        <v>40080</v>
      </c>
    </row>
    <row r="354" spans="2:7" x14ac:dyDescent="0.2">
      <c r="B354" s="186">
        <v>350</v>
      </c>
      <c r="C354" s="187" t="s">
        <v>31</v>
      </c>
      <c r="D354" s="187" t="s">
        <v>34</v>
      </c>
      <c r="E354" s="188">
        <v>40081</v>
      </c>
      <c r="F354" s="188">
        <v>40086</v>
      </c>
      <c r="G354" s="188">
        <v>40089</v>
      </c>
    </row>
    <row r="355" spans="2:7" x14ac:dyDescent="0.2">
      <c r="B355" s="186">
        <v>351</v>
      </c>
      <c r="C355" s="187" t="s">
        <v>32</v>
      </c>
      <c r="D355" s="187" t="s">
        <v>34</v>
      </c>
      <c r="E355" s="188">
        <v>40081</v>
      </c>
      <c r="F355" s="188">
        <v>40082</v>
      </c>
      <c r="G355" s="188">
        <v>40085</v>
      </c>
    </row>
    <row r="356" spans="2:7" x14ac:dyDescent="0.2">
      <c r="B356" s="186">
        <v>352</v>
      </c>
      <c r="C356" s="187" t="s">
        <v>31</v>
      </c>
      <c r="D356" s="187" t="s">
        <v>2</v>
      </c>
      <c r="E356" s="188">
        <v>40081</v>
      </c>
      <c r="F356" s="188">
        <v>40100</v>
      </c>
      <c r="G356" s="188">
        <v>40108</v>
      </c>
    </row>
    <row r="357" spans="2:7" x14ac:dyDescent="0.2">
      <c r="B357" s="186">
        <v>353</v>
      </c>
      <c r="C357" s="187" t="s">
        <v>31</v>
      </c>
      <c r="D357" s="187" t="s">
        <v>2</v>
      </c>
      <c r="E357" s="188">
        <v>40081</v>
      </c>
      <c r="F357" s="188">
        <v>40100</v>
      </c>
      <c r="G357" s="188">
        <v>40105</v>
      </c>
    </row>
    <row r="358" spans="2:7" x14ac:dyDescent="0.2">
      <c r="B358" s="186">
        <v>354</v>
      </c>
      <c r="C358" s="187" t="s">
        <v>1</v>
      </c>
      <c r="D358" s="187" t="s">
        <v>34</v>
      </c>
      <c r="E358" s="188">
        <v>40082</v>
      </c>
      <c r="F358" s="188">
        <v>40101</v>
      </c>
      <c r="G358" s="188">
        <v>40106</v>
      </c>
    </row>
    <row r="359" spans="2:7" x14ac:dyDescent="0.2">
      <c r="B359" s="186">
        <v>355</v>
      </c>
      <c r="C359" s="187" t="s">
        <v>31</v>
      </c>
      <c r="D359" s="187" t="s">
        <v>2</v>
      </c>
      <c r="E359" s="188">
        <v>40082</v>
      </c>
      <c r="F359" s="188">
        <v>40100</v>
      </c>
      <c r="G359" s="188">
        <v>40105</v>
      </c>
    </row>
    <row r="360" spans="2:7" x14ac:dyDescent="0.2">
      <c r="B360" s="186">
        <v>356</v>
      </c>
      <c r="C360" s="187" t="s">
        <v>31</v>
      </c>
      <c r="D360" s="187" t="s">
        <v>34</v>
      </c>
      <c r="E360" s="188">
        <v>40085</v>
      </c>
      <c r="F360" s="188">
        <v>40100</v>
      </c>
      <c r="G360" s="188">
        <v>40114</v>
      </c>
    </row>
    <row r="361" spans="2:7" x14ac:dyDescent="0.2">
      <c r="B361" s="186">
        <v>357</v>
      </c>
      <c r="C361" s="187" t="s">
        <v>31</v>
      </c>
      <c r="D361" s="187" t="s">
        <v>34</v>
      </c>
      <c r="E361" s="188">
        <v>40086</v>
      </c>
      <c r="F361" s="188">
        <v>40100</v>
      </c>
      <c r="G361" s="188">
        <v>40103</v>
      </c>
    </row>
    <row r="362" spans="2:7" x14ac:dyDescent="0.2">
      <c r="B362" s="186">
        <v>358</v>
      </c>
      <c r="C362" s="187" t="s">
        <v>1</v>
      </c>
      <c r="D362" s="187" t="s">
        <v>2</v>
      </c>
      <c r="E362" s="188">
        <v>40086</v>
      </c>
      <c r="F362" s="188">
        <v>40100</v>
      </c>
      <c r="G362" s="188">
        <v>40106</v>
      </c>
    </row>
    <row r="363" spans="2:7" x14ac:dyDescent="0.2">
      <c r="B363" s="186">
        <v>359</v>
      </c>
      <c r="C363" s="187" t="s">
        <v>1</v>
      </c>
      <c r="D363" s="187" t="s">
        <v>34</v>
      </c>
      <c r="E363" s="188">
        <v>40087</v>
      </c>
      <c r="F363" s="188">
        <v>40100</v>
      </c>
      <c r="G363" s="188">
        <v>40103</v>
      </c>
    </row>
    <row r="364" spans="2:7" x14ac:dyDescent="0.2">
      <c r="B364" s="186">
        <v>360</v>
      </c>
      <c r="C364" s="187" t="s">
        <v>32</v>
      </c>
      <c r="D364" s="187" t="s">
        <v>34</v>
      </c>
      <c r="E364" s="188">
        <v>40088</v>
      </c>
      <c r="F364" s="188">
        <v>40107</v>
      </c>
      <c r="G364" s="188">
        <v>40108</v>
      </c>
    </row>
    <row r="365" spans="2:7" x14ac:dyDescent="0.2">
      <c r="B365" s="186">
        <v>361</v>
      </c>
      <c r="C365" s="187" t="s">
        <v>31</v>
      </c>
      <c r="D365" s="187" t="s">
        <v>2</v>
      </c>
      <c r="E365" s="188">
        <v>40088</v>
      </c>
      <c r="F365" s="188">
        <v>40109</v>
      </c>
      <c r="G365" s="188">
        <v>40115</v>
      </c>
    </row>
    <row r="366" spans="2:7" x14ac:dyDescent="0.2">
      <c r="B366" s="186">
        <v>362</v>
      </c>
      <c r="C366" s="187" t="s">
        <v>31</v>
      </c>
      <c r="D366" s="187" t="s">
        <v>2</v>
      </c>
      <c r="E366" s="188">
        <v>40088</v>
      </c>
      <c r="F366" s="188">
        <v>40109</v>
      </c>
      <c r="G366" s="188">
        <v>40115</v>
      </c>
    </row>
    <row r="367" spans="2:7" x14ac:dyDescent="0.2">
      <c r="B367" s="186">
        <v>363</v>
      </c>
      <c r="C367" s="187" t="s">
        <v>1</v>
      </c>
      <c r="D367" s="187" t="s">
        <v>2</v>
      </c>
      <c r="E367" s="188">
        <v>40088</v>
      </c>
      <c r="F367" s="188">
        <v>40103</v>
      </c>
      <c r="G367" s="188">
        <v>40113</v>
      </c>
    </row>
    <row r="368" spans="2:7" x14ac:dyDescent="0.2">
      <c r="B368" s="186">
        <v>364</v>
      </c>
      <c r="C368" s="187" t="s">
        <v>1</v>
      </c>
      <c r="D368" s="187" t="s">
        <v>2</v>
      </c>
      <c r="E368" s="188">
        <v>40088</v>
      </c>
      <c r="F368" s="188">
        <v>40101</v>
      </c>
      <c r="G368" s="188">
        <v>40108</v>
      </c>
    </row>
    <row r="369" spans="2:7" x14ac:dyDescent="0.2">
      <c r="B369" s="186">
        <v>365</v>
      </c>
      <c r="C369" s="187" t="s">
        <v>31</v>
      </c>
      <c r="D369" s="187" t="s">
        <v>34</v>
      </c>
      <c r="E369" s="188">
        <v>40088</v>
      </c>
      <c r="F369" s="188">
        <v>40090</v>
      </c>
      <c r="G369" s="188">
        <v>40095</v>
      </c>
    </row>
    <row r="370" spans="2:7" x14ac:dyDescent="0.2">
      <c r="B370" s="186">
        <v>366</v>
      </c>
      <c r="C370" s="187" t="s">
        <v>1</v>
      </c>
      <c r="D370" s="187" t="s">
        <v>2</v>
      </c>
      <c r="E370" s="188">
        <v>40089</v>
      </c>
      <c r="F370" s="188">
        <v>40100</v>
      </c>
      <c r="G370" s="188">
        <v>40110</v>
      </c>
    </row>
    <row r="371" spans="2:7" x14ac:dyDescent="0.2">
      <c r="B371" s="186">
        <v>367</v>
      </c>
      <c r="C371" s="187" t="s">
        <v>1</v>
      </c>
      <c r="D371" s="187" t="s">
        <v>2</v>
      </c>
      <c r="E371" s="188">
        <v>40089</v>
      </c>
      <c r="F371" s="188">
        <v>40100</v>
      </c>
      <c r="G371" s="188">
        <v>40107</v>
      </c>
    </row>
    <row r="372" spans="2:7" x14ac:dyDescent="0.2">
      <c r="B372" s="186">
        <v>368</v>
      </c>
      <c r="C372" s="187" t="s">
        <v>1</v>
      </c>
      <c r="D372" s="187" t="s">
        <v>2</v>
      </c>
      <c r="E372" s="188">
        <v>40089</v>
      </c>
      <c r="F372" s="188">
        <v>40089</v>
      </c>
      <c r="G372" s="188">
        <v>40097</v>
      </c>
    </row>
    <row r="373" spans="2:7" x14ac:dyDescent="0.2">
      <c r="B373" s="186">
        <v>369</v>
      </c>
      <c r="C373" s="187" t="s">
        <v>32</v>
      </c>
      <c r="D373" s="187" t="s">
        <v>0</v>
      </c>
      <c r="E373" s="188">
        <v>40092</v>
      </c>
      <c r="F373" s="188">
        <v>40101</v>
      </c>
      <c r="G373" s="188">
        <v>40106</v>
      </c>
    </row>
    <row r="374" spans="2:7" x14ac:dyDescent="0.2">
      <c r="B374" s="186">
        <v>370</v>
      </c>
      <c r="C374" s="187" t="s">
        <v>31</v>
      </c>
      <c r="D374" s="187" t="s">
        <v>34</v>
      </c>
      <c r="E374" s="188">
        <v>40094</v>
      </c>
      <c r="F374" s="188">
        <v>40106</v>
      </c>
      <c r="G374" s="188">
        <v>40120</v>
      </c>
    </row>
    <row r="375" spans="2:7" x14ac:dyDescent="0.2">
      <c r="B375" s="186">
        <v>371</v>
      </c>
      <c r="C375" s="187" t="s">
        <v>31</v>
      </c>
      <c r="D375" s="187" t="s">
        <v>2</v>
      </c>
      <c r="E375" s="188">
        <v>40094</v>
      </c>
      <c r="F375" s="188">
        <v>40106</v>
      </c>
      <c r="G375" s="188">
        <v>40111</v>
      </c>
    </row>
    <row r="376" spans="2:7" x14ac:dyDescent="0.2">
      <c r="B376" s="186">
        <v>372</v>
      </c>
      <c r="C376" s="187" t="s">
        <v>1</v>
      </c>
      <c r="D376" s="187" t="s">
        <v>2</v>
      </c>
      <c r="E376" s="188">
        <v>40095</v>
      </c>
      <c r="F376" s="188">
        <v>40110</v>
      </c>
      <c r="G376" s="188">
        <v>40118</v>
      </c>
    </row>
    <row r="377" spans="2:7" x14ac:dyDescent="0.2">
      <c r="B377" s="186">
        <v>373</v>
      </c>
      <c r="C377" s="187" t="s">
        <v>1</v>
      </c>
      <c r="D377" s="187" t="s">
        <v>2</v>
      </c>
      <c r="E377" s="188">
        <v>40095</v>
      </c>
      <c r="F377" s="188">
        <v>40106</v>
      </c>
      <c r="G377" s="188">
        <v>40116</v>
      </c>
    </row>
    <row r="378" spans="2:7" x14ac:dyDescent="0.2">
      <c r="B378" s="186">
        <v>374</v>
      </c>
      <c r="C378" s="187" t="s">
        <v>31</v>
      </c>
      <c r="D378" s="187" t="s">
        <v>34</v>
      </c>
      <c r="E378" s="188">
        <v>40095</v>
      </c>
      <c r="F378" s="188">
        <v>40107</v>
      </c>
      <c r="G378" s="188">
        <v>40108</v>
      </c>
    </row>
    <row r="379" spans="2:7" x14ac:dyDescent="0.2">
      <c r="B379" s="186">
        <v>375</v>
      </c>
      <c r="C379" s="187" t="s">
        <v>32</v>
      </c>
      <c r="D379" s="187" t="s">
        <v>2</v>
      </c>
      <c r="E379" s="188">
        <v>40099</v>
      </c>
      <c r="F379" s="188">
        <v>40110</v>
      </c>
      <c r="G379" s="188">
        <v>40118</v>
      </c>
    </row>
    <row r="380" spans="2:7" x14ac:dyDescent="0.2">
      <c r="B380" s="186">
        <v>376</v>
      </c>
      <c r="C380" s="187" t="s">
        <v>1</v>
      </c>
      <c r="D380" s="187" t="s">
        <v>2</v>
      </c>
      <c r="E380" s="188">
        <v>40099</v>
      </c>
      <c r="F380" s="188">
        <v>40109</v>
      </c>
      <c r="G380" s="188">
        <v>40115</v>
      </c>
    </row>
    <row r="381" spans="2:7" x14ac:dyDescent="0.2">
      <c r="B381" s="186">
        <v>377</v>
      </c>
      <c r="C381" s="187" t="s">
        <v>1</v>
      </c>
      <c r="D381" s="187" t="s">
        <v>34</v>
      </c>
      <c r="E381" s="188">
        <v>40101</v>
      </c>
      <c r="F381" s="188">
        <v>40107</v>
      </c>
      <c r="G381" s="188">
        <v>40108</v>
      </c>
    </row>
    <row r="382" spans="2:7" x14ac:dyDescent="0.2">
      <c r="B382" s="186">
        <v>378</v>
      </c>
      <c r="C382" s="187" t="s">
        <v>31</v>
      </c>
      <c r="D382" s="187" t="s">
        <v>0</v>
      </c>
      <c r="E382" s="188">
        <v>40102</v>
      </c>
      <c r="F382" s="188">
        <v>40109</v>
      </c>
      <c r="G382" s="188">
        <v>40114</v>
      </c>
    </row>
    <row r="383" spans="2:7" x14ac:dyDescent="0.2">
      <c r="B383" s="186">
        <v>379</v>
      </c>
      <c r="C383" s="187" t="s">
        <v>31</v>
      </c>
      <c r="D383" s="187" t="s">
        <v>0</v>
      </c>
      <c r="E383" s="188">
        <v>40102</v>
      </c>
      <c r="F383" s="188">
        <v>40110</v>
      </c>
      <c r="G383" s="188">
        <v>40119</v>
      </c>
    </row>
    <row r="384" spans="2:7" x14ac:dyDescent="0.2">
      <c r="B384" s="186">
        <v>380</v>
      </c>
      <c r="C384" s="187" t="s">
        <v>1</v>
      </c>
      <c r="D384" s="187" t="s">
        <v>34</v>
      </c>
      <c r="E384" s="188">
        <v>40106</v>
      </c>
      <c r="F384" s="188">
        <v>40109</v>
      </c>
      <c r="G384" s="188">
        <v>40116</v>
      </c>
    </row>
    <row r="385" spans="2:7" x14ac:dyDescent="0.2">
      <c r="B385" s="186">
        <v>381</v>
      </c>
      <c r="C385" s="187" t="s">
        <v>32</v>
      </c>
      <c r="D385" s="187" t="s">
        <v>0</v>
      </c>
      <c r="E385" s="188">
        <v>40106</v>
      </c>
      <c r="F385" s="188">
        <v>40115</v>
      </c>
      <c r="G385" s="188">
        <v>40125</v>
      </c>
    </row>
    <row r="386" spans="2:7" x14ac:dyDescent="0.2">
      <c r="B386" s="186">
        <v>382</v>
      </c>
      <c r="C386" s="187" t="s">
        <v>31</v>
      </c>
      <c r="D386" s="187" t="s">
        <v>0</v>
      </c>
      <c r="E386" s="188">
        <v>40107</v>
      </c>
      <c r="F386" s="188">
        <v>40118</v>
      </c>
      <c r="G386" s="188">
        <v>40125</v>
      </c>
    </row>
    <row r="387" spans="2:7" x14ac:dyDescent="0.2">
      <c r="B387" s="186">
        <v>383</v>
      </c>
      <c r="C387" s="187" t="s">
        <v>1</v>
      </c>
      <c r="D387" s="187" t="s">
        <v>0</v>
      </c>
      <c r="E387" s="188">
        <v>40107</v>
      </c>
      <c r="F387" s="188">
        <v>40118</v>
      </c>
      <c r="G387" s="188">
        <v>40127</v>
      </c>
    </row>
    <row r="388" spans="2:7" x14ac:dyDescent="0.2">
      <c r="B388" s="186">
        <v>384</v>
      </c>
      <c r="C388" s="187" t="s">
        <v>31</v>
      </c>
      <c r="D388" s="187" t="s">
        <v>34</v>
      </c>
      <c r="E388" s="188">
        <v>40107</v>
      </c>
      <c r="F388" s="188">
        <v>40108</v>
      </c>
      <c r="G388" s="188">
        <v>40114</v>
      </c>
    </row>
    <row r="389" spans="2:7" x14ac:dyDescent="0.2">
      <c r="B389" s="186">
        <v>385</v>
      </c>
      <c r="C389" s="187" t="s">
        <v>31</v>
      </c>
      <c r="D389" s="187" t="s">
        <v>0</v>
      </c>
      <c r="E389" s="188">
        <v>40108</v>
      </c>
      <c r="F389" s="188">
        <v>40119</v>
      </c>
      <c r="G389" s="188">
        <v>40125</v>
      </c>
    </row>
    <row r="390" spans="2:7" x14ac:dyDescent="0.2">
      <c r="B390" s="186">
        <v>386</v>
      </c>
      <c r="C390" s="187" t="s">
        <v>1</v>
      </c>
      <c r="D390" s="187" t="s">
        <v>0</v>
      </c>
      <c r="E390" s="188">
        <v>40109</v>
      </c>
      <c r="F390" s="188">
        <v>40116</v>
      </c>
      <c r="G390" s="188">
        <v>40121</v>
      </c>
    </row>
    <row r="391" spans="2:7" x14ac:dyDescent="0.2">
      <c r="B391" s="186">
        <v>387</v>
      </c>
      <c r="C391" s="187" t="s">
        <v>1</v>
      </c>
      <c r="D391" s="187" t="s">
        <v>0</v>
      </c>
      <c r="E391" s="188">
        <v>40109</v>
      </c>
      <c r="F391" s="188">
        <v>40116</v>
      </c>
      <c r="G391" s="188">
        <v>40126</v>
      </c>
    </row>
    <row r="392" spans="2:7" x14ac:dyDescent="0.2">
      <c r="B392" s="186">
        <v>388</v>
      </c>
      <c r="C392" s="187" t="s">
        <v>31</v>
      </c>
      <c r="D392" s="187" t="s">
        <v>0</v>
      </c>
      <c r="E392" s="188">
        <v>40110</v>
      </c>
      <c r="F392" s="188">
        <v>40117</v>
      </c>
      <c r="G392" s="188">
        <v>40127</v>
      </c>
    </row>
    <row r="393" spans="2:7" x14ac:dyDescent="0.2">
      <c r="B393" s="186">
        <v>389</v>
      </c>
      <c r="C393" s="187" t="s">
        <v>31</v>
      </c>
      <c r="D393" s="187" t="s">
        <v>0</v>
      </c>
      <c r="E393" s="188">
        <v>40110</v>
      </c>
      <c r="F393" s="188">
        <v>40058</v>
      </c>
      <c r="G393" s="188">
        <v>40065</v>
      </c>
    </row>
    <row r="394" spans="2:7" x14ac:dyDescent="0.2">
      <c r="B394" s="186">
        <v>390</v>
      </c>
      <c r="C394" s="187" t="s">
        <v>31</v>
      </c>
      <c r="D394" s="187" t="s">
        <v>2</v>
      </c>
      <c r="E394" s="188">
        <v>40113</v>
      </c>
      <c r="F394" s="188">
        <v>40120</v>
      </c>
      <c r="G394" s="188">
        <v>40130</v>
      </c>
    </row>
    <row r="395" spans="2:7" x14ac:dyDescent="0.2">
      <c r="B395" s="186">
        <v>391</v>
      </c>
      <c r="C395" s="187" t="s">
        <v>31</v>
      </c>
      <c r="D395" s="187" t="s">
        <v>0</v>
      </c>
      <c r="E395" s="188">
        <v>40113</v>
      </c>
      <c r="F395" s="188">
        <v>40125</v>
      </c>
      <c r="G395" s="188">
        <v>40130</v>
      </c>
    </row>
    <row r="396" spans="2:7" x14ac:dyDescent="0.2">
      <c r="B396" s="186">
        <v>392</v>
      </c>
      <c r="C396" s="187" t="s">
        <v>31</v>
      </c>
      <c r="D396" s="187" t="s">
        <v>0</v>
      </c>
      <c r="E396" s="188">
        <v>40114</v>
      </c>
      <c r="F396" s="188">
        <v>40126</v>
      </c>
      <c r="G396" s="188">
        <v>40134</v>
      </c>
    </row>
    <row r="397" spans="2:7" x14ac:dyDescent="0.2">
      <c r="B397" s="186">
        <v>393</v>
      </c>
      <c r="C397" s="187" t="s">
        <v>1</v>
      </c>
      <c r="D397" s="187" t="s">
        <v>0</v>
      </c>
      <c r="E397" s="188">
        <v>40114</v>
      </c>
      <c r="F397" s="188">
        <v>40125</v>
      </c>
      <c r="G397" s="188">
        <v>40135</v>
      </c>
    </row>
    <row r="398" spans="2:7" x14ac:dyDescent="0.2">
      <c r="B398" s="186">
        <v>394</v>
      </c>
      <c r="C398" s="187" t="s">
        <v>1</v>
      </c>
      <c r="D398" s="187" t="s">
        <v>2</v>
      </c>
      <c r="E398" s="188">
        <v>40114</v>
      </c>
      <c r="F398" s="188">
        <v>40114</v>
      </c>
      <c r="G398" s="188">
        <v>40121</v>
      </c>
    </row>
    <row r="399" spans="2:7" x14ac:dyDescent="0.2">
      <c r="B399" s="186">
        <v>395</v>
      </c>
      <c r="C399" s="187" t="s">
        <v>1</v>
      </c>
      <c r="D399" s="187" t="s">
        <v>0</v>
      </c>
      <c r="E399" s="188">
        <v>40114</v>
      </c>
      <c r="F399" s="188">
        <v>40124</v>
      </c>
      <c r="G399" s="188">
        <v>40133</v>
      </c>
    </row>
    <row r="400" spans="2:7" x14ac:dyDescent="0.2">
      <c r="B400" s="186">
        <v>396</v>
      </c>
      <c r="C400" s="187" t="s">
        <v>31</v>
      </c>
      <c r="D400" s="187" t="s">
        <v>34</v>
      </c>
      <c r="E400" s="188">
        <v>40114</v>
      </c>
      <c r="F400" s="188">
        <v>40116</v>
      </c>
      <c r="G400" s="188">
        <v>40116</v>
      </c>
    </row>
    <row r="401" spans="2:7" x14ac:dyDescent="0.2">
      <c r="B401" s="186">
        <v>397</v>
      </c>
      <c r="C401" s="187" t="s">
        <v>31</v>
      </c>
      <c r="D401" s="187" t="s">
        <v>0</v>
      </c>
      <c r="E401" s="188">
        <v>40114</v>
      </c>
      <c r="F401" s="188">
        <v>40124</v>
      </c>
      <c r="G401" s="188">
        <v>40130</v>
      </c>
    </row>
    <row r="402" spans="2:7" x14ac:dyDescent="0.2">
      <c r="B402" s="186">
        <v>398</v>
      </c>
      <c r="C402" s="187" t="s">
        <v>31</v>
      </c>
      <c r="D402" s="187" t="s">
        <v>0</v>
      </c>
      <c r="E402" s="188">
        <v>40114</v>
      </c>
      <c r="F402" s="188">
        <v>40124</v>
      </c>
      <c r="G402" s="188">
        <v>40130</v>
      </c>
    </row>
    <row r="403" spans="2:7" x14ac:dyDescent="0.2">
      <c r="B403" s="186">
        <v>399</v>
      </c>
      <c r="C403" s="187" t="s">
        <v>31</v>
      </c>
      <c r="D403" s="187" t="s">
        <v>0</v>
      </c>
      <c r="E403" s="188">
        <v>40116</v>
      </c>
      <c r="F403" s="188">
        <v>40102</v>
      </c>
      <c r="G403" s="188">
        <v>40110</v>
      </c>
    </row>
    <row r="404" spans="2:7" x14ac:dyDescent="0.2">
      <c r="B404" s="186">
        <v>400</v>
      </c>
      <c r="C404" s="187" t="s">
        <v>1</v>
      </c>
      <c r="D404" s="187" t="s">
        <v>0</v>
      </c>
      <c r="E404" s="188">
        <v>40116</v>
      </c>
      <c r="F404" s="188">
        <v>40127</v>
      </c>
      <c r="G404" s="188">
        <v>40134</v>
      </c>
    </row>
    <row r="405" spans="2:7" x14ac:dyDescent="0.2">
      <c r="B405" s="186">
        <v>401</v>
      </c>
      <c r="C405" s="187" t="s">
        <v>1</v>
      </c>
      <c r="D405" s="187" t="s">
        <v>0</v>
      </c>
      <c r="E405" s="188">
        <v>40116</v>
      </c>
      <c r="F405" s="188">
        <v>40126</v>
      </c>
      <c r="G405" s="188">
        <v>40135</v>
      </c>
    </row>
    <row r="406" spans="2:7" x14ac:dyDescent="0.2">
      <c r="B406" s="186">
        <v>402</v>
      </c>
      <c r="C406" s="187" t="s">
        <v>1</v>
      </c>
      <c r="D406" s="187" t="s">
        <v>0</v>
      </c>
      <c r="E406" s="188">
        <v>40120</v>
      </c>
      <c r="F406" s="188">
        <v>40130</v>
      </c>
      <c r="G406" s="188">
        <v>40139</v>
      </c>
    </row>
    <row r="407" spans="2:7" x14ac:dyDescent="0.2">
      <c r="B407" s="186">
        <v>403</v>
      </c>
      <c r="C407" s="187" t="s">
        <v>31</v>
      </c>
      <c r="D407" s="187" t="s">
        <v>0</v>
      </c>
      <c r="E407" s="188">
        <v>40120</v>
      </c>
      <c r="F407" s="188">
        <v>40132</v>
      </c>
      <c r="G407" s="188">
        <v>40142</v>
      </c>
    </row>
    <row r="408" spans="2:7" x14ac:dyDescent="0.2">
      <c r="B408" s="186">
        <v>404</v>
      </c>
      <c r="C408" s="187" t="s">
        <v>1</v>
      </c>
      <c r="D408" s="187" t="s">
        <v>0</v>
      </c>
      <c r="E408" s="188">
        <v>40120</v>
      </c>
      <c r="F408" s="188">
        <v>40131</v>
      </c>
      <c r="G408" s="188">
        <v>40140</v>
      </c>
    </row>
    <row r="409" spans="2:7" x14ac:dyDescent="0.2">
      <c r="B409" s="186">
        <v>405</v>
      </c>
      <c r="C409" s="187" t="s">
        <v>31</v>
      </c>
      <c r="D409" s="187" t="s">
        <v>0</v>
      </c>
      <c r="E409" s="188">
        <v>40120</v>
      </c>
      <c r="F409" s="188">
        <v>40130</v>
      </c>
      <c r="G409" s="188">
        <v>40137</v>
      </c>
    </row>
    <row r="410" spans="2:7" x14ac:dyDescent="0.2">
      <c r="B410" s="186">
        <v>406</v>
      </c>
      <c r="C410" s="187" t="s">
        <v>30</v>
      </c>
      <c r="D410" s="187" t="s">
        <v>0</v>
      </c>
      <c r="E410" s="188">
        <v>40120</v>
      </c>
      <c r="F410" s="188">
        <v>40131</v>
      </c>
      <c r="G410" s="188">
        <v>40139</v>
      </c>
    </row>
    <row r="411" spans="2:7" x14ac:dyDescent="0.2">
      <c r="B411" s="186">
        <v>407</v>
      </c>
      <c r="C411" s="187" t="s">
        <v>1</v>
      </c>
      <c r="D411" s="187" t="s">
        <v>0</v>
      </c>
      <c r="E411" s="188">
        <v>40120</v>
      </c>
      <c r="F411" s="188">
        <v>40129</v>
      </c>
      <c r="G411" s="188">
        <v>40138</v>
      </c>
    </row>
    <row r="412" spans="2:7" x14ac:dyDescent="0.2">
      <c r="B412" s="186">
        <v>408</v>
      </c>
      <c r="C412" s="187" t="s">
        <v>1</v>
      </c>
      <c r="D412" s="187" t="s">
        <v>0</v>
      </c>
      <c r="E412" s="188">
        <v>40120</v>
      </c>
      <c r="F412" s="188">
        <v>40127</v>
      </c>
      <c r="G412" s="188">
        <v>40132</v>
      </c>
    </row>
    <row r="413" spans="2:7" x14ac:dyDescent="0.2">
      <c r="B413" s="186">
        <v>409</v>
      </c>
      <c r="C413" s="187" t="s">
        <v>1</v>
      </c>
      <c r="D413" s="187" t="s">
        <v>0</v>
      </c>
      <c r="E413" s="188">
        <v>40120</v>
      </c>
      <c r="F413" s="188">
        <v>40128</v>
      </c>
      <c r="G413" s="188">
        <v>40135</v>
      </c>
    </row>
    <row r="414" spans="2:7" x14ac:dyDescent="0.2">
      <c r="B414" s="186">
        <v>410</v>
      </c>
      <c r="C414" s="187" t="s">
        <v>1</v>
      </c>
      <c r="D414" s="187" t="s">
        <v>0</v>
      </c>
      <c r="E414" s="188">
        <v>40120</v>
      </c>
      <c r="F414" s="188">
        <v>40127</v>
      </c>
      <c r="G414" s="188">
        <v>40134</v>
      </c>
    </row>
    <row r="415" spans="2:7" x14ac:dyDescent="0.2">
      <c r="B415" s="186">
        <v>411</v>
      </c>
      <c r="C415" s="187" t="s">
        <v>1</v>
      </c>
      <c r="D415" s="187" t="s">
        <v>0</v>
      </c>
      <c r="E415" s="188">
        <v>40120</v>
      </c>
      <c r="F415" s="188">
        <v>40132</v>
      </c>
      <c r="G415" s="188">
        <v>40138</v>
      </c>
    </row>
    <row r="416" spans="2:7" x14ac:dyDescent="0.2">
      <c r="B416" s="186">
        <v>412</v>
      </c>
      <c r="C416" s="187" t="s">
        <v>1</v>
      </c>
      <c r="D416" s="187" t="s">
        <v>0</v>
      </c>
      <c r="E416" s="188">
        <v>40120</v>
      </c>
      <c r="F416" s="188">
        <v>40128</v>
      </c>
      <c r="G416" s="188">
        <v>40134</v>
      </c>
    </row>
    <row r="417" spans="2:7" x14ac:dyDescent="0.2">
      <c r="B417" s="186">
        <v>413</v>
      </c>
      <c r="C417" s="187" t="s">
        <v>31</v>
      </c>
      <c r="D417" s="187" t="s">
        <v>0</v>
      </c>
      <c r="E417" s="188">
        <v>40120</v>
      </c>
      <c r="F417" s="188">
        <v>40130</v>
      </c>
      <c r="G417" s="188">
        <v>40138</v>
      </c>
    </row>
    <row r="418" spans="2:7" x14ac:dyDescent="0.2">
      <c r="B418" s="186">
        <v>414</v>
      </c>
      <c r="C418" s="187" t="s">
        <v>1</v>
      </c>
      <c r="D418" s="187" t="s">
        <v>0</v>
      </c>
      <c r="E418" s="188">
        <v>40121</v>
      </c>
      <c r="F418" s="188">
        <v>40133</v>
      </c>
      <c r="G418" s="188">
        <v>40143</v>
      </c>
    </row>
    <row r="419" spans="2:7" x14ac:dyDescent="0.2">
      <c r="B419" s="186">
        <v>415</v>
      </c>
      <c r="C419" s="187" t="s">
        <v>31</v>
      </c>
      <c r="D419" s="187" t="s">
        <v>0</v>
      </c>
      <c r="E419" s="188">
        <v>40121</v>
      </c>
      <c r="F419" s="188">
        <v>40129</v>
      </c>
      <c r="G419" s="188">
        <v>40138</v>
      </c>
    </row>
    <row r="420" spans="2:7" x14ac:dyDescent="0.2">
      <c r="B420" s="186"/>
      <c r="C420" s="187"/>
      <c r="D420" s="187"/>
      <c r="E420" s="188"/>
      <c r="F420" s="188"/>
      <c r="G420" s="188"/>
    </row>
    <row r="421" spans="2:7" x14ac:dyDescent="0.2">
      <c r="B421" s="186"/>
      <c r="C421" s="187"/>
      <c r="D421" s="187"/>
      <c r="E421" s="188"/>
      <c r="F421" s="188"/>
      <c r="G421" s="188"/>
    </row>
    <row r="422" spans="2:7" x14ac:dyDescent="0.2">
      <c r="B422" s="186"/>
      <c r="C422" s="187"/>
      <c r="D422" s="187"/>
      <c r="E422" s="188"/>
      <c r="F422" s="188"/>
      <c r="G422" s="188"/>
    </row>
    <row r="423" spans="2:7" x14ac:dyDescent="0.2">
      <c r="B423" s="186"/>
      <c r="C423" s="187"/>
      <c r="D423" s="187"/>
      <c r="E423" s="188"/>
      <c r="F423" s="188"/>
      <c r="G423" s="188"/>
    </row>
    <row r="424" spans="2:7" x14ac:dyDescent="0.2">
      <c r="B424" s="186"/>
      <c r="C424" s="187"/>
      <c r="D424" s="187"/>
      <c r="E424" s="188"/>
      <c r="F424" s="188"/>
      <c r="G424" s="188"/>
    </row>
    <row r="425" spans="2:7" x14ac:dyDescent="0.2">
      <c r="B425" s="186"/>
      <c r="C425" s="187"/>
      <c r="D425" s="187"/>
      <c r="E425" s="188"/>
      <c r="F425" s="188"/>
      <c r="G425" s="188"/>
    </row>
    <row r="426" spans="2:7" x14ac:dyDescent="0.2">
      <c r="B426" s="186"/>
      <c r="C426" s="187"/>
      <c r="D426" s="187"/>
      <c r="E426" s="188"/>
      <c r="F426" s="188"/>
      <c r="G426" s="188"/>
    </row>
    <row r="427" spans="2:7" x14ac:dyDescent="0.2">
      <c r="B427" s="186"/>
      <c r="C427" s="187"/>
      <c r="D427" s="187"/>
      <c r="E427" s="188"/>
      <c r="F427" s="188"/>
      <c r="G427" s="188"/>
    </row>
    <row r="428" spans="2:7" x14ac:dyDescent="0.2">
      <c r="B428" s="186"/>
      <c r="C428" s="187"/>
      <c r="D428" s="187"/>
      <c r="E428" s="188"/>
      <c r="F428" s="188"/>
      <c r="G428" s="188"/>
    </row>
    <row r="429" spans="2:7" x14ac:dyDescent="0.2">
      <c r="B429" s="186"/>
      <c r="C429" s="187"/>
      <c r="D429" s="187"/>
      <c r="E429" s="188"/>
      <c r="F429" s="188"/>
      <c r="G429" s="188"/>
    </row>
    <row r="430" spans="2:7" x14ac:dyDescent="0.2">
      <c r="B430" s="186"/>
      <c r="C430" s="187"/>
      <c r="D430" s="187"/>
      <c r="E430" s="188"/>
      <c r="F430" s="188"/>
      <c r="G430" s="188"/>
    </row>
    <row r="431" spans="2:7" x14ac:dyDescent="0.2">
      <c r="B431" s="186"/>
      <c r="C431" s="187"/>
      <c r="D431" s="187"/>
      <c r="E431" s="188"/>
      <c r="F431" s="188"/>
      <c r="G431" s="188"/>
    </row>
    <row r="432" spans="2:7" x14ac:dyDescent="0.2">
      <c r="B432" s="186"/>
      <c r="C432" s="187"/>
      <c r="D432" s="187"/>
      <c r="E432" s="188"/>
      <c r="F432" s="188"/>
      <c r="G432" s="188"/>
    </row>
    <row r="433" spans="2:7" x14ac:dyDescent="0.2">
      <c r="B433" s="186"/>
      <c r="C433" s="187"/>
      <c r="D433" s="187"/>
      <c r="E433" s="188"/>
      <c r="F433" s="188"/>
      <c r="G433" s="188"/>
    </row>
    <row r="434" spans="2:7" x14ac:dyDescent="0.2">
      <c r="B434" s="186"/>
      <c r="C434" s="187"/>
      <c r="D434" s="187"/>
      <c r="E434" s="188"/>
      <c r="F434" s="188"/>
      <c r="G434" s="188"/>
    </row>
    <row r="435" spans="2:7" x14ac:dyDescent="0.2">
      <c r="B435" s="186"/>
      <c r="C435" s="187"/>
      <c r="D435" s="187"/>
      <c r="E435" s="188"/>
      <c r="F435" s="188"/>
      <c r="G435" s="188"/>
    </row>
    <row r="436" spans="2:7" x14ac:dyDescent="0.2">
      <c r="B436" s="186"/>
      <c r="C436" s="187"/>
      <c r="D436" s="187"/>
      <c r="E436" s="188"/>
      <c r="F436" s="188"/>
      <c r="G436" s="188"/>
    </row>
    <row r="437" spans="2:7" x14ac:dyDescent="0.2">
      <c r="B437" s="186"/>
      <c r="C437" s="187"/>
      <c r="D437" s="187"/>
      <c r="E437" s="188"/>
      <c r="F437" s="188"/>
      <c r="G437" s="188"/>
    </row>
    <row r="438" spans="2:7" x14ac:dyDescent="0.2">
      <c r="B438" s="186"/>
      <c r="C438" s="187"/>
      <c r="D438" s="187"/>
      <c r="E438" s="188"/>
      <c r="F438" s="188"/>
      <c r="G438" s="188"/>
    </row>
    <row r="439" spans="2:7" x14ac:dyDescent="0.2">
      <c r="B439" s="186"/>
      <c r="C439" s="187"/>
      <c r="D439" s="187"/>
      <c r="E439" s="188"/>
      <c r="F439" s="188"/>
      <c r="G439" s="188"/>
    </row>
    <row r="440" spans="2:7" x14ac:dyDescent="0.2">
      <c r="B440" s="186"/>
      <c r="C440" s="187"/>
      <c r="D440" s="187"/>
      <c r="E440" s="188"/>
      <c r="F440" s="188"/>
      <c r="G440" s="188"/>
    </row>
    <row r="441" spans="2:7" x14ac:dyDescent="0.2">
      <c r="B441" s="186"/>
      <c r="C441" s="187"/>
      <c r="D441" s="187"/>
      <c r="E441" s="188"/>
      <c r="F441" s="188"/>
      <c r="G441" s="188"/>
    </row>
    <row r="442" spans="2:7" x14ac:dyDescent="0.2">
      <c r="B442" s="186"/>
      <c r="C442" s="187"/>
      <c r="D442" s="187"/>
      <c r="E442" s="188"/>
      <c r="F442" s="188"/>
      <c r="G442" s="188"/>
    </row>
    <row r="443" spans="2:7" x14ac:dyDescent="0.2">
      <c r="B443" s="186"/>
      <c r="C443" s="187"/>
      <c r="D443" s="187"/>
      <c r="E443" s="188"/>
      <c r="F443" s="188"/>
      <c r="G443" s="188"/>
    </row>
    <row r="444" spans="2:7" x14ac:dyDescent="0.2">
      <c r="B444" s="186"/>
      <c r="C444" s="187"/>
      <c r="D444" s="187"/>
      <c r="E444" s="188"/>
      <c r="F444" s="188"/>
      <c r="G444" s="188"/>
    </row>
    <row r="445" spans="2:7" x14ac:dyDescent="0.2">
      <c r="B445" s="186"/>
      <c r="C445" s="187"/>
      <c r="D445" s="187"/>
      <c r="E445" s="188"/>
      <c r="F445" s="188"/>
      <c r="G445" s="188"/>
    </row>
    <row r="446" spans="2:7" x14ac:dyDescent="0.2">
      <c r="B446" s="186"/>
      <c r="C446" s="187"/>
      <c r="D446" s="187"/>
      <c r="E446" s="188"/>
      <c r="F446" s="188"/>
      <c r="G446" s="188"/>
    </row>
    <row r="447" spans="2:7" x14ac:dyDescent="0.2">
      <c r="B447" s="186"/>
      <c r="C447" s="187"/>
      <c r="D447" s="187"/>
      <c r="E447" s="188"/>
      <c r="F447" s="188"/>
      <c r="G447" s="188"/>
    </row>
    <row r="448" spans="2:7" x14ac:dyDescent="0.2">
      <c r="B448" s="186"/>
      <c r="C448" s="187"/>
      <c r="D448" s="187"/>
      <c r="E448" s="188"/>
      <c r="F448" s="188"/>
      <c r="G448" s="188"/>
    </row>
    <row r="449" spans="2:7" x14ac:dyDescent="0.2">
      <c r="B449" s="186"/>
      <c r="C449" s="187"/>
      <c r="D449" s="187"/>
      <c r="E449" s="188"/>
      <c r="F449" s="188"/>
      <c r="G449" s="188"/>
    </row>
    <row r="450" spans="2:7" x14ac:dyDescent="0.2">
      <c r="B450" s="186"/>
      <c r="C450" s="187"/>
      <c r="D450" s="187"/>
      <c r="E450" s="188"/>
      <c r="F450" s="188"/>
      <c r="G450" s="188"/>
    </row>
    <row r="451" spans="2:7" x14ac:dyDescent="0.2">
      <c r="B451" s="186"/>
      <c r="C451" s="187"/>
      <c r="D451" s="187"/>
      <c r="E451" s="188"/>
      <c r="F451" s="188"/>
      <c r="G451" s="188"/>
    </row>
    <row r="452" spans="2:7" x14ac:dyDescent="0.2">
      <c r="B452" s="186"/>
      <c r="C452" s="187"/>
      <c r="D452" s="187"/>
      <c r="E452" s="188"/>
      <c r="F452" s="188"/>
      <c r="G452" s="188"/>
    </row>
    <row r="453" spans="2:7" x14ac:dyDescent="0.2">
      <c r="B453" s="186"/>
      <c r="C453" s="187"/>
      <c r="D453" s="187"/>
      <c r="E453" s="188"/>
      <c r="F453" s="188"/>
      <c r="G453" s="188"/>
    </row>
    <row r="454" spans="2:7" x14ac:dyDescent="0.2">
      <c r="B454" s="186"/>
      <c r="C454" s="187"/>
      <c r="D454" s="187"/>
      <c r="E454" s="188"/>
      <c r="F454" s="188"/>
      <c r="G454" s="188"/>
    </row>
    <row r="455" spans="2:7" x14ac:dyDescent="0.2">
      <c r="B455" s="186"/>
      <c r="C455" s="187"/>
      <c r="D455" s="187"/>
      <c r="E455" s="188"/>
      <c r="F455" s="188"/>
      <c r="G455" s="188"/>
    </row>
    <row r="456" spans="2:7" x14ac:dyDescent="0.2">
      <c r="B456" s="186"/>
      <c r="C456" s="187"/>
      <c r="D456" s="187"/>
      <c r="E456" s="188"/>
      <c r="F456" s="188"/>
      <c r="G456" s="188"/>
    </row>
    <row r="457" spans="2:7" x14ac:dyDescent="0.2">
      <c r="B457" s="186"/>
      <c r="C457" s="187"/>
      <c r="D457" s="187"/>
      <c r="E457" s="188"/>
      <c r="F457" s="188"/>
      <c r="G457" s="188"/>
    </row>
    <row r="458" spans="2:7" x14ac:dyDescent="0.2">
      <c r="B458" s="186"/>
      <c r="C458" s="187"/>
      <c r="D458" s="187"/>
      <c r="E458" s="188"/>
      <c r="F458" s="188"/>
      <c r="G458" s="188"/>
    </row>
    <row r="459" spans="2:7" x14ac:dyDescent="0.2">
      <c r="B459" s="186"/>
      <c r="C459" s="187"/>
      <c r="D459" s="187"/>
      <c r="E459" s="188"/>
      <c r="F459" s="188"/>
      <c r="G459" s="188"/>
    </row>
    <row r="460" spans="2:7" x14ac:dyDescent="0.2">
      <c r="B460" s="186"/>
      <c r="C460" s="187"/>
      <c r="D460" s="187"/>
      <c r="E460" s="188"/>
      <c r="F460" s="188"/>
      <c r="G460" s="188"/>
    </row>
    <row r="461" spans="2:7" x14ac:dyDescent="0.2">
      <c r="B461" s="186"/>
      <c r="C461" s="187"/>
      <c r="D461" s="187"/>
      <c r="E461" s="188"/>
      <c r="F461" s="188"/>
      <c r="G461" s="188"/>
    </row>
    <row r="462" spans="2:7" x14ac:dyDescent="0.2">
      <c r="B462" s="186"/>
      <c r="C462" s="187"/>
      <c r="D462" s="187"/>
      <c r="E462" s="188"/>
      <c r="F462" s="188"/>
      <c r="G462" s="188"/>
    </row>
    <row r="463" spans="2:7" x14ac:dyDescent="0.2">
      <c r="B463" s="186"/>
      <c r="C463" s="187"/>
      <c r="D463" s="187"/>
      <c r="E463" s="188"/>
      <c r="F463" s="188"/>
      <c r="G463" s="188"/>
    </row>
    <row r="464" spans="2:7" x14ac:dyDescent="0.2">
      <c r="B464" s="186"/>
      <c r="C464" s="187"/>
      <c r="D464" s="187"/>
      <c r="E464" s="188"/>
      <c r="F464" s="188"/>
      <c r="G464" s="188"/>
    </row>
    <row r="465" spans="2:7" x14ac:dyDescent="0.2">
      <c r="B465" s="186"/>
      <c r="C465" s="187"/>
      <c r="D465" s="187"/>
      <c r="E465" s="188"/>
      <c r="F465" s="188"/>
      <c r="G465" s="188"/>
    </row>
    <row r="466" spans="2:7" x14ac:dyDescent="0.2">
      <c r="B466" s="186"/>
      <c r="C466" s="187"/>
      <c r="D466" s="187"/>
      <c r="E466" s="188"/>
      <c r="F466" s="188"/>
      <c r="G466" s="188"/>
    </row>
    <row r="467" spans="2:7" x14ac:dyDescent="0.2">
      <c r="B467" s="186"/>
      <c r="C467" s="187"/>
      <c r="D467" s="187"/>
      <c r="E467" s="188"/>
      <c r="F467" s="188"/>
      <c r="G467" s="188"/>
    </row>
    <row r="468" spans="2:7" x14ac:dyDescent="0.2">
      <c r="B468" s="186"/>
      <c r="C468" s="187"/>
      <c r="D468" s="187"/>
      <c r="E468" s="188"/>
      <c r="F468" s="188"/>
      <c r="G468" s="188"/>
    </row>
    <row r="469" spans="2:7" x14ac:dyDescent="0.2">
      <c r="B469" s="186"/>
      <c r="C469" s="187"/>
      <c r="D469" s="187"/>
      <c r="E469" s="188"/>
      <c r="F469" s="188"/>
      <c r="G469" s="188"/>
    </row>
    <row r="470" spans="2:7" x14ac:dyDescent="0.2">
      <c r="B470" s="186"/>
      <c r="C470" s="187"/>
      <c r="D470" s="187"/>
      <c r="E470" s="188"/>
      <c r="F470" s="188"/>
      <c r="G470" s="188"/>
    </row>
    <row r="471" spans="2:7" x14ac:dyDescent="0.2">
      <c r="B471" s="186"/>
      <c r="C471" s="187"/>
      <c r="D471" s="187"/>
      <c r="E471" s="188"/>
      <c r="F471" s="188"/>
      <c r="G471" s="188"/>
    </row>
    <row r="472" spans="2:7" x14ac:dyDescent="0.2">
      <c r="B472" s="186"/>
      <c r="C472" s="187"/>
      <c r="D472" s="187"/>
      <c r="E472" s="188"/>
      <c r="F472" s="188"/>
      <c r="G472" s="188"/>
    </row>
    <row r="473" spans="2:7" x14ac:dyDescent="0.2">
      <c r="B473" s="186"/>
      <c r="C473" s="187"/>
      <c r="D473" s="187"/>
      <c r="E473" s="188"/>
      <c r="F473" s="188"/>
      <c r="G473" s="188"/>
    </row>
    <row r="474" spans="2:7" x14ac:dyDescent="0.2">
      <c r="B474" s="186"/>
      <c r="C474" s="187"/>
      <c r="D474" s="187"/>
      <c r="E474" s="188"/>
      <c r="F474" s="188"/>
      <c r="G474" s="188"/>
    </row>
    <row r="475" spans="2:7" x14ac:dyDescent="0.2">
      <c r="B475" s="186"/>
      <c r="C475" s="187"/>
      <c r="D475" s="187"/>
      <c r="E475" s="188"/>
      <c r="F475" s="188"/>
      <c r="G475" s="188"/>
    </row>
    <row r="476" spans="2:7" x14ac:dyDescent="0.2">
      <c r="B476" s="186"/>
      <c r="C476" s="187"/>
      <c r="D476" s="187"/>
      <c r="E476" s="188"/>
      <c r="F476" s="188"/>
      <c r="G476" s="188"/>
    </row>
    <row r="477" spans="2:7" x14ac:dyDescent="0.2">
      <c r="B477" s="186"/>
      <c r="C477" s="187"/>
      <c r="D477" s="187"/>
      <c r="E477" s="188"/>
      <c r="F477" s="188"/>
      <c r="G477" s="188"/>
    </row>
    <row r="478" spans="2:7" x14ac:dyDescent="0.2">
      <c r="B478" s="186"/>
      <c r="C478" s="187"/>
      <c r="D478" s="187"/>
      <c r="E478" s="188"/>
      <c r="F478" s="188"/>
      <c r="G478" s="188"/>
    </row>
    <row r="479" spans="2:7" x14ac:dyDescent="0.2">
      <c r="B479" s="186"/>
      <c r="C479" s="187"/>
      <c r="D479" s="187"/>
      <c r="E479" s="188"/>
      <c r="F479" s="188"/>
      <c r="G479" s="188"/>
    </row>
    <row r="480" spans="2:7" x14ac:dyDescent="0.2">
      <c r="B480" s="186"/>
      <c r="C480" s="187"/>
      <c r="D480" s="187"/>
      <c r="E480" s="188"/>
      <c r="F480" s="188"/>
      <c r="G480" s="188"/>
    </row>
    <row r="481" spans="2:7" x14ac:dyDescent="0.2">
      <c r="B481" s="186"/>
      <c r="C481" s="187"/>
      <c r="D481" s="187"/>
      <c r="E481" s="188"/>
      <c r="F481" s="188"/>
      <c r="G481" s="188"/>
    </row>
    <row r="482" spans="2:7" x14ac:dyDescent="0.2">
      <c r="B482" s="186"/>
      <c r="C482" s="187"/>
      <c r="D482" s="187"/>
      <c r="E482" s="188"/>
      <c r="F482" s="188"/>
      <c r="G482" s="188"/>
    </row>
    <row r="483" spans="2:7" x14ac:dyDescent="0.2">
      <c r="B483" s="186"/>
      <c r="C483" s="187"/>
      <c r="D483" s="187"/>
      <c r="E483" s="188"/>
      <c r="F483" s="188"/>
      <c r="G483" s="188"/>
    </row>
    <row r="484" spans="2:7" x14ac:dyDescent="0.2">
      <c r="B484" s="186"/>
      <c r="C484" s="187"/>
      <c r="D484" s="187"/>
      <c r="E484" s="188"/>
      <c r="F484" s="188"/>
      <c r="G484" s="188"/>
    </row>
    <row r="485" spans="2:7" x14ac:dyDescent="0.2">
      <c r="B485" s="186"/>
      <c r="C485" s="187"/>
      <c r="D485" s="187"/>
      <c r="E485" s="188"/>
      <c r="F485" s="188"/>
      <c r="G485" s="188"/>
    </row>
    <row r="486" spans="2:7" x14ac:dyDescent="0.2">
      <c r="B486" s="186"/>
      <c r="C486" s="187"/>
      <c r="D486" s="187"/>
      <c r="E486" s="188"/>
      <c r="F486" s="188"/>
      <c r="G486" s="188"/>
    </row>
    <row r="487" spans="2:7" x14ac:dyDescent="0.2">
      <c r="B487" s="186"/>
      <c r="C487" s="187"/>
      <c r="D487" s="187"/>
      <c r="E487" s="188"/>
      <c r="F487" s="188"/>
      <c r="G487" s="188"/>
    </row>
    <row r="488" spans="2:7" x14ac:dyDescent="0.2">
      <c r="B488" s="186"/>
      <c r="C488" s="187"/>
      <c r="D488" s="187"/>
      <c r="E488" s="188"/>
      <c r="F488" s="188"/>
      <c r="G488" s="188"/>
    </row>
    <row r="489" spans="2:7" x14ac:dyDescent="0.2">
      <c r="B489" s="186"/>
      <c r="C489" s="187"/>
      <c r="D489" s="187"/>
      <c r="E489" s="188"/>
      <c r="F489" s="188"/>
      <c r="G489" s="188"/>
    </row>
    <row r="490" spans="2:7" x14ac:dyDescent="0.2">
      <c r="B490" s="186"/>
      <c r="C490" s="187"/>
      <c r="D490" s="187"/>
      <c r="E490" s="188"/>
      <c r="F490" s="188"/>
      <c r="G490" s="188"/>
    </row>
    <row r="491" spans="2:7" x14ac:dyDescent="0.2">
      <c r="B491" s="186"/>
      <c r="C491" s="187"/>
      <c r="D491" s="187"/>
      <c r="E491" s="188"/>
      <c r="F491" s="188"/>
      <c r="G491" s="188"/>
    </row>
    <row r="492" spans="2:7" x14ac:dyDescent="0.2">
      <c r="B492" s="186"/>
      <c r="C492" s="187"/>
      <c r="D492" s="187"/>
      <c r="E492" s="188"/>
      <c r="F492" s="188"/>
      <c r="G492" s="188"/>
    </row>
    <row r="493" spans="2:7" x14ac:dyDescent="0.2">
      <c r="B493" s="186"/>
      <c r="C493" s="187"/>
      <c r="D493" s="187"/>
      <c r="E493" s="188"/>
      <c r="F493" s="188"/>
      <c r="G493" s="188"/>
    </row>
    <row r="494" spans="2:7" x14ac:dyDescent="0.2">
      <c r="B494" s="186"/>
      <c r="C494" s="187"/>
      <c r="D494" s="187"/>
      <c r="E494" s="188"/>
      <c r="F494" s="188"/>
      <c r="G494" s="188"/>
    </row>
    <row r="495" spans="2:7" x14ac:dyDescent="0.2">
      <c r="B495" s="186"/>
      <c r="C495" s="187"/>
      <c r="D495" s="187"/>
      <c r="E495" s="188"/>
      <c r="F495" s="188"/>
      <c r="G495" s="188"/>
    </row>
    <row r="496" spans="2:7" x14ac:dyDescent="0.2">
      <c r="B496" s="186"/>
      <c r="C496" s="187"/>
      <c r="D496" s="187"/>
      <c r="E496" s="188"/>
      <c r="F496" s="188"/>
      <c r="G496" s="188"/>
    </row>
    <row r="497" spans="2:7" x14ac:dyDescent="0.2">
      <c r="B497" s="186"/>
      <c r="C497" s="187"/>
      <c r="D497" s="187"/>
      <c r="E497" s="188"/>
      <c r="F497" s="188"/>
      <c r="G497" s="188"/>
    </row>
    <row r="498" spans="2:7" x14ac:dyDescent="0.2">
      <c r="B498" s="186"/>
      <c r="C498" s="187"/>
      <c r="D498" s="187"/>
      <c r="E498" s="188"/>
      <c r="F498" s="188"/>
      <c r="G498" s="188"/>
    </row>
    <row r="499" spans="2:7" x14ac:dyDescent="0.2">
      <c r="B499" s="186"/>
      <c r="C499" s="187"/>
      <c r="D499" s="187"/>
      <c r="E499" s="188"/>
      <c r="F499" s="188"/>
      <c r="G499" s="188"/>
    </row>
    <row r="500" spans="2:7" x14ac:dyDescent="0.2">
      <c r="B500" s="186"/>
      <c r="C500" s="187"/>
      <c r="D500" s="187"/>
      <c r="E500" s="188"/>
      <c r="F500" s="188"/>
      <c r="G500" s="188"/>
    </row>
    <row r="501" spans="2:7" x14ac:dyDescent="0.2">
      <c r="B501" s="186"/>
      <c r="C501" s="187"/>
      <c r="D501" s="187"/>
      <c r="E501" s="188"/>
      <c r="F501" s="188"/>
      <c r="G501" s="188"/>
    </row>
    <row r="502" spans="2:7" x14ac:dyDescent="0.2">
      <c r="B502" s="186"/>
      <c r="C502" s="187"/>
      <c r="D502" s="187"/>
      <c r="E502" s="188"/>
      <c r="F502" s="188"/>
      <c r="G502" s="188"/>
    </row>
    <row r="503" spans="2:7" x14ac:dyDescent="0.2">
      <c r="B503" s="186"/>
      <c r="C503" s="187"/>
      <c r="D503" s="187"/>
      <c r="E503" s="188"/>
      <c r="F503" s="188"/>
      <c r="G503" s="188"/>
    </row>
    <row r="504" spans="2:7" x14ac:dyDescent="0.2">
      <c r="B504" s="189"/>
      <c r="C504" s="190"/>
      <c r="D504" s="190"/>
      <c r="E504" s="191"/>
      <c r="F504" s="191"/>
      <c r="G504" s="191"/>
    </row>
  </sheetData>
  <phoneticPr fontId="0" type="noConversion"/>
  <pageMargins left="0.75" right="0.75" top="1" bottom="1" header="0.4921259845" footer="0.4921259845"/>
  <pageSetup paperSize="9" scale="96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tabColor rgb="FFFF6600"/>
    <pageSetUpPr fitToPage="1"/>
  </sheetPr>
  <dimension ref="B2:H75"/>
  <sheetViews>
    <sheetView showGridLines="0" zoomScaleNormal="70" zoomScaleSheetLayoutView="55" workbookViewId="0">
      <pane ySplit="15" topLeftCell="A16" activePane="bottomLeft" state="frozen"/>
      <selection pane="bottomLeft" activeCell="A16" sqref="A16"/>
    </sheetView>
  </sheetViews>
  <sheetFormatPr defaultColWidth="10.7109375" defaultRowHeight="12.75" x14ac:dyDescent="0.2"/>
  <cols>
    <col min="1" max="1" width="1.7109375" style="69" customWidth="1"/>
    <col min="2" max="3" width="13.7109375" style="69" customWidth="1"/>
    <col min="4" max="4" width="22.7109375" style="69" customWidth="1"/>
    <col min="5" max="8" width="12.7109375" style="69" customWidth="1"/>
    <col min="9" max="9" width="1.7109375" style="69" customWidth="1"/>
    <col min="10" max="16384" width="10.7109375" style="69"/>
  </cols>
  <sheetData>
    <row r="2" spans="2:8" ht="30" customHeight="1" thickBot="1" x14ac:dyDescent="0.25">
      <c r="B2" s="103" t="s">
        <v>199</v>
      </c>
      <c r="C2" s="104"/>
      <c r="D2" s="104"/>
      <c r="E2" s="104"/>
      <c r="F2" s="104"/>
      <c r="G2" s="105"/>
      <c r="H2" s="105"/>
    </row>
    <row r="3" spans="2:8" ht="12.75" customHeight="1" x14ac:dyDescent="0.2"/>
    <row r="4" spans="2:8" x14ac:dyDescent="0.2">
      <c r="B4" s="106" t="s">
        <v>58</v>
      </c>
      <c r="C4" s="107"/>
      <c r="D4" s="108"/>
    </row>
    <row r="5" spans="2:8" x14ac:dyDescent="0.2">
      <c r="B5" s="109" t="s">
        <v>59</v>
      </c>
      <c r="C5" s="110"/>
      <c r="D5" s="111">
        <v>400</v>
      </c>
    </row>
    <row r="6" spans="2:8" x14ac:dyDescent="0.2">
      <c r="B6" s="109" t="s">
        <v>60</v>
      </c>
      <c r="C6" s="110"/>
      <c r="D6" s="111">
        <v>300</v>
      </c>
    </row>
    <row r="7" spans="2:8" x14ac:dyDescent="0.2">
      <c r="B7" s="109" t="s">
        <v>61</v>
      </c>
      <c r="C7" s="110"/>
      <c r="D7" s="111">
        <v>600</v>
      </c>
    </row>
    <row r="8" spans="2:8" x14ac:dyDescent="0.2">
      <c r="B8" s="109" t="s">
        <v>62</v>
      </c>
      <c r="C8" s="110"/>
      <c r="D8" s="111">
        <v>800</v>
      </c>
    </row>
    <row r="9" spans="2:8" x14ac:dyDescent="0.2">
      <c r="B9" s="112" t="s">
        <v>63</v>
      </c>
      <c r="C9" s="102"/>
      <c r="D9" s="113">
        <v>400</v>
      </c>
    </row>
    <row r="11" spans="2:8" x14ac:dyDescent="0.2">
      <c r="B11" s="114" t="s">
        <v>64</v>
      </c>
      <c r="C11" s="115"/>
      <c r="D11" s="116">
        <v>0.87</v>
      </c>
      <c r="E11" s="117" t="s">
        <v>65</v>
      </c>
    </row>
    <row r="12" spans="2:8" x14ac:dyDescent="0.2">
      <c r="B12" s="114" t="s">
        <v>66</v>
      </c>
      <c r="C12" s="115"/>
      <c r="D12" s="116">
        <v>0.95</v>
      </c>
      <c r="E12" s="117" t="s">
        <v>67</v>
      </c>
    </row>
    <row r="14" spans="2:8" x14ac:dyDescent="0.2">
      <c r="E14" s="279" t="s">
        <v>68</v>
      </c>
      <c r="F14" s="283"/>
      <c r="G14" s="283"/>
      <c r="H14" s="280"/>
    </row>
    <row r="15" spans="2:8" ht="25.5" x14ac:dyDescent="0.2">
      <c r="B15" s="118" t="s">
        <v>3</v>
      </c>
      <c r="C15" s="118" t="s">
        <v>69</v>
      </c>
      <c r="D15" s="118" t="s">
        <v>70</v>
      </c>
      <c r="E15" s="119" t="s">
        <v>71</v>
      </c>
      <c r="F15" s="119" t="s">
        <v>72</v>
      </c>
      <c r="G15" s="119" t="s">
        <v>73</v>
      </c>
      <c r="H15" s="119" t="s">
        <v>74</v>
      </c>
    </row>
    <row r="16" spans="2:8" x14ac:dyDescent="0.2">
      <c r="B16" s="120">
        <f t="shared" ref="B16:B47" si="0">ROUNDDOWN((C16-DATE(YEAR(C16+MOD(8-WEEKDAY(C16),7)-3),1,1)-3+MOD(WEEKDAY(DATE(YEAR(C16+MOD(8-WEEKDAY(C16),7)-3),1,1))+1,7))/7+1,0)</f>
        <v>23</v>
      </c>
      <c r="C16" s="121">
        <v>39969</v>
      </c>
      <c r="D16" s="122" t="s">
        <v>59</v>
      </c>
      <c r="E16" s="123">
        <v>29</v>
      </c>
      <c r="F16" s="123">
        <v>1</v>
      </c>
      <c r="G16" s="123">
        <f t="shared" ref="G16:G47" si="1">E16-H16</f>
        <v>25</v>
      </c>
      <c r="H16" s="123">
        <v>4</v>
      </c>
    </row>
    <row r="17" spans="2:8" x14ac:dyDescent="0.2">
      <c r="B17" s="124">
        <f t="shared" si="0"/>
        <v>23</v>
      </c>
      <c r="C17" s="125">
        <v>39969</v>
      </c>
      <c r="D17" s="126" t="s">
        <v>60</v>
      </c>
      <c r="E17" s="127">
        <v>21</v>
      </c>
      <c r="F17" s="127">
        <v>1</v>
      </c>
      <c r="G17" s="127">
        <f t="shared" si="1"/>
        <v>19</v>
      </c>
      <c r="H17" s="127">
        <v>2</v>
      </c>
    </row>
    <row r="18" spans="2:8" x14ac:dyDescent="0.2">
      <c r="B18" s="124">
        <f t="shared" si="0"/>
        <v>23</v>
      </c>
      <c r="C18" s="125">
        <v>39969</v>
      </c>
      <c r="D18" s="126" t="s">
        <v>61</v>
      </c>
      <c r="E18" s="127">
        <v>49</v>
      </c>
      <c r="F18" s="127">
        <v>1</v>
      </c>
      <c r="G18" s="127">
        <f t="shared" si="1"/>
        <v>46</v>
      </c>
      <c r="H18" s="127">
        <v>3</v>
      </c>
    </row>
    <row r="19" spans="2:8" x14ac:dyDescent="0.2">
      <c r="B19" s="124">
        <f t="shared" si="0"/>
        <v>23</v>
      </c>
      <c r="C19" s="125">
        <v>39969</v>
      </c>
      <c r="D19" s="126" t="s">
        <v>62</v>
      </c>
      <c r="E19" s="127">
        <v>55</v>
      </c>
      <c r="F19" s="127">
        <v>2</v>
      </c>
      <c r="G19" s="127">
        <f t="shared" si="1"/>
        <v>49</v>
      </c>
      <c r="H19" s="127">
        <v>6</v>
      </c>
    </row>
    <row r="20" spans="2:8" x14ac:dyDescent="0.2">
      <c r="B20" s="124">
        <f t="shared" si="0"/>
        <v>23</v>
      </c>
      <c r="C20" s="125">
        <v>39969</v>
      </c>
      <c r="D20" s="126" t="s">
        <v>63</v>
      </c>
      <c r="E20" s="127">
        <v>37</v>
      </c>
      <c r="F20" s="127">
        <v>2</v>
      </c>
      <c r="G20" s="127">
        <f t="shared" si="1"/>
        <v>30</v>
      </c>
      <c r="H20" s="127">
        <v>7</v>
      </c>
    </row>
    <row r="21" spans="2:8" x14ac:dyDescent="0.2">
      <c r="B21" s="124">
        <f t="shared" si="0"/>
        <v>24</v>
      </c>
      <c r="C21" s="125">
        <v>39976</v>
      </c>
      <c r="D21" s="126" t="s">
        <v>59</v>
      </c>
      <c r="E21" s="127">
        <v>67</v>
      </c>
      <c r="F21" s="127">
        <v>5</v>
      </c>
      <c r="G21" s="127">
        <f t="shared" si="1"/>
        <v>60</v>
      </c>
      <c r="H21" s="127">
        <v>7</v>
      </c>
    </row>
    <row r="22" spans="2:8" x14ac:dyDescent="0.2">
      <c r="B22" s="124">
        <f t="shared" si="0"/>
        <v>24</v>
      </c>
      <c r="C22" s="125">
        <v>39976</v>
      </c>
      <c r="D22" s="126" t="s">
        <v>60</v>
      </c>
      <c r="E22" s="127">
        <v>51</v>
      </c>
      <c r="F22" s="127">
        <v>2</v>
      </c>
      <c r="G22" s="127">
        <f t="shared" si="1"/>
        <v>46</v>
      </c>
      <c r="H22" s="127">
        <v>5</v>
      </c>
    </row>
    <row r="23" spans="2:8" x14ac:dyDescent="0.2">
      <c r="B23" s="124">
        <f t="shared" si="0"/>
        <v>24</v>
      </c>
      <c r="C23" s="125">
        <v>39976</v>
      </c>
      <c r="D23" s="126" t="s">
        <v>61</v>
      </c>
      <c r="E23" s="127">
        <v>97</v>
      </c>
      <c r="F23" s="127">
        <v>9</v>
      </c>
      <c r="G23" s="127">
        <f t="shared" si="1"/>
        <v>92</v>
      </c>
      <c r="H23" s="127">
        <v>5</v>
      </c>
    </row>
    <row r="24" spans="2:8" x14ac:dyDescent="0.2">
      <c r="B24" s="124">
        <f t="shared" si="0"/>
        <v>24</v>
      </c>
      <c r="C24" s="125">
        <v>39976</v>
      </c>
      <c r="D24" s="126" t="s">
        <v>62</v>
      </c>
      <c r="E24" s="127">
        <v>132</v>
      </c>
      <c r="F24" s="127">
        <v>7</v>
      </c>
      <c r="G24" s="127">
        <f t="shared" si="1"/>
        <v>120</v>
      </c>
      <c r="H24" s="127">
        <v>12</v>
      </c>
    </row>
    <row r="25" spans="2:8" x14ac:dyDescent="0.2">
      <c r="B25" s="124">
        <f t="shared" si="0"/>
        <v>24</v>
      </c>
      <c r="C25" s="125">
        <v>39976</v>
      </c>
      <c r="D25" s="126" t="s">
        <v>63</v>
      </c>
      <c r="E25" s="127">
        <v>68</v>
      </c>
      <c r="F25" s="127">
        <v>1</v>
      </c>
      <c r="G25" s="127">
        <f t="shared" si="1"/>
        <v>59</v>
      </c>
      <c r="H25" s="127">
        <v>9</v>
      </c>
    </row>
    <row r="26" spans="2:8" x14ac:dyDescent="0.2">
      <c r="B26" s="124">
        <f t="shared" si="0"/>
        <v>25</v>
      </c>
      <c r="C26" s="125">
        <v>39983</v>
      </c>
      <c r="D26" s="126" t="s">
        <v>59</v>
      </c>
      <c r="E26" s="127">
        <v>102</v>
      </c>
      <c r="F26" s="127">
        <v>0</v>
      </c>
      <c r="G26" s="127">
        <f t="shared" si="1"/>
        <v>93</v>
      </c>
      <c r="H26" s="127">
        <v>9</v>
      </c>
    </row>
    <row r="27" spans="2:8" x14ac:dyDescent="0.2">
      <c r="B27" s="124">
        <f t="shared" si="0"/>
        <v>25</v>
      </c>
      <c r="C27" s="125">
        <v>39983</v>
      </c>
      <c r="D27" s="126" t="s">
        <v>60</v>
      </c>
      <c r="E27" s="127">
        <v>71</v>
      </c>
      <c r="F27" s="127">
        <v>4</v>
      </c>
      <c r="G27" s="127">
        <f t="shared" si="1"/>
        <v>62</v>
      </c>
      <c r="H27" s="127">
        <v>9</v>
      </c>
    </row>
    <row r="28" spans="2:8" x14ac:dyDescent="0.2">
      <c r="B28" s="124">
        <f t="shared" si="0"/>
        <v>25</v>
      </c>
      <c r="C28" s="125">
        <v>39983</v>
      </c>
      <c r="D28" s="126" t="s">
        <v>61</v>
      </c>
      <c r="E28" s="127">
        <v>143</v>
      </c>
      <c r="F28" s="127">
        <v>13</v>
      </c>
      <c r="G28" s="127">
        <f t="shared" si="1"/>
        <v>129</v>
      </c>
      <c r="H28" s="127">
        <v>14</v>
      </c>
    </row>
    <row r="29" spans="2:8" x14ac:dyDescent="0.2">
      <c r="B29" s="124">
        <f t="shared" si="0"/>
        <v>25</v>
      </c>
      <c r="C29" s="125">
        <v>39983</v>
      </c>
      <c r="D29" s="126" t="s">
        <v>62</v>
      </c>
      <c r="E29" s="127">
        <v>210</v>
      </c>
      <c r="F29" s="127">
        <v>11</v>
      </c>
      <c r="G29" s="127">
        <f t="shared" si="1"/>
        <v>180</v>
      </c>
      <c r="H29" s="127">
        <v>30</v>
      </c>
    </row>
    <row r="30" spans="2:8" x14ac:dyDescent="0.2">
      <c r="B30" s="124">
        <f t="shared" si="0"/>
        <v>25</v>
      </c>
      <c r="C30" s="125">
        <v>39983</v>
      </c>
      <c r="D30" s="126" t="s">
        <v>63</v>
      </c>
      <c r="E30" s="127">
        <v>98</v>
      </c>
      <c r="F30" s="127">
        <v>0</v>
      </c>
      <c r="G30" s="127">
        <f t="shared" si="1"/>
        <v>86</v>
      </c>
      <c r="H30" s="127">
        <v>12</v>
      </c>
    </row>
    <row r="31" spans="2:8" x14ac:dyDescent="0.2">
      <c r="B31" s="124">
        <f t="shared" si="0"/>
        <v>26</v>
      </c>
      <c r="C31" s="125">
        <v>39990</v>
      </c>
      <c r="D31" s="126" t="s">
        <v>59</v>
      </c>
      <c r="E31" s="127">
        <v>131</v>
      </c>
      <c r="F31" s="127">
        <v>12</v>
      </c>
      <c r="G31" s="127">
        <f t="shared" si="1"/>
        <v>117</v>
      </c>
      <c r="H31" s="127">
        <v>14</v>
      </c>
    </row>
    <row r="32" spans="2:8" x14ac:dyDescent="0.2">
      <c r="B32" s="124">
        <f t="shared" si="0"/>
        <v>26</v>
      </c>
      <c r="C32" s="125">
        <v>39990</v>
      </c>
      <c r="D32" s="126" t="s">
        <v>60</v>
      </c>
      <c r="E32" s="127">
        <v>92</v>
      </c>
      <c r="F32" s="127">
        <v>6</v>
      </c>
      <c r="G32" s="127">
        <f t="shared" si="1"/>
        <v>80</v>
      </c>
      <c r="H32" s="127">
        <v>12</v>
      </c>
    </row>
    <row r="33" spans="2:8" x14ac:dyDescent="0.2">
      <c r="B33" s="124">
        <f t="shared" si="0"/>
        <v>26</v>
      </c>
      <c r="C33" s="125">
        <v>39990</v>
      </c>
      <c r="D33" s="126" t="s">
        <v>61</v>
      </c>
      <c r="E33" s="127">
        <v>189</v>
      </c>
      <c r="F33" s="127">
        <v>0</v>
      </c>
      <c r="G33" s="127">
        <f t="shared" si="1"/>
        <v>173</v>
      </c>
      <c r="H33" s="127">
        <v>16</v>
      </c>
    </row>
    <row r="34" spans="2:8" x14ac:dyDescent="0.2">
      <c r="B34" s="124">
        <f t="shared" si="0"/>
        <v>26</v>
      </c>
      <c r="C34" s="125">
        <v>39990</v>
      </c>
      <c r="D34" s="126" t="s">
        <v>62</v>
      </c>
      <c r="E34" s="127">
        <v>271</v>
      </c>
      <c r="F34" s="127">
        <v>24</v>
      </c>
      <c r="G34" s="127">
        <f t="shared" si="1"/>
        <v>236</v>
      </c>
      <c r="H34" s="127">
        <v>35</v>
      </c>
    </row>
    <row r="35" spans="2:8" x14ac:dyDescent="0.2">
      <c r="B35" s="124">
        <f t="shared" si="0"/>
        <v>26</v>
      </c>
      <c r="C35" s="125">
        <v>39990</v>
      </c>
      <c r="D35" s="126" t="s">
        <v>63</v>
      </c>
      <c r="E35" s="127">
        <v>125</v>
      </c>
      <c r="F35" s="127">
        <v>4</v>
      </c>
      <c r="G35" s="127">
        <f t="shared" si="1"/>
        <v>104</v>
      </c>
      <c r="H35" s="127">
        <v>21</v>
      </c>
    </row>
    <row r="36" spans="2:8" x14ac:dyDescent="0.2">
      <c r="B36" s="124">
        <f t="shared" si="0"/>
        <v>27</v>
      </c>
      <c r="C36" s="125">
        <v>39997</v>
      </c>
      <c r="D36" s="126" t="s">
        <v>59</v>
      </c>
      <c r="E36" s="127">
        <v>158</v>
      </c>
      <c r="F36" s="127">
        <v>3</v>
      </c>
      <c r="G36" s="127">
        <f t="shared" si="1"/>
        <v>139</v>
      </c>
      <c r="H36" s="127">
        <v>19</v>
      </c>
    </row>
    <row r="37" spans="2:8" x14ac:dyDescent="0.2">
      <c r="B37" s="124">
        <f t="shared" si="0"/>
        <v>27</v>
      </c>
      <c r="C37" s="125">
        <v>39997</v>
      </c>
      <c r="D37" s="126" t="s">
        <v>60</v>
      </c>
      <c r="E37" s="127">
        <v>116</v>
      </c>
      <c r="F37" s="127">
        <v>0</v>
      </c>
      <c r="G37" s="127">
        <f t="shared" si="1"/>
        <v>102</v>
      </c>
      <c r="H37" s="127">
        <v>14</v>
      </c>
    </row>
    <row r="38" spans="2:8" x14ac:dyDescent="0.2">
      <c r="B38" s="124">
        <f t="shared" si="0"/>
        <v>27</v>
      </c>
      <c r="C38" s="125">
        <v>39997</v>
      </c>
      <c r="D38" s="126" t="s">
        <v>61</v>
      </c>
      <c r="E38" s="127">
        <v>229</v>
      </c>
      <c r="F38" s="127">
        <v>0</v>
      </c>
      <c r="G38" s="127">
        <f t="shared" si="1"/>
        <v>212</v>
      </c>
      <c r="H38" s="127">
        <v>17</v>
      </c>
    </row>
    <row r="39" spans="2:8" x14ac:dyDescent="0.2">
      <c r="B39" s="124">
        <f t="shared" si="0"/>
        <v>27</v>
      </c>
      <c r="C39" s="125">
        <v>39997</v>
      </c>
      <c r="D39" s="126" t="s">
        <v>62</v>
      </c>
      <c r="E39" s="127">
        <v>342</v>
      </c>
      <c r="F39" s="127">
        <v>24</v>
      </c>
      <c r="G39" s="127">
        <f t="shared" si="1"/>
        <v>307</v>
      </c>
      <c r="H39" s="127">
        <v>35</v>
      </c>
    </row>
    <row r="40" spans="2:8" x14ac:dyDescent="0.2">
      <c r="B40" s="124">
        <f t="shared" si="0"/>
        <v>27</v>
      </c>
      <c r="C40" s="125">
        <v>39997</v>
      </c>
      <c r="D40" s="126" t="s">
        <v>63</v>
      </c>
      <c r="E40" s="127">
        <v>156</v>
      </c>
      <c r="F40" s="127">
        <v>8</v>
      </c>
      <c r="G40" s="127">
        <f t="shared" si="1"/>
        <v>133</v>
      </c>
      <c r="H40" s="127">
        <v>23</v>
      </c>
    </row>
    <row r="41" spans="2:8" x14ac:dyDescent="0.2">
      <c r="B41" s="124">
        <f t="shared" si="0"/>
        <v>28</v>
      </c>
      <c r="C41" s="125">
        <v>40004</v>
      </c>
      <c r="D41" s="126" t="s">
        <v>59</v>
      </c>
      <c r="E41" s="127">
        <v>192</v>
      </c>
      <c r="F41" s="127">
        <v>17</v>
      </c>
      <c r="G41" s="127">
        <f t="shared" si="1"/>
        <v>170</v>
      </c>
      <c r="H41" s="127">
        <v>22</v>
      </c>
    </row>
    <row r="42" spans="2:8" x14ac:dyDescent="0.2">
      <c r="B42" s="124">
        <f t="shared" si="0"/>
        <v>28</v>
      </c>
      <c r="C42" s="125">
        <v>40004</v>
      </c>
      <c r="D42" s="126" t="s">
        <v>60</v>
      </c>
      <c r="E42" s="127">
        <v>144</v>
      </c>
      <c r="F42" s="127">
        <v>9</v>
      </c>
      <c r="G42" s="127">
        <f t="shared" si="1"/>
        <v>126</v>
      </c>
      <c r="H42" s="127">
        <v>18</v>
      </c>
    </row>
    <row r="43" spans="2:8" x14ac:dyDescent="0.2">
      <c r="B43" s="124">
        <f t="shared" si="0"/>
        <v>28</v>
      </c>
      <c r="C43" s="125">
        <v>40004</v>
      </c>
      <c r="D43" s="126" t="s">
        <v>61</v>
      </c>
      <c r="E43" s="127">
        <v>276</v>
      </c>
      <c r="F43" s="127">
        <v>22</v>
      </c>
      <c r="G43" s="127">
        <f t="shared" si="1"/>
        <v>254</v>
      </c>
      <c r="H43" s="127">
        <v>22</v>
      </c>
    </row>
    <row r="44" spans="2:8" x14ac:dyDescent="0.2">
      <c r="B44" s="124">
        <f t="shared" si="0"/>
        <v>28</v>
      </c>
      <c r="C44" s="125">
        <v>40004</v>
      </c>
      <c r="D44" s="126" t="s">
        <v>62</v>
      </c>
      <c r="E44" s="127">
        <v>413</v>
      </c>
      <c r="F44" s="127">
        <v>4</v>
      </c>
      <c r="G44" s="127">
        <f t="shared" si="1"/>
        <v>364</v>
      </c>
      <c r="H44" s="127">
        <v>49</v>
      </c>
    </row>
    <row r="45" spans="2:8" x14ac:dyDescent="0.2">
      <c r="B45" s="124">
        <f t="shared" si="0"/>
        <v>28</v>
      </c>
      <c r="C45" s="125">
        <v>40004</v>
      </c>
      <c r="D45" s="126" t="s">
        <v>63</v>
      </c>
      <c r="E45" s="127">
        <v>189</v>
      </c>
      <c r="F45" s="127">
        <v>15</v>
      </c>
      <c r="G45" s="127">
        <f t="shared" si="1"/>
        <v>164</v>
      </c>
      <c r="H45" s="127">
        <v>25</v>
      </c>
    </row>
    <row r="46" spans="2:8" x14ac:dyDescent="0.2">
      <c r="B46" s="124">
        <f t="shared" si="0"/>
        <v>29</v>
      </c>
      <c r="C46" s="125">
        <v>40011</v>
      </c>
      <c r="D46" s="126" t="s">
        <v>59</v>
      </c>
      <c r="E46" s="127">
        <v>223</v>
      </c>
      <c r="F46" s="127">
        <v>9</v>
      </c>
      <c r="G46" s="127">
        <f t="shared" si="1"/>
        <v>199</v>
      </c>
      <c r="H46" s="127">
        <v>24</v>
      </c>
    </row>
    <row r="47" spans="2:8" x14ac:dyDescent="0.2">
      <c r="B47" s="124">
        <f t="shared" si="0"/>
        <v>29</v>
      </c>
      <c r="C47" s="125">
        <v>40011</v>
      </c>
      <c r="D47" s="126" t="s">
        <v>60</v>
      </c>
      <c r="E47" s="127">
        <v>172</v>
      </c>
      <c r="F47" s="127">
        <v>2</v>
      </c>
      <c r="G47" s="127">
        <f t="shared" si="1"/>
        <v>151</v>
      </c>
      <c r="H47" s="127">
        <v>21</v>
      </c>
    </row>
    <row r="48" spans="2:8" x14ac:dyDescent="0.2">
      <c r="B48" s="124">
        <f t="shared" ref="B48:B75" si="2">ROUNDDOWN((C48-DATE(YEAR(C48+MOD(8-WEEKDAY(C48),7)-3),1,1)-3+MOD(WEEKDAY(DATE(YEAR(C48+MOD(8-WEEKDAY(C48),7)-3),1,1))+1,7))/7+1,0)</f>
        <v>29</v>
      </c>
      <c r="C48" s="125">
        <v>40011</v>
      </c>
      <c r="D48" s="126" t="s">
        <v>61</v>
      </c>
      <c r="E48" s="127">
        <v>321</v>
      </c>
      <c r="F48" s="127">
        <v>13</v>
      </c>
      <c r="G48" s="127">
        <f t="shared" ref="G48:G75" si="3">E48-H48</f>
        <v>296</v>
      </c>
      <c r="H48" s="127">
        <v>25</v>
      </c>
    </row>
    <row r="49" spans="2:8" x14ac:dyDescent="0.2">
      <c r="B49" s="124">
        <f t="shared" si="2"/>
        <v>29</v>
      </c>
      <c r="C49" s="125">
        <v>40011</v>
      </c>
      <c r="D49" s="126" t="s">
        <v>62</v>
      </c>
      <c r="E49" s="127">
        <v>473</v>
      </c>
      <c r="F49" s="127">
        <v>0</v>
      </c>
      <c r="G49" s="127">
        <f t="shared" si="3"/>
        <v>421</v>
      </c>
      <c r="H49" s="127">
        <v>52</v>
      </c>
    </row>
    <row r="50" spans="2:8" x14ac:dyDescent="0.2">
      <c r="B50" s="124">
        <f t="shared" si="2"/>
        <v>29</v>
      </c>
      <c r="C50" s="125">
        <v>40011</v>
      </c>
      <c r="D50" s="126" t="s">
        <v>63</v>
      </c>
      <c r="E50" s="127">
        <v>223</v>
      </c>
      <c r="F50" s="127">
        <v>22</v>
      </c>
      <c r="G50" s="127">
        <f t="shared" si="3"/>
        <v>192</v>
      </c>
      <c r="H50" s="127">
        <v>31</v>
      </c>
    </row>
    <row r="51" spans="2:8" x14ac:dyDescent="0.2">
      <c r="B51" s="124">
        <f t="shared" si="2"/>
        <v>30</v>
      </c>
      <c r="C51" s="125">
        <v>40018</v>
      </c>
      <c r="D51" s="126" t="s">
        <v>59</v>
      </c>
      <c r="E51" s="127">
        <v>259</v>
      </c>
      <c r="F51" s="127">
        <v>26</v>
      </c>
      <c r="G51" s="127">
        <f t="shared" si="3"/>
        <v>226</v>
      </c>
      <c r="H51" s="127">
        <v>33</v>
      </c>
    </row>
    <row r="52" spans="2:8" x14ac:dyDescent="0.2">
      <c r="B52" s="124">
        <f t="shared" si="2"/>
        <v>30</v>
      </c>
      <c r="C52" s="125">
        <v>40018</v>
      </c>
      <c r="D52" s="126" t="s">
        <v>60</v>
      </c>
      <c r="E52" s="127">
        <v>195</v>
      </c>
      <c r="F52" s="127">
        <v>0</v>
      </c>
      <c r="G52" s="127">
        <f t="shared" si="3"/>
        <v>172</v>
      </c>
      <c r="H52" s="127">
        <v>23</v>
      </c>
    </row>
    <row r="53" spans="2:8" x14ac:dyDescent="0.2">
      <c r="B53" s="124">
        <f t="shared" si="2"/>
        <v>30</v>
      </c>
      <c r="C53" s="125">
        <v>40018</v>
      </c>
      <c r="D53" s="126" t="s">
        <v>61</v>
      </c>
      <c r="E53" s="127">
        <v>378</v>
      </c>
      <c r="F53" s="127">
        <v>30</v>
      </c>
      <c r="G53" s="127">
        <f t="shared" si="3"/>
        <v>347</v>
      </c>
      <c r="H53" s="127">
        <v>31</v>
      </c>
    </row>
    <row r="54" spans="2:8" x14ac:dyDescent="0.2">
      <c r="B54" s="124">
        <f t="shared" si="2"/>
        <v>30</v>
      </c>
      <c r="C54" s="125">
        <v>40018</v>
      </c>
      <c r="D54" s="126" t="s">
        <v>62</v>
      </c>
      <c r="E54" s="127">
        <v>548</v>
      </c>
      <c r="F54" s="127">
        <v>22</v>
      </c>
      <c r="G54" s="127">
        <f t="shared" si="3"/>
        <v>476</v>
      </c>
      <c r="H54" s="127">
        <v>72</v>
      </c>
    </row>
    <row r="55" spans="2:8" x14ac:dyDescent="0.2">
      <c r="B55" s="124">
        <f t="shared" si="2"/>
        <v>30</v>
      </c>
      <c r="C55" s="125">
        <v>40018</v>
      </c>
      <c r="D55" s="126" t="s">
        <v>63</v>
      </c>
      <c r="E55" s="127">
        <v>252</v>
      </c>
      <c r="F55" s="127">
        <v>0</v>
      </c>
      <c r="G55" s="127">
        <f t="shared" si="3"/>
        <v>215</v>
      </c>
      <c r="H55" s="127">
        <v>37</v>
      </c>
    </row>
    <row r="56" spans="2:8" x14ac:dyDescent="0.2">
      <c r="B56" s="124">
        <f t="shared" si="2"/>
        <v>31</v>
      </c>
      <c r="C56" s="125">
        <v>40025</v>
      </c>
      <c r="D56" s="126" t="s">
        <v>59</v>
      </c>
      <c r="E56" s="127">
        <v>287</v>
      </c>
      <c r="F56" s="127">
        <v>6</v>
      </c>
      <c r="G56" s="127">
        <f t="shared" si="3"/>
        <v>252</v>
      </c>
      <c r="H56" s="127">
        <v>35</v>
      </c>
    </row>
    <row r="57" spans="2:8" x14ac:dyDescent="0.2">
      <c r="B57" s="124">
        <f t="shared" si="2"/>
        <v>31</v>
      </c>
      <c r="C57" s="125">
        <v>40025</v>
      </c>
      <c r="D57" s="126" t="s">
        <v>60</v>
      </c>
      <c r="E57" s="127">
        <v>216</v>
      </c>
      <c r="F57" s="127">
        <v>13</v>
      </c>
      <c r="G57" s="127">
        <f t="shared" si="3"/>
        <v>190</v>
      </c>
      <c r="H57" s="127">
        <v>26</v>
      </c>
    </row>
    <row r="58" spans="2:8" x14ac:dyDescent="0.2">
      <c r="B58" s="124">
        <f t="shared" si="2"/>
        <v>31</v>
      </c>
      <c r="C58" s="125">
        <v>40025</v>
      </c>
      <c r="D58" s="126" t="s">
        <v>61</v>
      </c>
      <c r="E58" s="127">
        <v>427</v>
      </c>
      <c r="F58" s="127">
        <v>38</v>
      </c>
      <c r="G58" s="127">
        <f t="shared" si="3"/>
        <v>394</v>
      </c>
      <c r="H58" s="127">
        <v>33</v>
      </c>
    </row>
    <row r="59" spans="2:8" x14ac:dyDescent="0.2">
      <c r="B59" s="124">
        <f t="shared" si="2"/>
        <v>31</v>
      </c>
      <c r="C59" s="125">
        <v>40025</v>
      </c>
      <c r="D59" s="126" t="s">
        <v>62</v>
      </c>
      <c r="E59" s="127">
        <v>601</v>
      </c>
      <c r="F59" s="127">
        <v>36</v>
      </c>
      <c r="G59" s="127">
        <f t="shared" si="3"/>
        <v>526</v>
      </c>
      <c r="H59" s="127">
        <v>75</v>
      </c>
    </row>
    <row r="60" spans="2:8" x14ac:dyDescent="0.2">
      <c r="B60" s="124">
        <f t="shared" si="2"/>
        <v>31</v>
      </c>
      <c r="C60" s="125">
        <v>40025</v>
      </c>
      <c r="D60" s="126" t="s">
        <v>63</v>
      </c>
      <c r="E60" s="127">
        <v>280</v>
      </c>
      <c r="F60" s="127">
        <v>3</v>
      </c>
      <c r="G60" s="127">
        <f t="shared" si="3"/>
        <v>238</v>
      </c>
      <c r="H60" s="127">
        <v>42</v>
      </c>
    </row>
    <row r="61" spans="2:8" x14ac:dyDescent="0.2">
      <c r="B61" s="124">
        <f t="shared" si="2"/>
        <v>32</v>
      </c>
      <c r="C61" s="125">
        <v>40032</v>
      </c>
      <c r="D61" s="126" t="s">
        <v>59</v>
      </c>
      <c r="E61" s="127">
        <v>324</v>
      </c>
      <c r="F61" s="127">
        <v>10</v>
      </c>
      <c r="G61" s="127">
        <f t="shared" si="3"/>
        <v>286</v>
      </c>
      <c r="H61" s="127">
        <v>38</v>
      </c>
    </row>
    <row r="62" spans="2:8" x14ac:dyDescent="0.2">
      <c r="B62" s="124">
        <f t="shared" si="2"/>
        <v>32</v>
      </c>
      <c r="C62" s="125">
        <v>40032</v>
      </c>
      <c r="D62" s="126" t="s">
        <v>60</v>
      </c>
      <c r="E62" s="127">
        <v>239</v>
      </c>
      <c r="F62" s="127">
        <v>24</v>
      </c>
      <c r="G62" s="127">
        <f t="shared" si="3"/>
        <v>210</v>
      </c>
      <c r="H62" s="127">
        <v>29</v>
      </c>
    </row>
    <row r="63" spans="2:8" x14ac:dyDescent="0.2">
      <c r="B63" s="124">
        <f t="shared" si="2"/>
        <v>32</v>
      </c>
      <c r="C63" s="125">
        <v>40032</v>
      </c>
      <c r="D63" s="126" t="s">
        <v>61</v>
      </c>
      <c r="E63" s="127">
        <v>469</v>
      </c>
      <c r="F63" s="127">
        <v>23</v>
      </c>
      <c r="G63" s="127">
        <f t="shared" si="3"/>
        <v>434</v>
      </c>
      <c r="H63" s="127">
        <v>35</v>
      </c>
    </row>
    <row r="64" spans="2:8" x14ac:dyDescent="0.2">
      <c r="B64" s="124">
        <f t="shared" si="2"/>
        <v>32</v>
      </c>
      <c r="C64" s="125">
        <v>40032</v>
      </c>
      <c r="D64" s="126" t="s">
        <v>62</v>
      </c>
      <c r="E64" s="127">
        <v>656</v>
      </c>
      <c r="F64" s="127">
        <v>7</v>
      </c>
      <c r="G64" s="127">
        <f t="shared" si="3"/>
        <v>577</v>
      </c>
      <c r="H64" s="127">
        <v>79</v>
      </c>
    </row>
    <row r="65" spans="2:8" x14ac:dyDescent="0.2">
      <c r="B65" s="124">
        <f t="shared" si="2"/>
        <v>32</v>
      </c>
      <c r="C65" s="125">
        <v>40032</v>
      </c>
      <c r="D65" s="126" t="s">
        <v>63</v>
      </c>
      <c r="E65" s="127">
        <v>314</v>
      </c>
      <c r="F65" s="127">
        <v>31</v>
      </c>
      <c r="G65" s="127">
        <f t="shared" si="3"/>
        <v>265</v>
      </c>
      <c r="H65" s="127">
        <v>49</v>
      </c>
    </row>
    <row r="66" spans="2:8" x14ac:dyDescent="0.2">
      <c r="B66" s="124">
        <f t="shared" si="2"/>
        <v>33</v>
      </c>
      <c r="C66" s="125">
        <v>40039</v>
      </c>
      <c r="D66" s="126" t="s">
        <v>59</v>
      </c>
      <c r="E66" s="127">
        <v>363</v>
      </c>
      <c r="F66" s="127">
        <v>25</v>
      </c>
      <c r="G66" s="127">
        <f t="shared" si="3"/>
        <v>323</v>
      </c>
      <c r="H66" s="127">
        <v>40</v>
      </c>
    </row>
    <row r="67" spans="2:8" x14ac:dyDescent="0.2">
      <c r="B67" s="124">
        <f t="shared" si="2"/>
        <v>33</v>
      </c>
      <c r="C67" s="125">
        <v>40039</v>
      </c>
      <c r="D67" s="126" t="s">
        <v>60</v>
      </c>
      <c r="E67" s="127">
        <v>268</v>
      </c>
      <c r="F67" s="127">
        <v>11</v>
      </c>
      <c r="G67" s="127">
        <f t="shared" si="3"/>
        <v>238</v>
      </c>
      <c r="H67" s="127">
        <v>30</v>
      </c>
    </row>
    <row r="68" spans="2:8" x14ac:dyDescent="0.2">
      <c r="B68" s="124">
        <f t="shared" si="2"/>
        <v>33</v>
      </c>
      <c r="C68" s="125">
        <v>40039</v>
      </c>
      <c r="D68" s="126" t="s">
        <v>61</v>
      </c>
      <c r="E68" s="127">
        <v>517</v>
      </c>
      <c r="F68" s="127">
        <v>31</v>
      </c>
      <c r="G68" s="127">
        <f t="shared" si="3"/>
        <v>478</v>
      </c>
      <c r="H68" s="127">
        <v>39</v>
      </c>
    </row>
    <row r="69" spans="2:8" x14ac:dyDescent="0.2">
      <c r="B69" s="124">
        <f t="shared" si="2"/>
        <v>33</v>
      </c>
      <c r="C69" s="125">
        <v>40039</v>
      </c>
      <c r="D69" s="126" t="s">
        <v>62</v>
      </c>
      <c r="E69" s="127">
        <v>725</v>
      </c>
      <c r="F69" s="127">
        <v>36</v>
      </c>
      <c r="G69" s="127">
        <f t="shared" si="3"/>
        <v>630</v>
      </c>
      <c r="H69" s="127">
        <v>95</v>
      </c>
    </row>
    <row r="70" spans="2:8" x14ac:dyDescent="0.2">
      <c r="B70" s="124">
        <f t="shared" si="2"/>
        <v>33</v>
      </c>
      <c r="C70" s="125">
        <v>40039</v>
      </c>
      <c r="D70" s="126" t="s">
        <v>63</v>
      </c>
      <c r="E70" s="127">
        <v>343</v>
      </c>
      <c r="F70" s="127">
        <v>24</v>
      </c>
      <c r="G70" s="127">
        <f t="shared" si="3"/>
        <v>289</v>
      </c>
      <c r="H70" s="127">
        <v>54</v>
      </c>
    </row>
    <row r="71" spans="2:8" x14ac:dyDescent="0.2">
      <c r="B71" s="124">
        <f t="shared" si="2"/>
        <v>34</v>
      </c>
      <c r="C71" s="125">
        <v>40046</v>
      </c>
      <c r="D71" s="126" t="s">
        <v>59</v>
      </c>
      <c r="E71" s="127">
        <v>400</v>
      </c>
      <c r="F71" s="127">
        <v>0</v>
      </c>
      <c r="G71" s="127">
        <f t="shared" si="3"/>
        <v>356</v>
      </c>
      <c r="H71" s="127">
        <v>44</v>
      </c>
    </row>
    <row r="72" spans="2:8" x14ac:dyDescent="0.2">
      <c r="B72" s="124">
        <f t="shared" si="2"/>
        <v>34</v>
      </c>
      <c r="C72" s="125">
        <v>40046</v>
      </c>
      <c r="D72" s="126" t="s">
        <v>60</v>
      </c>
      <c r="E72" s="127">
        <v>294</v>
      </c>
      <c r="F72" s="127">
        <v>0</v>
      </c>
      <c r="G72" s="127">
        <f t="shared" si="3"/>
        <v>263</v>
      </c>
      <c r="H72" s="127">
        <v>31</v>
      </c>
    </row>
    <row r="73" spans="2:8" x14ac:dyDescent="0.2">
      <c r="B73" s="124">
        <f t="shared" si="2"/>
        <v>34</v>
      </c>
      <c r="C73" s="125">
        <v>40046</v>
      </c>
      <c r="D73" s="126" t="s">
        <v>61</v>
      </c>
      <c r="E73" s="127">
        <v>600</v>
      </c>
      <c r="F73" s="127">
        <v>0</v>
      </c>
      <c r="G73" s="127">
        <f t="shared" si="3"/>
        <v>557</v>
      </c>
      <c r="H73" s="127">
        <v>43</v>
      </c>
    </row>
    <row r="74" spans="2:8" x14ac:dyDescent="0.2">
      <c r="B74" s="124">
        <f t="shared" si="2"/>
        <v>34</v>
      </c>
      <c r="C74" s="125">
        <v>40046</v>
      </c>
      <c r="D74" s="126" t="s">
        <v>62</v>
      </c>
      <c r="E74" s="127">
        <v>798</v>
      </c>
      <c r="F74" s="127">
        <v>0</v>
      </c>
      <c r="G74" s="127">
        <f t="shared" si="3"/>
        <v>694</v>
      </c>
      <c r="H74" s="127">
        <v>104</v>
      </c>
    </row>
    <row r="75" spans="2:8" x14ac:dyDescent="0.2">
      <c r="B75" s="128">
        <f t="shared" si="2"/>
        <v>34</v>
      </c>
      <c r="C75" s="129">
        <v>40046</v>
      </c>
      <c r="D75" s="130" t="s">
        <v>63</v>
      </c>
      <c r="E75" s="131">
        <v>400</v>
      </c>
      <c r="F75" s="131">
        <v>0</v>
      </c>
      <c r="G75" s="131">
        <f t="shared" si="3"/>
        <v>338</v>
      </c>
      <c r="H75" s="131">
        <v>62</v>
      </c>
    </row>
  </sheetData>
  <mergeCells count="1">
    <mergeCell ref="E14:H14"/>
  </mergeCells>
  <phoneticPr fontId="18" type="noConversion"/>
  <printOptions horizontalCentered="1"/>
  <pageMargins left="0" right="0" top="0.39370078740157483" bottom="0.39370078740157483" header="0.19685039370078741" footer="0.19685039370078741"/>
  <pageSetup paperSize="9" scale="8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tabColor rgb="FFFF6600"/>
    <pageSetUpPr fitToPage="1"/>
  </sheetPr>
  <dimension ref="B2:I65"/>
  <sheetViews>
    <sheetView showGridLines="0" zoomScaleNormal="70" zoomScaleSheetLayoutView="55" workbookViewId="0">
      <pane ySplit="5" topLeftCell="A6" activePane="bottomLeft" state="frozen"/>
      <selection activeCell="E17" sqref="E17"/>
      <selection pane="bottomLeft" activeCell="A6" sqref="A6"/>
    </sheetView>
  </sheetViews>
  <sheetFormatPr defaultColWidth="10.7109375" defaultRowHeight="12.75" x14ac:dyDescent="0.2"/>
  <cols>
    <col min="1" max="1" width="2.7109375" style="69" customWidth="1"/>
    <col min="2" max="2" width="13.7109375" style="69" customWidth="1"/>
    <col min="3" max="4" width="20.7109375" style="69" customWidth="1"/>
    <col min="5" max="9" width="15.7109375" style="69" customWidth="1"/>
    <col min="10" max="10" width="2.7109375" style="69" customWidth="1"/>
    <col min="11" max="16384" width="10.7109375" style="69"/>
  </cols>
  <sheetData>
    <row r="2" spans="2:9" ht="30" customHeight="1" thickBot="1" x14ac:dyDescent="0.25">
      <c r="B2" s="103" t="s">
        <v>193</v>
      </c>
      <c r="C2" s="104"/>
      <c r="D2" s="104"/>
      <c r="E2" s="104"/>
      <c r="F2" s="104"/>
      <c r="G2" s="105"/>
      <c r="H2" s="105"/>
      <c r="I2" s="105"/>
    </row>
    <row r="3" spans="2:9" ht="12.75" customHeight="1" x14ac:dyDescent="0.2"/>
    <row r="4" spans="2:9" x14ac:dyDescent="0.2">
      <c r="E4" s="291" t="s">
        <v>109</v>
      </c>
      <c r="F4" s="291"/>
      <c r="G4" s="291"/>
      <c r="H4" s="291"/>
      <c r="I4" s="291"/>
    </row>
    <row r="5" spans="2:9" ht="25.5" x14ac:dyDescent="0.2">
      <c r="B5" s="118" t="s">
        <v>110</v>
      </c>
      <c r="C5" s="118" t="s">
        <v>111</v>
      </c>
      <c r="D5" s="118" t="s">
        <v>112</v>
      </c>
      <c r="E5" s="77" t="s">
        <v>113</v>
      </c>
      <c r="F5" s="77" t="s">
        <v>114</v>
      </c>
      <c r="G5" s="77" t="s">
        <v>115</v>
      </c>
      <c r="H5" s="77" t="s">
        <v>116</v>
      </c>
      <c r="I5" s="77" t="s">
        <v>117</v>
      </c>
    </row>
    <row r="6" spans="2:9" x14ac:dyDescent="0.2">
      <c r="B6" s="206">
        <v>1</v>
      </c>
      <c r="C6" s="207" t="s">
        <v>118</v>
      </c>
      <c r="D6" s="207" t="s">
        <v>119</v>
      </c>
      <c r="E6" s="68">
        <v>39849</v>
      </c>
      <c r="F6" s="68">
        <v>39853</v>
      </c>
      <c r="G6" s="68">
        <v>39877</v>
      </c>
      <c r="H6" s="68"/>
      <c r="I6" s="68"/>
    </row>
    <row r="7" spans="2:9" x14ac:dyDescent="0.2">
      <c r="B7" s="208">
        <v>2</v>
      </c>
      <c r="C7" s="209" t="s">
        <v>120</v>
      </c>
      <c r="D7" s="209" t="s">
        <v>121</v>
      </c>
      <c r="E7" s="210">
        <v>39857</v>
      </c>
      <c r="F7" s="210">
        <v>39862</v>
      </c>
      <c r="G7" s="210">
        <v>39878</v>
      </c>
      <c r="H7" s="210"/>
      <c r="I7" s="210"/>
    </row>
    <row r="8" spans="2:9" x14ac:dyDescent="0.2">
      <c r="B8" s="208">
        <v>3</v>
      </c>
      <c r="C8" s="209" t="s">
        <v>122</v>
      </c>
      <c r="D8" s="209" t="s">
        <v>121</v>
      </c>
      <c r="E8" s="210">
        <v>39863</v>
      </c>
      <c r="F8" s="210">
        <v>39895</v>
      </c>
      <c r="G8" s="210">
        <v>39913</v>
      </c>
      <c r="H8" s="210"/>
      <c r="I8" s="210"/>
    </row>
    <row r="9" spans="2:9" x14ac:dyDescent="0.2">
      <c r="B9" s="208">
        <v>4</v>
      </c>
      <c r="C9" s="209" t="s">
        <v>123</v>
      </c>
      <c r="D9" s="209" t="s">
        <v>124</v>
      </c>
      <c r="E9" s="210">
        <v>39874</v>
      </c>
      <c r="F9" s="210">
        <v>39877</v>
      </c>
      <c r="G9" s="210">
        <v>39888</v>
      </c>
      <c r="H9" s="210"/>
      <c r="I9" s="210"/>
    </row>
    <row r="10" spans="2:9" x14ac:dyDescent="0.2">
      <c r="B10" s="208">
        <v>5</v>
      </c>
      <c r="C10" s="209" t="s">
        <v>125</v>
      </c>
      <c r="D10" s="209" t="s">
        <v>121</v>
      </c>
      <c r="E10" s="210">
        <v>39878</v>
      </c>
      <c r="F10" s="210"/>
      <c r="G10" s="210"/>
      <c r="H10" s="210">
        <v>39883</v>
      </c>
      <c r="I10" s="210"/>
    </row>
    <row r="11" spans="2:9" x14ac:dyDescent="0.2">
      <c r="B11" s="208">
        <v>6</v>
      </c>
      <c r="C11" s="209" t="s">
        <v>126</v>
      </c>
      <c r="D11" s="209" t="s">
        <v>127</v>
      </c>
      <c r="E11" s="210">
        <v>39888</v>
      </c>
      <c r="F11" s="210">
        <v>39892</v>
      </c>
      <c r="G11" s="210">
        <v>39911</v>
      </c>
      <c r="H11" s="210"/>
      <c r="I11" s="210"/>
    </row>
    <row r="12" spans="2:9" x14ac:dyDescent="0.2">
      <c r="B12" s="208">
        <v>7</v>
      </c>
      <c r="C12" s="209" t="s">
        <v>128</v>
      </c>
      <c r="D12" s="209" t="s">
        <v>127</v>
      </c>
      <c r="E12" s="210">
        <v>39889</v>
      </c>
      <c r="F12" s="210">
        <v>39892</v>
      </c>
      <c r="G12" s="210">
        <v>39909</v>
      </c>
      <c r="H12" s="210"/>
      <c r="I12" s="210"/>
    </row>
    <row r="13" spans="2:9" x14ac:dyDescent="0.2">
      <c r="B13" s="208">
        <v>8</v>
      </c>
      <c r="C13" s="209" t="s">
        <v>129</v>
      </c>
      <c r="D13" s="209" t="s">
        <v>127</v>
      </c>
      <c r="E13" s="210">
        <v>39897</v>
      </c>
      <c r="F13" s="210"/>
      <c r="G13" s="210"/>
      <c r="H13" s="210">
        <v>39902</v>
      </c>
      <c r="I13" s="210"/>
    </row>
    <row r="14" spans="2:9" ht="12.75" customHeight="1" x14ac:dyDescent="0.2">
      <c r="B14" s="208">
        <v>9</v>
      </c>
      <c r="C14" s="209" t="s">
        <v>130</v>
      </c>
      <c r="D14" s="209" t="s">
        <v>131</v>
      </c>
      <c r="E14" s="210">
        <v>39903</v>
      </c>
      <c r="F14" s="210">
        <v>39905</v>
      </c>
      <c r="G14" s="210">
        <v>39916</v>
      </c>
      <c r="H14" s="210"/>
      <c r="I14" s="210"/>
    </row>
    <row r="15" spans="2:9" x14ac:dyDescent="0.2">
      <c r="B15" s="208">
        <v>10</v>
      </c>
      <c r="C15" s="209" t="s">
        <v>132</v>
      </c>
      <c r="D15" s="209" t="s">
        <v>124</v>
      </c>
      <c r="E15" s="210">
        <v>39911</v>
      </c>
      <c r="F15" s="210">
        <v>39916</v>
      </c>
      <c r="G15" s="210">
        <v>39931</v>
      </c>
      <c r="H15" s="210"/>
      <c r="I15" s="210"/>
    </row>
    <row r="16" spans="2:9" ht="12.75" customHeight="1" x14ac:dyDescent="0.2">
      <c r="B16" s="208">
        <v>11</v>
      </c>
      <c r="C16" s="209" t="s">
        <v>133</v>
      </c>
      <c r="D16" s="209" t="s">
        <v>124</v>
      </c>
      <c r="E16" s="210">
        <v>39919</v>
      </c>
      <c r="F16" s="210">
        <v>39920</v>
      </c>
      <c r="G16" s="210">
        <v>39930</v>
      </c>
      <c r="H16" s="210"/>
      <c r="I16" s="210"/>
    </row>
    <row r="17" spans="2:9" x14ac:dyDescent="0.2">
      <c r="B17" s="208">
        <v>12</v>
      </c>
      <c r="C17" s="209" t="s">
        <v>134</v>
      </c>
      <c r="D17" s="209" t="s">
        <v>119</v>
      </c>
      <c r="E17" s="210">
        <v>39920</v>
      </c>
      <c r="F17" s="210">
        <v>39924</v>
      </c>
      <c r="G17" s="210">
        <v>39941</v>
      </c>
      <c r="H17" s="210"/>
      <c r="I17" s="210"/>
    </row>
    <row r="18" spans="2:9" ht="12.75" customHeight="1" x14ac:dyDescent="0.2">
      <c r="B18" s="208">
        <v>13</v>
      </c>
      <c r="C18" s="209" t="s">
        <v>135</v>
      </c>
      <c r="D18" s="209" t="s">
        <v>121</v>
      </c>
      <c r="E18" s="210">
        <v>39919</v>
      </c>
      <c r="F18" s="210">
        <v>39923</v>
      </c>
      <c r="G18" s="210">
        <v>39947</v>
      </c>
      <c r="H18" s="210"/>
      <c r="I18" s="210"/>
    </row>
    <row r="19" spans="2:9" x14ac:dyDescent="0.2">
      <c r="B19" s="208">
        <v>14</v>
      </c>
      <c r="C19" s="209" t="s">
        <v>136</v>
      </c>
      <c r="D19" s="209" t="s">
        <v>124</v>
      </c>
      <c r="E19" s="210">
        <v>39923</v>
      </c>
      <c r="F19" s="210"/>
      <c r="G19" s="210"/>
      <c r="H19" s="210"/>
      <c r="I19" s="210">
        <v>39925</v>
      </c>
    </row>
    <row r="20" spans="2:9" x14ac:dyDescent="0.2">
      <c r="B20" s="208">
        <v>15</v>
      </c>
      <c r="C20" s="209" t="s">
        <v>137</v>
      </c>
      <c r="D20" s="209" t="s">
        <v>124</v>
      </c>
      <c r="E20" s="210">
        <v>39927</v>
      </c>
      <c r="F20" s="210">
        <v>39930</v>
      </c>
      <c r="G20" s="210">
        <v>39945</v>
      </c>
      <c r="H20" s="210"/>
      <c r="I20" s="210"/>
    </row>
    <row r="21" spans="2:9" x14ac:dyDescent="0.2">
      <c r="B21" s="208">
        <v>16</v>
      </c>
      <c r="C21" s="209" t="s">
        <v>138</v>
      </c>
      <c r="D21" s="209" t="s">
        <v>139</v>
      </c>
      <c r="E21" s="210">
        <v>39934</v>
      </c>
      <c r="F21" s="210"/>
      <c r="G21" s="210"/>
      <c r="H21" s="210"/>
      <c r="I21" s="210">
        <v>39939</v>
      </c>
    </row>
    <row r="22" spans="2:9" ht="12.75" customHeight="1" x14ac:dyDescent="0.2">
      <c r="B22" s="208">
        <v>17</v>
      </c>
      <c r="C22" s="209" t="s">
        <v>140</v>
      </c>
      <c r="D22" s="209" t="s">
        <v>131</v>
      </c>
      <c r="E22" s="210">
        <v>39934</v>
      </c>
      <c r="F22" s="210">
        <v>39938</v>
      </c>
      <c r="G22" s="210">
        <v>39954</v>
      </c>
      <c r="H22" s="210"/>
      <c r="I22" s="210"/>
    </row>
    <row r="23" spans="2:9" x14ac:dyDescent="0.2">
      <c r="B23" s="208">
        <v>18</v>
      </c>
      <c r="C23" s="209" t="s">
        <v>141</v>
      </c>
      <c r="D23" s="209" t="s">
        <v>139</v>
      </c>
      <c r="E23" s="210">
        <v>39937</v>
      </c>
      <c r="F23" s="210">
        <v>39940</v>
      </c>
      <c r="G23" s="210">
        <v>39958</v>
      </c>
      <c r="H23" s="210"/>
      <c r="I23" s="210"/>
    </row>
    <row r="24" spans="2:9" x14ac:dyDescent="0.2">
      <c r="B24" s="208">
        <v>19</v>
      </c>
      <c r="C24" s="209" t="s">
        <v>142</v>
      </c>
      <c r="D24" s="209" t="s">
        <v>121</v>
      </c>
      <c r="E24" s="210">
        <v>39938</v>
      </c>
      <c r="F24" s="210">
        <v>39940</v>
      </c>
      <c r="G24" s="210">
        <v>39948</v>
      </c>
      <c r="H24" s="210"/>
      <c r="I24" s="210"/>
    </row>
    <row r="25" spans="2:9" x14ac:dyDescent="0.2">
      <c r="B25" s="208">
        <v>20</v>
      </c>
      <c r="C25" s="209" t="s">
        <v>143</v>
      </c>
      <c r="D25" s="209" t="s">
        <v>131</v>
      </c>
      <c r="E25" s="210">
        <v>39938</v>
      </c>
      <c r="F25" s="210">
        <v>39941</v>
      </c>
      <c r="G25" s="210">
        <v>39952</v>
      </c>
      <c r="H25" s="210"/>
      <c r="I25" s="210"/>
    </row>
    <row r="26" spans="2:9" x14ac:dyDescent="0.2">
      <c r="B26" s="208">
        <v>21</v>
      </c>
      <c r="C26" s="209" t="s">
        <v>144</v>
      </c>
      <c r="D26" s="209" t="s">
        <v>139</v>
      </c>
      <c r="E26" s="210">
        <v>39951</v>
      </c>
      <c r="F26" s="210">
        <v>39958</v>
      </c>
      <c r="G26" s="210">
        <v>39973</v>
      </c>
      <c r="H26" s="210"/>
      <c r="I26" s="210"/>
    </row>
    <row r="27" spans="2:9" x14ac:dyDescent="0.2">
      <c r="B27" s="208">
        <v>22</v>
      </c>
      <c r="C27" s="209" t="s">
        <v>145</v>
      </c>
      <c r="D27" s="209" t="s">
        <v>139</v>
      </c>
      <c r="E27" s="210">
        <v>39953</v>
      </c>
      <c r="F27" s="210"/>
      <c r="G27" s="210"/>
      <c r="H27" s="210">
        <v>39958</v>
      </c>
      <c r="I27" s="210"/>
    </row>
    <row r="28" spans="2:9" x14ac:dyDescent="0.2">
      <c r="B28" s="208">
        <v>23</v>
      </c>
      <c r="C28" s="209" t="s">
        <v>146</v>
      </c>
      <c r="D28" s="209" t="s">
        <v>127</v>
      </c>
      <c r="E28" s="210">
        <v>39954</v>
      </c>
      <c r="F28" s="210">
        <v>39959</v>
      </c>
      <c r="G28" s="210">
        <v>39966</v>
      </c>
      <c r="H28" s="210"/>
      <c r="I28" s="210"/>
    </row>
    <row r="29" spans="2:9" x14ac:dyDescent="0.2">
      <c r="B29" s="208">
        <v>24</v>
      </c>
      <c r="C29" s="209" t="s">
        <v>147</v>
      </c>
      <c r="D29" s="209" t="s">
        <v>119</v>
      </c>
      <c r="E29" s="210">
        <v>39962</v>
      </c>
      <c r="F29" s="210">
        <v>39967</v>
      </c>
      <c r="G29" s="210">
        <v>39980</v>
      </c>
      <c r="H29" s="210"/>
      <c r="I29" s="210"/>
    </row>
    <row r="30" spans="2:9" x14ac:dyDescent="0.2">
      <c r="B30" s="208">
        <v>25</v>
      </c>
      <c r="C30" s="209" t="s">
        <v>148</v>
      </c>
      <c r="D30" s="209" t="s">
        <v>124</v>
      </c>
      <c r="E30" s="210">
        <v>39969</v>
      </c>
      <c r="F30" s="210"/>
      <c r="G30" s="210"/>
      <c r="H30" s="210"/>
      <c r="I30" s="210">
        <v>39974</v>
      </c>
    </row>
    <row r="31" spans="2:9" x14ac:dyDescent="0.2">
      <c r="B31" s="208">
        <v>26</v>
      </c>
      <c r="C31" s="209" t="s">
        <v>149</v>
      </c>
      <c r="D31" s="209" t="s">
        <v>139</v>
      </c>
      <c r="E31" s="210">
        <v>39975</v>
      </c>
      <c r="F31" s="210">
        <v>39979</v>
      </c>
      <c r="G31" s="210">
        <v>40003</v>
      </c>
      <c r="H31" s="210"/>
      <c r="I31" s="210"/>
    </row>
    <row r="32" spans="2:9" x14ac:dyDescent="0.2">
      <c r="B32" s="208">
        <v>27</v>
      </c>
      <c r="C32" s="209" t="s">
        <v>150</v>
      </c>
      <c r="D32" s="209" t="s">
        <v>131</v>
      </c>
      <c r="E32" s="210">
        <v>39982</v>
      </c>
      <c r="F32" s="210"/>
      <c r="G32" s="210"/>
      <c r="H32" s="210">
        <v>39986</v>
      </c>
      <c r="I32" s="210"/>
    </row>
    <row r="33" spans="2:9" x14ac:dyDescent="0.2">
      <c r="B33" s="208">
        <v>28</v>
      </c>
      <c r="C33" s="209" t="s">
        <v>151</v>
      </c>
      <c r="D33" s="209" t="s">
        <v>124</v>
      </c>
      <c r="E33" s="210">
        <v>39982</v>
      </c>
      <c r="F33" s="210">
        <v>39986</v>
      </c>
      <c r="G33" s="210">
        <v>40007</v>
      </c>
      <c r="H33" s="210"/>
      <c r="I33" s="210"/>
    </row>
    <row r="34" spans="2:9" x14ac:dyDescent="0.2">
      <c r="B34" s="208">
        <v>29</v>
      </c>
      <c r="C34" s="209" t="s">
        <v>152</v>
      </c>
      <c r="D34" s="209" t="s">
        <v>127</v>
      </c>
      <c r="E34" s="210">
        <v>39986</v>
      </c>
      <c r="F34" s="210">
        <v>39989</v>
      </c>
      <c r="G34" s="210">
        <v>40002</v>
      </c>
      <c r="H34" s="210"/>
      <c r="I34" s="210"/>
    </row>
    <row r="35" spans="2:9" x14ac:dyDescent="0.2">
      <c r="B35" s="208">
        <v>30</v>
      </c>
      <c r="C35" s="209" t="s">
        <v>153</v>
      </c>
      <c r="D35" s="209" t="s">
        <v>131</v>
      </c>
      <c r="E35" s="210">
        <v>39990</v>
      </c>
      <c r="F35" s="210"/>
      <c r="G35" s="210"/>
      <c r="H35" s="210"/>
      <c r="I35" s="210">
        <v>39995</v>
      </c>
    </row>
    <row r="36" spans="2:9" x14ac:dyDescent="0.2">
      <c r="B36" s="208">
        <v>31</v>
      </c>
      <c r="C36" s="209" t="s">
        <v>154</v>
      </c>
      <c r="D36" s="209" t="s">
        <v>131</v>
      </c>
      <c r="E36" s="210">
        <v>39990</v>
      </c>
      <c r="F36" s="210"/>
      <c r="G36" s="210"/>
      <c r="H36" s="210"/>
      <c r="I36" s="210">
        <v>39993</v>
      </c>
    </row>
    <row r="37" spans="2:9" x14ac:dyDescent="0.2">
      <c r="B37" s="208">
        <v>32</v>
      </c>
      <c r="C37" s="209" t="s">
        <v>155</v>
      </c>
      <c r="D37" s="209" t="s">
        <v>124</v>
      </c>
      <c r="E37" s="210">
        <v>39996</v>
      </c>
      <c r="F37" s="210">
        <v>40000</v>
      </c>
      <c r="G37" s="210">
        <v>40022</v>
      </c>
      <c r="H37" s="210"/>
      <c r="I37" s="210"/>
    </row>
    <row r="38" spans="2:9" x14ac:dyDescent="0.2">
      <c r="B38" s="208">
        <v>33</v>
      </c>
      <c r="C38" s="209" t="s">
        <v>156</v>
      </c>
      <c r="D38" s="209" t="s">
        <v>124</v>
      </c>
      <c r="E38" s="210">
        <v>40001</v>
      </c>
      <c r="F38" s="210">
        <v>40004</v>
      </c>
      <c r="G38" s="210">
        <v>40016</v>
      </c>
      <c r="H38" s="210"/>
      <c r="I38" s="210"/>
    </row>
    <row r="39" spans="2:9" x14ac:dyDescent="0.2">
      <c r="B39" s="208">
        <v>34</v>
      </c>
      <c r="C39" s="209" t="s">
        <v>157</v>
      </c>
      <c r="D39" s="209" t="s">
        <v>124</v>
      </c>
      <c r="E39" s="210">
        <v>40009</v>
      </c>
      <c r="F39" s="210">
        <v>40014</v>
      </c>
      <c r="G39" s="210">
        <v>40023</v>
      </c>
      <c r="H39" s="210"/>
      <c r="I39" s="210"/>
    </row>
    <row r="40" spans="2:9" x14ac:dyDescent="0.2">
      <c r="B40" s="208">
        <v>35</v>
      </c>
      <c r="C40" s="209" t="s">
        <v>158</v>
      </c>
      <c r="D40" s="209" t="s">
        <v>127</v>
      </c>
      <c r="E40" s="210">
        <v>40018</v>
      </c>
      <c r="F40" s="210"/>
      <c r="G40" s="210"/>
      <c r="H40" s="210">
        <v>40021</v>
      </c>
      <c r="I40" s="210"/>
    </row>
    <row r="41" spans="2:9" x14ac:dyDescent="0.2">
      <c r="B41" s="208">
        <v>36</v>
      </c>
      <c r="C41" s="209" t="s">
        <v>159</v>
      </c>
      <c r="D41" s="209" t="s">
        <v>121</v>
      </c>
      <c r="E41" s="210">
        <v>40018</v>
      </c>
      <c r="F41" s="210">
        <v>40022</v>
      </c>
      <c r="G41" s="210">
        <v>40037</v>
      </c>
      <c r="H41" s="210"/>
      <c r="I41" s="210"/>
    </row>
    <row r="42" spans="2:9" x14ac:dyDescent="0.2">
      <c r="B42" s="208">
        <v>37</v>
      </c>
      <c r="C42" s="209" t="s">
        <v>160</v>
      </c>
      <c r="D42" s="209" t="s">
        <v>121</v>
      </c>
      <c r="E42" s="210">
        <v>40022</v>
      </c>
      <c r="F42" s="210">
        <v>40025</v>
      </c>
      <c r="G42" s="210">
        <v>40042</v>
      </c>
      <c r="H42" s="210"/>
      <c r="I42" s="210"/>
    </row>
    <row r="43" spans="2:9" x14ac:dyDescent="0.2">
      <c r="B43" s="208">
        <v>38</v>
      </c>
      <c r="C43" s="209" t="s">
        <v>161</v>
      </c>
      <c r="D43" s="209" t="s">
        <v>124</v>
      </c>
      <c r="E43" s="210">
        <v>40023</v>
      </c>
      <c r="F43" s="210">
        <v>40028</v>
      </c>
      <c r="G43" s="210">
        <v>40045</v>
      </c>
      <c r="H43" s="210"/>
      <c r="I43" s="210"/>
    </row>
    <row r="44" spans="2:9" x14ac:dyDescent="0.2">
      <c r="B44" s="208">
        <v>39</v>
      </c>
      <c r="C44" s="209" t="s">
        <v>162</v>
      </c>
      <c r="D44" s="209" t="s">
        <v>121</v>
      </c>
      <c r="E44" s="210">
        <v>40039</v>
      </c>
      <c r="F44" s="210"/>
      <c r="G44" s="210"/>
      <c r="H44" s="210"/>
      <c r="I44" s="210">
        <v>40044</v>
      </c>
    </row>
    <row r="45" spans="2:9" x14ac:dyDescent="0.2">
      <c r="B45" s="208">
        <v>40</v>
      </c>
      <c r="C45" s="209" t="s">
        <v>163</v>
      </c>
      <c r="D45" s="209" t="s">
        <v>121</v>
      </c>
      <c r="E45" s="210">
        <v>40049</v>
      </c>
      <c r="F45" s="210">
        <v>40052</v>
      </c>
      <c r="G45" s="210"/>
      <c r="H45" s="210"/>
      <c r="I45" s="210"/>
    </row>
    <row r="46" spans="2:9" x14ac:dyDescent="0.2">
      <c r="B46" s="208">
        <v>41</v>
      </c>
      <c r="C46" s="209" t="s">
        <v>164</v>
      </c>
      <c r="D46" s="209" t="s">
        <v>131</v>
      </c>
      <c r="E46" s="210">
        <v>40057</v>
      </c>
      <c r="F46" s="210"/>
      <c r="G46" s="210"/>
      <c r="H46" s="210"/>
      <c r="I46" s="210">
        <v>40060</v>
      </c>
    </row>
    <row r="47" spans="2:9" x14ac:dyDescent="0.2">
      <c r="B47" s="208">
        <v>42</v>
      </c>
      <c r="C47" s="209" t="s">
        <v>165</v>
      </c>
      <c r="D47" s="209" t="s">
        <v>121</v>
      </c>
      <c r="E47" s="210">
        <v>40059</v>
      </c>
      <c r="F47" s="210">
        <v>40060</v>
      </c>
      <c r="G47" s="210"/>
      <c r="H47" s="210"/>
      <c r="I47" s="210"/>
    </row>
    <row r="48" spans="2:9" x14ac:dyDescent="0.2">
      <c r="B48" s="208">
        <v>43</v>
      </c>
      <c r="C48" s="209" t="s">
        <v>166</v>
      </c>
      <c r="D48" s="209" t="s">
        <v>139</v>
      </c>
      <c r="E48" s="210">
        <v>40065</v>
      </c>
      <c r="F48" s="210"/>
      <c r="G48" s="210"/>
      <c r="H48" s="210"/>
      <c r="I48" s="210">
        <v>40070</v>
      </c>
    </row>
    <row r="49" spans="2:9" x14ac:dyDescent="0.2">
      <c r="B49" s="208">
        <v>44</v>
      </c>
      <c r="C49" s="209" t="s">
        <v>167</v>
      </c>
      <c r="D49" s="209" t="s">
        <v>121</v>
      </c>
      <c r="E49" s="210">
        <v>40067</v>
      </c>
      <c r="F49" s="210"/>
      <c r="G49" s="210"/>
      <c r="H49" s="210"/>
      <c r="I49" s="210">
        <v>40070</v>
      </c>
    </row>
    <row r="50" spans="2:9" x14ac:dyDescent="0.2">
      <c r="B50" s="208">
        <v>45</v>
      </c>
      <c r="C50" s="209" t="s">
        <v>168</v>
      </c>
      <c r="D50" s="209" t="s">
        <v>131</v>
      </c>
      <c r="E50" s="210">
        <v>40077</v>
      </c>
      <c r="F50" s="210">
        <v>40080</v>
      </c>
      <c r="G50" s="210"/>
      <c r="H50" s="210"/>
      <c r="I50" s="210"/>
    </row>
    <row r="51" spans="2:9" x14ac:dyDescent="0.2">
      <c r="B51" s="208">
        <v>46</v>
      </c>
      <c r="C51" s="209" t="s">
        <v>169</v>
      </c>
      <c r="D51" s="209" t="s">
        <v>139</v>
      </c>
      <c r="E51" s="210">
        <v>40078</v>
      </c>
      <c r="F51" s="210"/>
      <c r="G51" s="210"/>
      <c r="H51" s="210"/>
      <c r="I51" s="210">
        <v>40084</v>
      </c>
    </row>
    <row r="52" spans="2:9" x14ac:dyDescent="0.2">
      <c r="B52" s="208">
        <v>47</v>
      </c>
      <c r="C52" s="209" t="s">
        <v>170</v>
      </c>
      <c r="D52" s="209" t="s">
        <v>121</v>
      </c>
      <c r="E52" s="210">
        <v>40080</v>
      </c>
      <c r="F52" s="210">
        <v>40085</v>
      </c>
      <c r="G52" s="210"/>
      <c r="H52" s="210"/>
      <c r="I52" s="210"/>
    </row>
    <row r="53" spans="2:9" x14ac:dyDescent="0.2">
      <c r="B53" s="208">
        <v>48</v>
      </c>
      <c r="C53" s="209" t="s">
        <v>171</v>
      </c>
      <c r="D53" s="209" t="s">
        <v>121</v>
      </c>
      <c r="E53" s="210">
        <v>40080</v>
      </c>
      <c r="F53" s="210">
        <v>40085</v>
      </c>
      <c r="G53" s="210"/>
      <c r="H53" s="210"/>
      <c r="I53" s="210"/>
    </row>
    <row r="54" spans="2:9" x14ac:dyDescent="0.2">
      <c r="B54" s="208">
        <v>49</v>
      </c>
      <c r="C54" s="209" t="s">
        <v>172</v>
      </c>
      <c r="D54" s="209" t="s">
        <v>124</v>
      </c>
      <c r="E54" s="210">
        <v>40081</v>
      </c>
      <c r="F54" s="210">
        <v>40084</v>
      </c>
      <c r="G54" s="210"/>
      <c r="H54" s="210"/>
      <c r="I54" s="210"/>
    </row>
    <row r="55" spans="2:9" x14ac:dyDescent="0.2">
      <c r="B55" s="208">
        <v>50</v>
      </c>
      <c r="C55" s="209" t="s">
        <v>173</v>
      </c>
      <c r="D55" s="209" t="s">
        <v>121</v>
      </c>
      <c r="E55" s="210">
        <v>40086</v>
      </c>
      <c r="F55" s="210"/>
      <c r="G55" s="210"/>
      <c r="H55" s="210"/>
      <c r="I55" s="210">
        <v>40088</v>
      </c>
    </row>
    <row r="56" spans="2:9" x14ac:dyDescent="0.2">
      <c r="B56" s="208"/>
      <c r="C56" s="209"/>
      <c r="D56" s="209"/>
      <c r="E56" s="210"/>
      <c r="F56" s="210"/>
      <c r="G56" s="210"/>
      <c r="H56" s="210"/>
      <c r="I56" s="210"/>
    </row>
    <row r="57" spans="2:9" x14ac:dyDescent="0.2">
      <c r="B57" s="208"/>
      <c r="C57" s="209"/>
      <c r="D57" s="209"/>
      <c r="E57" s="210"/>
      <c r="F57" s="210"/>
      <c r="G57" s="210"/>
      <c r="H57" s="210"/>
      <c r="I57" s="210"/>
    </row>
    <row r="58" spans="2:9" x14ac:dyDescent="0.2">
      <c r="B58" s="208"/>
      <c r="C58" s="209"/>
      <c r="D58" s="209"/>
      <c r="E58" s="210"/>
      <c r="F58" s="210"/>
      <c r="G58" s="210"/>
      <c r="H58" s="210"/>
      <c r="I58" s="210"/>
    </row>
    <row r="59" spans="2:9" x14ac:dyDescent="0.2">
      <c r="B59" s="208"/>
      <c r="C59" s="209"/>
      <c r="D59" s="209"/>
      <c r="E59" s="210"/>
      <c r="F59" s="210"/>
      <c r="G59" s="210"/>
      <c r="H59" s="210"/>
      <c r="I59" s="210"/>
    </row>
    <row r="60" spans="2:9" x14ac:dyDescent="0.2">
      <c r="B60" s="208"/>
      <c r="C60" s="209"/>
      <c r="D60" s="209"/>
      <c r="E60" s="210"/>
      <c r="F60" s="210"/>
      <c r="G60" s="210"/>
      <c r="H60" s="210"/>
      <c r="I60" s="210"/>
    </row>
    <row r="61" spans="2:9" x14ac:dyDescent="0.2">
      <c r="B61" s="208"/>
      <c r="C61" s="209"/>
      <c r="D61" s="209"/>
      <c r="E61" s="210"/>
      <c r="F61" s="210"/>
      <c r="G61" s="210"/>
      <c r="H61" s="210"/>
      <c r="I61" s="210"/>
    </row>
    <row r="62" spans="2:9" x14ac:dyDescent="0.2">
      <c r="B62" s="208"/>
      <c r="C62" s="209"/>
      <c r="D62" s="209"/>
      <c r="E62" s="210"/>
      <c r="F62" s="210"/>
      <c r="G62" s="210"/>
      <c r="H62" s="210"/>
      <c r="I62" s="210"/>
    </row>
    <row r="63" spans="2:9" x14ac:dyDescent="0.2">
      <c r="B63" s="208"/>
      <c r="C63" s="209"/>
      <c r="D63" s="209"/>
      <c r="E63" s="210"/>
      <c r="F63" s="210"/>
      <c r="G63" s="210"/>
      <c r="H63" s="210"/>
      <c r="I63" s="210"/>
    </row>
    <row r="64" spans="2:9" x14ac:dyDescent="0.2">
      <c r="B64" s="208"/>
      <c r="C64" s="209"/>
      <c r="D64" s="209"/>
      <c r="E64" s="210"/>
      <c r="F64" s="210"/>
      <c r="G64" s="210"/>
      <c r="H64" s="210"/>
      <c r="I64" s="210"/>
    </row>
    <row r="65" spans="2:9" x14ac:dyDescent="0.2">
      <c r="B65" s="211"/>
      <c r="C65" s="212"/>
      <c r="D65" s="212"/>
      <c r="E65" s="213"/>
      <c r="F65" s="213"/>
      <c r="G65" s="213"/>
      <c r="H65" s="213"/>
      <c r="I65" s="213"/>
    </row>
  </sheetData>
  <mergeCells count="1">
    <mergeCell ref="E4:I4"/>
  </mergeCells>
  <phoneticPr fontId="18" type="noConversion"/>
  <printOptions horizontalCentered="1"/>
  <pageMargins left="0" right="0" top="0.39370078740157483" bottom="0.39370078740157483" header="0.19685039370078741" footer="0.19685039370078741"/>
  <pageSetup paperSize="9" scale="8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tabColor indexed="8"/>
    <pageSetUpPr fitToPage="1"/>
  </sheetPr>
  <dimension ref="B2:P87"/>
  <sheetViews>
    <sheetView showGridLines="0" workbookViewId="0"/>
  </sheetViews>
  <sheetFormatPr defaultColWidth="10.7109375" defaultRowHeight="12.75" x14ac:dyDescent="0.2"/>
  <cols>
    <col min="1" max="1" width="1.7109375" style="7" customWidth="1"/>
    <col min="2" max="2" width="21.7109375" style="7" customWidth="1"/>
    <col min="3" max="16" width="14.7109375" style="7" customWidth="1"/>
    <col min="17" max="17" width="1.7109375" style="7" customWidth="1"/>
    <col min="18" max="16384" width="10.7109375" style="7"/>
  </cols>
  <sheetData>
    <row r="2" spans="2:16" s="3" customFormat="1" ht="30" customHeight="1" thickBot="1" x14ac:dyDescent="0.25">
      <c r="B2" s="1" t="s">
        <v>195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2:16" x14ac:dyDescent="0.2">
      <c r="C4" s="11" t="s">
        <v>32</v>
      </c>
      <c r="D4" s="11" t="s">
        <v>1</v>
      </c>
      <c r="E4" s="11" t="s">
        <v>31</v>
      </c>
      <c r="F4" s="11" t="s">
        <v>30</v>
      </c>
      <c r="G4" s="11" t="s">
        <v>6</v>
      </c>
    </row>
    <row r="5" spans="2:16" x14ac:dyDescent="0.2">
      <c r="B5" s="8" t="s">
        <v>0</v>
      </c>
      <c r="C5" s="50">
        <f>SUMPRODUCT((C$4='Data Defects'!$C$5:$C$504)*('Data Defects'!$E$5:$E$504&gt;0)*('Data Defects'!$E$5:$E$504&lt;='Control General'!$C$10)*(('Data Defects'!$F$5:$F$504=0)+('Data Defects'!$F$5:$F$504&gt;'Control General'!$C$10))*(('Data Defects'!$G$5:$G$504=0)+('Data Defects'!$G$5:$G$504&gt;'Control General'!$C$10)))</f>
        <v>3</v>
      </c>
      <c r="D5" s="50">
        <f>SUMPRODUCT((D$4='Data Defects'!$C$5:$C$504)*('Data Defects'!$E$5:$E$504&gt;0)*('Data Defects'!$E$5:$E$504&lt;='Control General'!$C$10)*(('Data Defects'!$F$5:$F$504=0)+('Data Defects'!$F$5:$F$504&gt;'Control General'!$C$10))*(('Data Defects'!$G$5:$G$504=0)+('Data Defects'!$G$5:$G$504&gt;'Control General'!$C$10)))</f>
        <v>14</v>
      </c>
      <c r="E5" s="50">
        <f>SUMPRODUCT((E$4='Data Defects'!$C$5:$C$504)*('Data Defects'!$E$5:$E$504&gt;0)*('Data Defects'!$E$5:$E$504&lt;='Control General'!$C$10)*(('Data Defects'!$F$5:$F$504=0)+('Data Defects'!$F$5:$F$504&gt;'Control General'!$C$10))*(('Data Defects'!$G$5:$G$504=0)+('Data Defects'!$G$5:$G$504&gt;'Control General'!$C$10)))</f>
        <v>23</v>
      </c>
      <c r="F5" s="50">
        <f>SUMPRODUCT((F$4='Data Defects'!$C$5:$C$504)*('Data Defects'!$E$5:$E$504&gt;0)*('Data Defects'!$E$5:$E$504&lt;='Control General'!$C$10)*(('Data Defects'!$F$5:$F$504=0)+('Data Defects'!$F$5:$F$504&gt;'Control General'!$C$10))*(('Data Defects'!$G$5:$G$504=0)+('Data Defects'!$G$5:$G$504&gt;'Control General'!$C$10)))</f>
        <v>3</v>
      </c>
      <c r="G5" s="50">
        <f>SUM(C5:F5)</f>
        <v>43</v>
      </c>
    </row>
    <row r="6" spans="2:16" x14ac:dyDescent="0.2">
      <c r="B6" s="9" t="s">
        <v>2</v>
      </c>
      <c r="C6" s="51">
        <f>SUMPRODUCT((C$4='Data Defects'!$C$5:$C$504)*('Data Defects'!$F$5:$F$504&gt;0)*('Data Defects'!$F$5:$F$504&lt;='Control General'!$C$10)*(('Data Defects'!$G$5:$G$504=0)+('Data Defects'!$G$5:$G$504&gt;'Control General'!$C$10)))</f>
        <v>0</v>
      </c>
      <c r="D6" s="51">
        <f>SUMPRODUCT((D$4='Data Defects'!$C$5:$C$504)*('Data Defects'!$F$5:$F$504&gt;0)*('Data Defects'!$F$5:$F$504&lt;='Control General'!$C$10)*(('Data Defects'!$G$5:$G$504=0)+('Data Defects'!$G$5:$G$504&gt;'Control General'!$C$10)))</f>
        <v>7</v>
      </c>
      <c r="E6" s="51">
        <f>SUMPRODUCT((E$4='Data Defects'!$C$5:$C$504)*('Data Defects'!$F$5:$F$504&gt;0)*('Data Defects'!$F$5:$F$504&lt;='Control General'!$C$10)*(('Data Defects'!$G$5:$G$504=0)+('Data Defects'!$G$5:$G$504&gt;'Control General'!$C$10)))</f>
        <v>9</v>
      </c>
      <c r="F6" s="51">
        <f>SUMPRODUCT((F$4='Data Defects'!$C$5:$C$504)*('Data Defects'!$F$5:$F$504&gt;0)*('Data Defects'!$F$5:$F$504&lt;='Control General'!$C$10)*(('Data Defects'!$G$5:$G$504=0)+('Data Defects'!$G$5:$G$504&gt;'Control General'!$C$10)))</f>
        <v>0</v>
      </c>
      <c r="G6" s="52">
        <f>SUM(C6:F6)</f>
        <v>16</v>
      </c>
    </row>
    <row r="7" spans="2:16" x14ac:dyDescent="0.2">
      <c r="B7" s="9" t="s">
        <v>34</v>
      </c>
      <c r="C7" s="51">
        <f>IF('Control General'!$C$10&gt;='Control General'!$C$6,SUMPRODUCT(($B7='Data Defects'!$D$5:$D$504)*(C$4='Data Defects'!$C$5:$C$504)),SUMPRODUCT((C$4='Data Defects'!$C$5:$C$504)*('Data Defects'!$G$5:$G$504&gt;0)*('Control General'!$C$10&gt;='Data Defects'!$G$5:$G$504)))</f>
        <v>9</v>
      </c>
      <c r="D7" s="51">
        <f>IF('Control General'!$C$10&gt;='Control General'!$C$6,SUMPRODUCT(($B7='Data Defects'!$D$5:$D$504)*(D$4='Data Defects'!$C$5:$C$504)),SUMPRODUCT((D$4='Data Defects'!$C$5:$C$504)*('Data Defects'!$G$5:$G$504&gt;0)*('Control General'!$C$10&gt;='Data Defects'!$G$5:$G$504)))</f>
        <v>79</v>
      </c>
      <c r="E7" s="51">
        <f>IF('Control General'!$C$10&gt;='Control General'!$C$6,SUMPRODUCT(($B7='Data Defects'!$D$5:$D$504)*(E$4='Data Defects'!$C$5:$C$504)),SUMPRODUCT((E$4='Data Defects'!$C$5:$C$504)*('Data Defects'!$G$5:$G$504&gt;0)*('Control General'!$C$10&gt;='Data Defects'!$G$5:$G$504)))</f>
        <v>92</v>
      </c>
      <c r="F7" s="51">
        <f>IF('Control General'!$C$10&gt;='Control General'!$C$6,SUMPRODUCT(($B7='Data Defects'!$D$5:$D$504)*(F$4='Data Defects'!$C$5:$C$504)),SUMPRODUCT((F$4='Data Defects'!$C$5:$C$504)*('Data Defects'!$G$5:$G$504&gt;0)*('Control General'!$C$10&gt;='Data Defects'!$G$5:$G$504)))</f>
        <v>16</v>
      </c>
      <c r="G7" s="52">
        <f>SUM(C7:F7)</f>
        <v>196</v>
      </c>
    </row>
    <row r="8" spans="2:16" x14ac:dyDescent="0.2">
      <c r="B8" s="14" t="s">
        <v>6</v>
      </c>
      <c r="C8" s="53">
        <f>SUM(C5:C7)</f>
        <v>12</v>
      </c>
      <c r="D8" s="53">
        <f>SUM(D5:D7)</f>
        <v>100</v>
      </c>
      <c r="E8" s="53">
        <f>SUM(E5:E7)</f>
        <v>124</v>
      </c>
      <c r="F8" s="53">
        <f>SUM(F5:F7)</f>
        <v>19</v>
      </c>
      <c r="G8" s="53">
        <f>SUM(C8:F8)</f>
        <v>255</v>
      </c>
    </row>
    <row r="10" spans="2:16" ht="25.5" x14ac:dyDescent="0.2">
      <c r="B10" s="12" t="s">
        <v>3</v>
      </c>
      <c r="C10" s="12" t="s">
        <v>9</v>
      </c>
      <c r="D10" s="12" t="s">
        <v>10</v>
      </c>
      <c r="E10" s="13" t="s">
        <v>7</v>
      </c>
      <c r="F10" s="13" t="s">
        <v>8</v>
      </c>
      <c r="G10" s="13" t="s">
        <v>38</v>
      </c>
      <c r="H10" s="13" t="s">
        <v>4</v>
      </c>
      <c r="I10" s="13" t="s">
        <v>5</v>
      </c>
      <c r="J10" s="13" t="s">
        <v>39</v>
      </c>
      <c r="K10" s="13" t="s">
        <v>20</v>
      </c>
      <c r="L10" s="13" t="s">
        <v>35</v>
      </c>
      <c r="M10" s="13" t="s">
        <v>36</v>
      </c>
      <c r="N10" s="13" t="s">
        <v>20</v>
      </c>
      <c r="O10" s="13" t="s">
        <v>35</v>
      </c>
      <c r="P10" s="13" t="s">
        <v>36</v>
      </c>
    </row>
    <row r="11" spans="2:16" x14ac:dyDescent="0.2">
      <c r="B11" s="15">
        <f>ROUNDDOWN((C11-DATE(YEAR(C11+MOD(8-WEEKDAY(C11),7)-3),1,1)-3+MOD(WEEKDAY(DATE(YEAR(C11+MOD(8-WEEKDAY(C11),7)-3),1,1))+1,7))/7+1,0)</f>
        <v>11</v>
      </c>
      <c r="C11" s="16">
        <f t="shared" ref="C11:C27" si="0">D11-6</f>
        <v>39881</v>
      </c>
      <c r="D11" s="16">
        <f t="shared" ref="D11:D26" si="1">D12-7</f>
        <v>39887</v>
      </c>
      <c r="E11" s="47">
        <f>SUMPRODUCT(($C11&lt;='Data Defects'!$E$5:$E$504)*('Control Defects'!$D11&gt;='Data Defects'!$E$5:$E$504))</f>
        <v>19</v>
      </c>
      <c r="F11" s="47">
        <f>SUMPRODUCT(($C11&lt;='Data Defects'!$F$5:$F$504)*('Control Defects'!$D11&gt;='Data Defects'!$F$5:$F$504))</f>
        <v>13</v>
      </c>
      <c r="G11" s="47">
        <f>SUMPRODUCT(($C11&lt;='Data Defects'!$G$5:$G$504)*('Control Defects'!$D11&gt;='Data Defects'!$G$5:$G$504))</f>
        <v>5</v>
      </c>
      <c r="H11" s="47">
        <f>SUMPRODUCT(($C$36&lt;='Data Defects'!$E$5:$E$504)*('Control Defects'!$D11&gt;='Data Defects'!$E$5:$E$504))</f>
        <v>86</v>
      </c>
      <c r="I11" s="47">
        <f>SUMPRODUCT(($C$36&lt;='Data Defects'!$F$5:$F$504)*('Control Defects'!$D11&gt;='Data Defects'!$F$5:$F$504))</f>
        <v>43</v>
      </c>
      <c r="J11" s="47">
        <f>SUMPRODUCT(($C$36&lt;='Data Defects'!$G$5:$G$504)*('Control Defects'!$D11&gt;='Data Defects'!$G$5:$G$504))</f>
        <v>27</v>
      </c>
      <c r="K11" s="54">
        <f>IF(ISERROR(N11),0,N11)</f>
        <v>9.7441860465116275</v>
      </c>
      <c r="L11" s="54">
        <f t="shared" ref="L11:M26" si="2">IF(ISERROR(O11),0,O11)</f>
        <v>3</v>
      </c>
      <c r="M11" s="54">
        <f t="shared" si="2"/>
        <v>11.851851851851851</v>
      </c>
      <c r="N11" s="54">
        <f t="array" ref="N11">SUM(('Data Defects'!$F$5:$F$504&gt;0)*('Data Defects'!$F$5:$F$504&lt;=$D11)*('Data Defects'!$F$5:$F$504-'Data Defects'!$E$5:$E$504))/SUM(('Data Defects'!$F$5:$F$504&lt;=$D11)*('Data Defects'!$F$5:$F$504&gt;0))</f>
        <v>9.7441860465116275</v>
      </c>
      <c r="O11" s="54">
        <f t="array" ref="O11">SUM(('Data Defects'!$G$5:$G$504&gt;0)*('Data Defects'!$G$5:$G$504&lt;=$D11)*('Data Defects'!$G$5:$G$504-'Data Defects'!$F$5:$F$504))/SUM(('Data Defects'!$G$5:$G$504&lt;=$D11)*('Data Defects'!$G$5:$G$504&gt;0))</f>
        <v>3</v>
      </c>
      <c r="P11" s="54">
        <f t="array" ref="P11">SUM(('Data Defects'!$G$5:$G$504&gt;0)*('Data Defects'!$G$5:$G$504&lt;=$D11)*('Data Defects'!$G$5:$G$504-'Data Defects'!$E$5:$E$504))/SUM(('Data Defects'!$G$5:$G$504&lt;=$D11)*('Data Defects'!$G$5:$G$504&gt;0))</f>
        <v>11.851851851851851</v>
      </c>
    </row>
    <row r="12" spans="2:16" x14ac:dyDescent="0.2">
      <c r="B12" s="20">
        <f t="shared" ref="B12:B28" si="3">ROUNDDOWN((C12-DATE(YEAR(C12+MOD(8-WEEKDAY(C12),7)-3),1,1)-3+MOD(WEEKDAY(DATE(YEAR(C12+MOD(8-WEEKDAY(C12),7)-3),1,1))+1,7))/7+1,0)</f>
        <v>12</v>
      </c>
      <c r="C12" s="19">
        <f t="shared" si="0"/>
        <v>39888</v>
      </c>
      <c r="D12" s="19">
        <f t="shared" si="1"/>
        <v>39894</v>
      </c>
      <c r="E12" s="48">
        <f>SUMPRODUCT((C12&lt;='Data Defects'!$E$5:$E$504)*('Control Defects'!D12&gt;='Data Defects'!$E$5:$E$504))</f>
        <v>5</v>
      </c>
      <c r="F12" s="48">
        <f>SUMPRODUCT(($C12&lt;='Data Defects'!$F$5:$F$504)*('Control Defects'!$D12&gt;='Data Defects'!$F$5:$F$504))</f>
        <v>10</v>
      </c>
      <c r="G12" s="48">
        <f>SUMPRODUCT(($C12&lt;='Data Defects'!$G$5:$G$504)*('Control Defects'!$D12&gt;='Data Defects'!$G$5:$G$504))</f>
        <v>3</v>
      </c>
      <c r="H12" s="48">
        <f>SUMPRODUCT(($C$36&lt;='Data Defects'!$E$5:$E$504)*('Control Defects'!$D12&gt;='Data Defects'!$E$5:$E$504))</f>
        <v>91</v>
      </c>
      <c r="I12" s="48">
        <f>SUMPRODUCT(($C$36&lt;='Data Defects'!$F$5:$F$504)*('Control Defects'!$D12&gt;='Data Defects'!$F$5:$F$504))</f>
        <v>53</v>
      </c>
      <c r="J12" s="48">
        <f>SUMPRODUCT(($C$36&lt;='Data Defects'!$G$5:$G$504)*('Control Defects'!$D12&gt;='Data Defects'!$G$5:$G$504))</f>
        <v>30</v>
      </c>
      <c r="K12" s="55">
        <f t="shared" ref="K12:K28" si="4">IF(ISERROR(N12),0,N12)</f>
        <v>10.320754716981131</v>
      </c>
      <c r="L12" s="55">
        <f t="shared" si="2"/>
        <v>2.9666666666666668</v>
      </c>
      <c r="M12" s="55">
        <f t="shared" si="2"/>
        <v>12.166666666666666</v>
      </c>
      <c r="N12" s="55">
        <f t="array" ref="N12">SUM(('Data Defects'!$F$5:$F$504&gt;0)*('Data Defects'!$F$5:$F$504&lt;=$D12)*('Data Defects'!$F$5:$F$504-'Data Defects'!$E$5:$E$504))/SUM(('Data Defects'!$F$5:$F$504&lt;=$D12)*('Data Defects'!$F$5:$F$504&gt;0))</f>
        <v>10.320754716981131</v>
      </c>
      <c r="O12" s="55">
        <f t="array" ref="O12">SUM(('Data Defects'!$G$5:$G$504&gt;0)*('Data Defects'!$G$5:$G$504&lt;=$D12)*('Data Defects'!$G$5:$G$504-'Data Defects'!$F$5:$F$504))/SUM(('Data Defects'!$G$5:$G$504&lt;=$D12)*('Data Defects'!$G$5:$G$504&gt;0))</f>
        <v>2.9666666666666668</v>
      </c>
      <c r="P12" s="55">
        <f t="array" ref="P12">SUM(('Data Defects'!$G$5:$G$504&gt;0)*('Data Defects'!$G$5:$G$504&lt;=$D12)*('Data Defects'!$G$5:$G$504-'Data Defects'!$E$5:$E$504))/SUM(('Data Defects'!$G$5:$G$504&lt;=$D12)*('Data Defects'!$G$5:$G$504&gt;0))</f>
        <v>12.166666666666666</v>
      </c>
    </row>
    <row r="13" spans="2:16" x14ac:dyDescent="0.2">
      <c r="B13" s="20">
        <f t="shared" si="3"/>
        <v>13</v>
      </c>
      <c r="C13" s="19">
        <f t="shared" si="0"/>
        <v>39895</v>
      </c>
      <c r="D13" s="19">
        <f t="shared" si="1"/>
        <v>39901</v>
      </c>
      <c r="E13" s="48">
        <f>SUMPRODUCT((C13&lt;='Data Defects'!$E$5:$E$504)*('Control Defects'!D13&gt;='Data Defects'!$E$5:$E$504))</f>
        <v>11</v>
      </c>
      <c r="F13" s="48">
        <f>SUMPRODUCT(($C13&lt;='Data Defects'!$F$5:$F$504)*('Control Defects'!$D13&gt;='Data Defects'!$F$5:$F$504))</f>
        <v>2</v>
      </c>
      <c r="G13" s="48">
        <f>SUMPRODUCT(($C13&lt;='Data Defects'!$G$5:$G$504)*('Control Defects'!$D13&gt;='Data Defects'!$G$5:$G$504))</f>
        <v>11</v>
      </c>
      <c r="H13" s="48">
        <f>SUMPRODUCT(($C$36&lt;='Data Defects'!$E$5:$E$504)*('Control Defects'!$D13&gt;='Data Defects'!$E$5:$E$504))</f>
        <v>102</v>
      </c>
      <c r="I13" s="48">
        <f>SUMPRODUCT(($C$36&lt;='Data Defects'!$F$5:$F$504)*('Control Defects'!$D13&gt;='Data Defects'!$F$5:$F$504))</f>
        <v>55</v>
      </c>
      <c r="J13" s="48">
        <f>SUMPRODUCT(($C$36&lt;='Data Defects'!$G$5:$G$504)*('Control Defects'!$D13&gt;='Data Defects'!$G$5:$G$504))</f>
        <v>41</v>
      </c>
      <c r="K13" s="55">
        <f t="shared" si="4"/>
        <v>10.618181818181819</v>
      </c>
      <c r="L13" s="55">
        <f t="shared" si="2"/>
        <v>5.9268292682926829</v>
      </c>
      <c r="M13" s="55">
        <f t="shared" si="2"/>
        <v>15.097560975609756</v>
      </c>
      <c r="N13" s="55">
        <f t="array" ref="N13">SUM(('Data Defects'!$F$5:$F$504&gt;0)*('Data Defects'!$F$5:$F$504&lt;=$D13)*('Data Defects'!$F$5:$F$504-'Data Defects'!$E$5:$E$504))/SUM(('Data Defects'!$F$5:$F$504&lt;=$D13)*('Data Defects'!$F$5:$F$504&gt;0))</f>
        <v>10.618181818181819</v>
      </c>
      <c r="O13" s="55">
        <f t="array" ref="O13">SUM(('Data Defects'!$G$5:$G$504&gt;0)*('Data Defects'!$G$5:$G$504&lt;=$D13)*('Data Defects'!$G$5:$G$504-'Data Defects'!$F$5:$F$504))/SUM(('Data Defects'!$G$5:$G$504&lt;=$D13)*('Data Defects'!$G$5:$G$504&gt;0))</f>
        <v>5.9268292682926829</v>
      </c>
      <c r="P13" s="55">
        <f t="array" ref="P13">SUM(('Data Defects'!$G$5:$G$504&gt;0)*('Data Defects'!$G$5:$G$504&lt;=$D13)*('Data Defects'!$G$5:$G$504-'Data Defects'!$E$5:$E$504))/SUM(('Data Defects'!$G$5:$G$504&lt;=$D13)*('Data Defects'!$G$5:$G$504&gt;0))</f>
        <v>15.097560975609756</v>
      </c>
    </row>
    <row r="14" spans="2:16" x14ac:dyDescent="0.2">
      <c r="B14" s="20">
        <f t="shared" si="3"/>
        <v>14</v>
      </c>
      <c r="C14" s="19">
        <f t="shared" si="0"/>
        <v>39902</v>
      </c>
      <c r="D14" s="19">
        <f t="shared" si="1"/>
        <v>39908</v>
      </c>
      <c r="E14" s="48">
        <f>SUMPRODUCT((C14&lt;='Data Defects'!$E$5:$E$504)*('Control Defects'!D14&gt;='Data Defects'!$E$5:$E$504))</f>
        <v>5</v>
      </c>
      <c r="F14" s="48">
        <f>SUMPRODUCT(($C14&lt;='Data Defects'!$F$5:$F$504)*('Control Defects'!$D14&gt;='Data Defects'!$F$5:$F$504))</f>
        <v>16</v>
      </c>
      <c r="G14" s="48">
        <f>SUMPRODUCT(($C14&lt;='Data Defects'!$G$5:$G$504)*('Control Defects'!$D14&gt;='Data Defects'!$G$5:$G$504))</f>
        <v>7</v>
      </c>
      <c r="H14" s="48">
        <f>SUMPRODUCT(($C$36&lt;='Data Defects'!$E$5:$E$504)*('Control Defects'!$D14&gt;='Data Defects'!$E$5:$E$504))</f>
        <v>107</v>
      </c>
      <c r="I14" s="48">
        <f>SUMPRODUCT(($C$36&lt;='Data Defects'!$F$5:$F$504)*('Control Defects'!$D14&gt;='Data Defects'!$F$5:$F$504))</f>
        <v>71</v>
      </c>
      <c r="J14" s="48">
        <f>SUMPRODUCT(($C$36&lt;='Data Defects'!$G$5:$G$504)*('Control Defects'!$D14&gt;='Data Defects'!$G$5:$G$504))</f>
        <v>48</v>
      </c>
      <c r="K14" s="55">
        <f t="shared" si="4"/>
        <v>11.985915492957746</v>
      </c>
      <c r="L14" s="55">
        <f t="shared" si="2"/>
        <v>6.75</v>
      </c>
      <c r="M14" s="55">
        <f t="shared" si="2"/>
        <v>16.895833333333332</v>
      </c>
      <c r="N14" s="55">
        <f t="array" ref="N14">SUM(('Data Defects'!$F$5:$F$504&gt;0)*('Data Defects'!$F$5:$F$504&lt;=$D14)*('Data Defects'!$F$5:$F$504-'Data Defects'!$E$5:$E$504))/SUM(('Data Defects'!$F$5:$F$504&lt;=$D14)*('Data Defects'!$F$5:$F$504&gt;0))</f>
        <v>11.985915492957746</v>
      </c>
      <c r="O14" s="55">
        <f t="array" ref="O14">SUM(('Data Defects'!$G$5:$G$504&gt;0)*('Data Defects'!$G$5:$G$504&lt;=$D14)*('Data Defects'!$G$5:$G$504-'Data Defects'!$F$5:$F$504))/SUM(('Data Defects'!$G$5:$G$504&lt;=$D14)*('Data Defects'!$G$5:$G$504&gt;0))</f>
        <v>6.75</v>
      </c>
      <c r="P14" s="55">
        <f t="array" ref="P14">SUM(('Data Defects'!$G$5:$G$504&gt;0)*('Data Defects'!$G$5:$G$504&lt;=$D14)*('Data Defects'!$G$5:$G$504-'Data Defects'!$E$5:$E$504))/SUM(('Data Defects'!$G$5:$G$504&lt;=$D14)*('Data Defects'!$G$5:$G$504&gt;0))</f>
        <v>16.895833333333332</v>
      </c>
    </row>
    <row r="15" spans="2:16" x14ac:dyDescent="0.2">
      <c r="B15" s="20">
        <f t="shared" si="3"/>
        <v>15</v>
      </c>
      <c r="C15" s="19">
        <f t="shared" si="0"/>
        <v>39909</v>
      </c>
      <c r="D15" s="19">
        <f t="shared" si="1"/>
        <v>39915</v>
      </c>
      <c r="E15" s="48">
        <f>SUMPRODUCT((C15&lt;='Data Defects'!$E$5:$E$504)*('Control Defects'!D15&gt;='Data Defects'!$E$5:$E$504))</f>
        <v>13</v>
      </c>
      <c r="F15" s="48">
        <f>SUMPRODUCT(($C15&lt;='Data Defects'!$F$5:$F$504)*('Control Defects'!$D15&gt;='Data Defects'!$F$5:$F$504))</f>
        <v>25</v>
      </c>
      <c r="G15" s="48">
        <f>SUMPRODUCT(($C15&lt;='Data Defects'!$G$5:$G$504)*('Control Defects'!$D15&gt;='Data Defects'!$G$5:$G$504))</f>
        <v>13</v>
      </c>
      <c r="H15" s="48">
        <f>SUMPRODUCT(($C$36&lt;='Data Defects'!$E$5:$E$504)*('Control Defects'!$D15&gt;='Data Defects'!$E$5:$E$504))</f>
        <v>120</v>
      </c>
      <c r="I15" s="48">
        <f>SUMPRODUCT(($C$36&lt;='Data Defects'!$F$5:$F$504)*('Control Defects'!$D15&gt;='Data Defects'!$F$5:$F$504))</f>
        <v>96</v>
      </c>
      <c r="J15" s="48">
        <f>SUMPRODUCT(($C$36&lt;='Data Defects'!$G$5:$G$504)*('Control Defects'!$D15&gt;='Data Defects'!$G$5:$G$504))</f>
        <v>61</v>
      </c>
      <c r="K15" s="55">
        <f t="shared" si="4"/>
        <v>16.395833333333332</v>
      </c>
      <c r="L15" s="55">
        <f t="shared" si="2"/>
        <v>6.278688524590164</v>
      </c>
      <c r="M15" s="55">
        <f t="shared" si="2"/>
        <v>19.377049180327869</v>
      </c>
      <c r="N15" s="55">
        <f t="array" ref="N15">SUM(('Data Defects'!$F$5:$F$504&gt;0)*('Data Defects'!$F$5:$F$504&lt;=$D15)*('Data Defects'!$F$5:$F$504-'Data Defects'!$E$5:$E$504))/SUM(('Data Defects'!$F$5:$F$504&lt;=$D15)*('Data Defects'!$F$5:$F$504&gt;0))</f>
        <v>16.395833333333332</v>
      </c>
      <c r="O15" s="55">
        <f t="array" ref="O15">SUM(('Data Defects'!$G$5:$G$504&gt;0)*('Data Defects'!$G$5:$G$504&lt;=$D15)*('Data Defects'!$G$5:$G$504-'Data Defects'!$F$5:$F$504))/SUM(('Data Defects'!$G$5:$G$504&lt;=$D15)*('Data Defects'!$G$5:$G$504&gt;0))</f>
        <v>6.278688524590164</v>
      </c>
      <c r="P15" s="55">
        <f t="array" ref="P15">SUM(('Data Defects'!$G$5:$G$504&gt;0)*('Data Defects'!$G$5:$G$504&lt;=$D15)*('Data Defects'!$G$5:$G$504-'Data Defects'!$E$5:$E$504))/SUM(('Data Defects'!$G$5:$G$504&lt;=$D15)*('Data Defects'!$G$5:$G$504&gt;0))</f>
        <v>19.377049180327869</v>
      </c>
    </row>
    <row r="16" spans="2:16" x14ac:dyDescent="0.2">
      <c r="B16" s="20">
        <f t="shared" si="3"/>
        <v>16</v>
      </c>
      <c r="C16" s="19">
        <f t="shared" si="0"/>
        <v>39916</v>
      </c>
      <c r="D16" s="19">
        <f>D17-7</f>
        <v>39922</v>
      </c>
      <c r="E16" s="48">
        <f>SUMPRODUCT((C16&lt;='Data Defects'!$E$5:$E$504)*('Control Defects'!D16&gt;='Data Defects'!$E$5:$E$504))</f>
        <v>13</v>
      </c>
      <c r="F16" s="48">
        <f>SUMPRODUCT(($C16&lt;='Data Defects'!$F$5:$F$504)*('Control Defects'!$D16&gt;='Data Defects'!$F$5:$F$504))</f>
        <v>12</v>
      </c>
      <c r="G16" s="48">
        <f>SUMPRODUCT(($C16&lt;='Data Defects'!$G$5:$G$504)*('Control Defects'!$D16&gt;='Data Defects'!$G$5:$G$504))</f>
        <v>11</v>
      </c>
      <c r="H16" s="48">
        <f>SUMPRODUCT(($C$36&lt;='Data Defects'!$E$5:$E$504)*('Control Defects'!$D16&gt;='Data Defects'!$E$5:$E$504))</f>
        <v>133</v>
      </c>
      <c r="I16" s="48">
        <f>SUMPRODUCT(($C$36&lt;='Data Defects'!$F$5:$F$504)*('Control Defects'!$D16&gt;='Data Defects'!$F$5:$F$504))</f>
        <v>108</v>
      </c>
      <c r="J16" s="48">
        <f>SUMPRODUCT(($C$36&lt;='Data Defects'!$G$5:$G$504)*('Control Defects'!$D16&gt;='Data Defects'!$G$5:$G$504))</f>
        <v>72</v>
      </c>
      <c r="K16" s="55">
        <f t="shared" si="4"/>
        <v>16.611111111111111</v>
      </c>
      <c r="L16" s="55">
        <f t="shared" si="2"/>
        <v>6.9027777777777777</v>
      </c>
      <c r="M16" s="55">
        <f t="shared" si="2"/>
        <v>21.680555555555557</v>
      </c>
      <c r="N16" s="55">
        <f t="array" ref="N16">SUM(('Data Defects'!$F$5:$F$504&gt;0)*('Data Defects'!$F$5:$F$504&lt;=$D16)*('Data Defects'!$F$5:$F$504-'Data Defects'!$E$5:$E$504))/SUM(('Data Defects'!$F$5:$F$504&lt;=$D16)*('Data Defects'!$F$5:$F$504&gt;0))</f>
        <v>16.611111111111111</v>
      </c>
      <c r="O16" s="55">
        <f t="array" ref="O16">SUM(('Data Defects'!$G$5:$G$504&gt;0)*('Data Defects'!$G$5:$G$504&lt;=$D16)*('Data Defects'!$G$5:$G$504-'Data Defects'!$F$5:$F$504))/SUM(('Data Defects'!$G$5:$G$504&lt;=$D16)*('Data Defects'!$G$5:$G$504&gt;0))</f>
        <v>6.9027777777777777</v>
      </c>
      <c r="P16" s="55">
        <f t="array" ref="P16">SUM(('Data Defects'!$G$5:$G$504&gt;0)*('Data Defects'!$G$5:$G$504&lt;=$D16)*('Data Defects'!$G$5:$G$504-'Data Defects'!$E$5:$E$504))/SUM(('Data Defects'!$G$5:$G$504&lt;=$D16)*('Data Defects'!$G$5:$G$504&gt;0))</f>
        <v>21.680555555555557</v>
      </c>
    </row>
    <row r="17" spans="2:16" x14ac:dyDescent="0.2">
      <c r="B17" s="20">
        <f t="shared" si="3"/>
        <v>17</v>
      </c>
      <c r="C17" s="19">
        <f t="shared" si="0"/>
        <v>39923</v>
      </c>
      <c r="D17" s="19">
        <f>D18-7</f>
        <v>39929</v>
      </c>
      <c r="E17" s="48">
        <f>SUMPRODUCT((C17&lt;='Data Defects'!$E$5:$E$504)*('Control Defects'!D17&gt;='Data Defects'!$E$5:$E$504))</f>
        <v>8</v>
      </c>
      <c r="F17" s="48">
        <f>SUMPRODUCT(($C17&lt;='Data Defects'!$F$5:$F$504)*('Control Defects'!$D17&gt;='Data Defects'!$F$5:$F$504))</f>
        <v>4</v>
      </c>
      <c r="G17" s="48">
        <f>SUMPRODUCT(($C17&lt;='Data Defects'!$G$5:$G$504)*('Control Defects'!$D17&gt;='Data Defects'!$G$5:$G$504))</f>
        <v>14</v>
      </c>
      <c r="H17" s="48">
        <f>SUMPRODUCT(($C$36&lt;='Data Defects'!$E$5:$E$504)*('Control Defects'!$D17&gt;='Data Defects'!$E$5:$E$504))</f>
        <v>141</v>
      </c>
      <c r="I17" s="48">
        <f>SUMPRODUCT(($C$36&lt;='Data Defects'!$F$5:$F$504)*('Control Defects'!$D17&gt;='Data Defects'!$F$5:$F$504))</f>
        <v>112</v>
      </c>
      <c r="J17" s="48">
        <f>SUMPRODUCT(($C$36&lt;='Data Defects'!$G$5:$G$504)*('Control Defects'!$D17&gt;='Data Defects'!$G$5:$G$504))</f>
        <v>86</v>
      </c>
      <c r="K17" s="55">
        <f t="shared" si="4"/>
        <v>17</v>
      </c>
      <c r="L17" s="55">
        <f t="shared" si="2"/>
        <v>7.5232558139534884</v>
      </c>
      <c r="M17" s="55">
        <f t="shared" si="2"/>
        <v>22.430232558139537</v>
      </c>
      <c r="N17" s="55">
        <f t="array" ref="N17">SUM(('Data Defects'!$F$5:$F$504&gt;0)*('Data Defects'!$F$5:$F$504&lt;=$D17)*('Data Defects'!$F$5:$F$504-'Data Defects'!$E$5:$E$504))/SUM(('Data Defects'!$F$5:$F$504&lt;=$D17)*('Data Defects'!$F$5:$F$504&gt;0))</f>
        <v>17</v>
      </c>
      <c r="O17" s="55">
        <f t="array" ref="O17">SUM(('Data Defects'!$G$5:$G$504&gt;0)*('Data Defects'!$G$5:$G$504&lt;=$D17)*('Data Defects'!$G$5:$G$504-'Data Defects'!$F$5:$F$504))/SUM(('Data Defects'!$G$5:$G$504&lt;=$D17)*('Data Defects'!$G$5:$G$504&gt;0))</f>
        <v>7.5232558139534884</v>
      </c>
      <c r="P17" s="55">
        <f t="array" ref="P17">SUM(('Data Defects'!$G$5:$G$504&gt;0)*('Data Defects'!$G$5:$G$504&lt;=$D17)*('Data Defects'!$G$5:$G$504-'Data Defects'!$E$5:$E$504))/SUM(('Data Defects'!$G$5:$G$504&lt;=$D17)*('Data Defects'!$G$5:$G$504&gt;0))</f>
        <v>22.430232558139537</v>
      </c>
    </row>
    <row r="18" spans="2:16" x14ac:dyDescent="0.2">
      <c r="B18" s="20">
        <f t="shared" si="3"/>
        <v>18</v>
      </c>
      <c r="C18" s="19">
        <f t="shared" si="0"/>
        <v>39930</v>
      </c>
      <c r="D18" s="19">
        <f>D19-7</f>
        <v>39936</v>
      </c>
      <c r="E18" s="48">
        <f>SUMPRODUCT((C18&lt;='Data Defects'!$E$5:$E$504)*('Control Defects'!D18&gt;='Data Defects'!$E$5:$E$504))</f>
        <v>17</v>
      </c>
      <c r="F18" s="48">
        <f>SUMPRODUCT(($C18&lt;='Data Defects'!$F$5:$F$504)*('Control Defects'!$D18&gt;='Data Defects'!$F$5:$F$504))</f>
        <v>6</v>
      </c>
      <c r="G18" s="48">
        <f>SUMPRODUCT(($C18&lt;='Data Defects'!$G$5:$G$504)*('Control Defects'!$D18&gt;='Data Defects'!$G$5:$G$504))</f>
        <v>9</v>
      </c>
      <c r="H18" s="48">
        <f>SUMPRODUCT(($C$36&lt;='Data Defects'!$E$5:$E$504)*('Control Defects'!$D18&gt;='Data Defects'!$E$5:$E$504))</f>
        <v>158</v>
      </c>
      <c r="I18" s="48">
        <f>SUMPRODUCT(($C$36&lt;='Data Defects'!$F$5:$F$504)*('Control Defects'!$D18&gt;='Data Defects'!$F$5:$F$504))</f>
        <v>118</v>
      </c>
      <c r="J18" s="48">
        <f>SUMPRODUCT(($C$36&lt;='Data Defects'!$G$5:$G$504)*('Control Defects'!$D18&gt;='Data Defects'!$G$5:$G$504))</f>
        <v>95</v>
      </c>
      <c r="K18" s="55">
        <f t="shared" si="4"/>
        <v>16.711864406779661</v>
      </c>
      <c r="L18" s="55">
        <f t="shared" si="2"/>
        <v>8.3368421052631572</v>
      </c>
      <c r="M18" s="55">
        <f t="shared" si="2"/>
        <v>23.768421052631577</v>
      </c>
      <c r="N18" s="55">
        <f t="array" ref="N18">SUM(('Data Defects'!$F$5:$F$504&gt;0)*('Data Defects'!$F$5:$F$504&lt;=$D18)*('Data Defects'!$F$5:$F$504-'Data Defects'!$E$5:$E$504))/SUM(('Data Defects'!$F$5:$F$504&lt;=$D18)*('Data Defects'!$F$5:$F$504&gt;0))</f>
        <v>16.711864406779661</v>
      </c>
      <c r="O18" s="55">
        <f t="array" ref="O18">SUM(('Data Defects'!$G$5:$G$504&gt;0)*('Data Defects'!$G$5:$G$504&lt;=$D18)*('Data Defects'!$G$5:$G$504-'Data Defects'!$F$5:$F$504))/SUM(('Data Defects'!$G$5:$G$504&lt;=$D18)*('Data Defects'!$G$5:$G$504&gt;0))</f>
        <v>8.3368421052631572</v>
      </c>
      <c r="P18" s="55">
        <f t="array" ref="P18">SUM(('Data Defects'!$G$5:$G$504&gt;0)*('Data Defects'!$G$5:$G$504&lt;=$D18)*('Data Defects'!$G$5:$G$504-'Data Defects'!$E$5:$E$504))/SUM(('Data Defects'!$G$5:$G$504&lt;=$D18)*('Data Defects'!$G$5:$G$504&gt;0))</f>
        <v>23.768421052631577</v>
      </c>
    </row>
    <row r="19" spans="2:16" x14ac:dyDescent="0.2">
      <c r="B19" s="20">
        <f t="shared" si="3"/>
        <v>19</v>
      </c>
      <c r="C19" s="19">
        <f t="shared" si="0"/>
        <v>39937</v>
      </c>
      <c r="D19" s="19">
        <f>D20-7</f>
        <v>39943</v>
      </c>
      <c r="E19" s="48">
        <f>SUMPRODUCT((C19&lt;='Data Defects'!$E$5:$E$504)*('Control Defects'!D19&gt;='Data Defects'!$E$5:$E$504))</f>
        <v>12</v>
      </c>
      <c r="F19" s="48">
        <f>SUMPRODUCT(($C19&lt;='Data Defects'!$F$5:$F$504)*('Control Defects'!$D19&gt;='Data Defects'!$F$5:$F$504))</f>
        <v>7</v>
      </c>
      <c r="G19" s="48">
        <f>SUMPRODUCT(($C19&lt;='Data Defects'!$G$5:$G$504)*('Control Defects'!$D19&gt;='Data Defects'!$G$5:$G$504))</f>
        <v>13</v>
      </c>
      <c r="H19" s="48">
        <f>SUMPRODUCT(($C$36&lt;='Data Defects'!$E$5:$E$504)*('Control Defects'!$D19&gt;='Data Defects'!$E$5:$E$504))</f>
        <v>170</v>
      </c>
      <c r="I19" s="48">
        <f>SUMPRODUCT(($C$36&lt;='Data Defects'!$F$5:$F$504)*('Control Defects'!$D19&gt;='Data Defects'!$F$5:$F$504))</f>
        <v>125</v>
      </c>
      <c r="J19" s="48">
        <f>SUMPRODUCT(($C$36&lt;='Data Defects'!$G$5:$G$504)*('Control Defects'!$D19&gt;='Data Defects'!$G$5:$G$504))</f>
        <v>108</v>
      </c>
      <c r="K19" s="55">
        <f t="shared" si="4"/>
        <v>16.568000000000001</v>
      </c>
      <c r="L19" s="55">
        <f t="shared" si="2"/>
        <v>9.768518518518519</v>
      </c>
      <c r="M19" s="55">
        <f t="shared" si="2"/>
        <v>25.675925925925927</v>
      </c>
      <c r="N19" s="55">
        <f t="array" ref="N19">SUM(('Data Defects'!$F$5:$F$504&gt;0)*('Data Defects'!$F$5:$F$504&lt;=$D19)*('Data Defects'!$F$5:$F$504-'Data Defects'!$E$5:$E$504))/SUM(('Data Defects'!$F$5:$F$504&lt;=$D19)*('Data Defects'!$F$5:$F$504&gt;0))</f>
        <v>16.568000000000001</v>
      </c>
      <c r="O19" s="55">
        <f t="array" ref="O19">SUM(('Data Defects'!$G$5:$G$504&gt;0)*('Data Defects'!$G$5:$G$504&lt;=$D19)*('Data Defects'!$G$5:$G$504-'Data Defects'!$F$5:$F$504))/SUM(('Data Defects'!$G$5:$G$504&lt;=$D19)*('Data Defects'!$G$5:$G$504&gt;0))</f>
        <v>9.768518518518519</v>
      </c>
      <c r="P19" s="55">
        <f t="array" ref="P19">SUM(('Data Defects'!$G$5:$G$504&gt;0)*('Data Defects'!$G$5:$G$504&lt;=$D19)*('Data Defects'!$G$5:$G$504-'Data Defects'!$E$5:$E$504))/SUM(('Data Defects'!$G$5:$G$504&lt;=$D19)*('Data Defects'!$G$5:$G$504&gt;0))</f>
        <v>25.675925925925927</v>
      </c>
    </row>
    <row r="20" spans="2:16" x14ac:dyDescent="0.2">
      <c r="B20" s="20">
        <f t="shared" si="3"/>
        <v>20</v>
      </c>
      <c r="C20" s="19">
        <f t="shared" si="0"/>
        <v>39944</v>
      </c>
      <c r="D20" s="19">
        <f>D21-7</f>
        <v>39950</v>
      </c>
      <c r="E20" s="48">
        <f>SUMPRODUCT((C20&lt;='Data Defects'!$E$5:$E$504)*('Control Defects'!D20&gt;='Data Defects'!$E$5:$E$504))</f>
        <v>5</v>
      </c>
      <c r="F20" s="48">
        <f>SUMPRODUCT(($C20&lt;='Data Defects'!$F$5:$F$504)*('Control Defects'!$D20&gt;='Data Defects'!$F$5:$F$504))</f>
        <v>7</v>
      </c>
      <c r="G20" s="48">
        <f>SUMPRODUCT(($C20&lt;='Data Defects'!$G$5:$G$504)*('Control Defects'!$D20&gt;='Data Defects'!$G$5:$G$504))</f>
        <v>3</v>
      </c>
      <c r="H20" s="48">
        <f>SUMPRODUCT(($C$36&lt;='Data Defects'!$E$5:$E$504)*('Control Defects'!$D20&gt;='Data Defects'!$E$5:$E$504))</f>
        <v>175</v>
      </c>
      <c r="I20" s="48">
        <f>SUMPRODUCT(($C$36&lt;='Data Defects'!$F$5:$F$504)*('Control Defects'!$D20&gt;='Data Defects'!$F$5:$F$504))</f>
        <v>132</v>
      </c>
      <c r="J20" s="48">
        <f>SUMPRODUCT(($C$36&lt;='Data Defects'!$G$5:$G$504)*('Control Defects'!$D20&gt;='Data Defects'!$G$5:$G$504))</f>
        <v>111</v>
      </c>
      <c r="K20" s="55">
        <f t="shared" si="4"/>
        <v>16.643939393939394</v>
      </c>
      <c r="L20" s="55">
        <f t="shared" si="2"/>
        <v>9.6036036036036041</v>
      </c>
      <c r="M20" s="55">
        <f t="shared" si="2"/>
        <v>25.666666666666668</v>
      </c>
      <c r="N20" s="55">
        <f t="array" ref="N20">SUM(('Data Defects'!$F$5:$F$504&gt;0)*('Data Defects'!$F$5:$F$504&lt;=$D20)*('Data Defects'!$F$5:$F$504-'Data Defects'!$E$5:$E$504))/SUM(('Data Defects'!$F$5:$F$504&lt;=$D20)*('Data Defects'!$F$5:$F$504&gt;0))</f>
        <v>16.643939393939394</v>
      </c>
      <c r="O20" s="55">
        <f t="array" ref="O20">SUM(('Data Defects'!$G$5:$G$504&gt;0)*('Data Defects'!$G$5:$G$504&lt;=$D20)*('Data Defects'!$G$5:$G$504-'Data Defects'!$F$5:$F$504))/SUM(('Data Defects'!$G$5:$G$504&lt;=$D20)*('Data Defects'!$G$5:$G$504&gt;0))</f>
        <v>9.6036036036036041</v>
      </c>
      <c r="P20" s="55">
        <f t="array" ref="P20">SUM(('Data Defects'!$G$5:$G$504&gt;0)*('Data Defects'!$G$5:$G$504&lt;=$D20)*('Data Defects'!$G$5:$G$504-'Data Defects'!$E$5:$E$504))/SUM(('Data Defects'!$G$5:$G$504&lt;=$D20)*('Data Defects'!$G$5:$G$504&gt;0))</f>
        <v>25.666666666666668</v>
      </c>
    </row>
    <row r="21" spans="2:16" x14ac:dyDescent="0.2">
      <c r="B21" s="20">
        <f t="shared" si="3"/>
        <v>21</v>
      </c>
      <c r="C21" s="19">
        <f t="shared" si="0"/>
        <v>39951</v>
      </c>
      <c r="D21" s="19">
        <f t="shared" si="1"/>
        <v>39957</v>
      </c>
      <c r="E21" s="48">
        <f>SUMPRODUCT((C21&lt;='Data Defects'!$E$5:$E$504)*('Control Defects'!D21&gt;='Data Defects'!$E$5:$E$504))</f>
        <v>10</v>
      </c>
      <c r="F21" s="48">
        <f>SUMPRODUCT(($C21&lt;='Data Defects'!$F$5:$F$504)*('Control Defects'!$D21&gt;='Data Defects'!$F$5:$F$504))</f>
        <v>20</v>
      </c>
      <c r="G21" s="48">
        <f>SUMPRODUCT(($C21&lt;='Data Defects'!$G$5:$G$504)*('Control Defects'!$D21&gt;='Data Defects'!$G$5:$G$504))</f>
        <v>14</v>
      </c>
      <c r="H21" s="48">
        <f>SUMPRODUCT(($C$36&lt;='Data Defects'!$E$5:$E$504)*('Control Defects'!$D21&gt;='Data Defects'!$E$5:$E$504))</f>
        <v>185</v>
      </c>
      <c r="I21" s="48">
        <f>SUMPRODUCT(($C$36&lt;='Data Defects'!$F$5:$F$504)*('Control Defects'!$D21&gt;='Data Defects'!$F$5:$F$504))</f>
        <v>152</v>
      </c>
      <c r="J21" s="48">
        <f>SUMPRODUCT(($C$36&lt;='Data Defects'!$G$5:$G$504)*('Control Defects'!$D21&gt;='Data Defects'!$G$5:$G$504))</f>
        <v>125</v>
      </c>
      <c r="K21" s="55">
        <f t="shared" si="4"/>
        <v>17.644736842105264</v>
      </c>
      <c r="L21" s="55">
        <f t="shared" si="2"/>
        <v>8.968</v>
      </c>
      <c r="M21" s="55">
        <f t="shared" si="2"/>
        <v>25.8</v>
      </c>
      <c r="N21" s="55">
        <f t="array" ref="N21">SUM(('Data Defects'!$F$5:$F$504&gt;0)*('Data Defects'!$F$5:$F$504&lt;=$D21)*('Data Defects'!$F$5:$F$504-'Data Defects'!$E$5:$E$504))/SUM(('Data Defects'!$F$5:$F$504&lt;=$D21)*('Data Defects'!$F$5:$F$504&gt;0))</f>
        <v>17.644736842105264</v>
      </c>
      <c r="O21" s="55">
        <f t="array" ref="O21">SUM(('Data Defects'!$G$5:$G$504&gt;0)*('Data Defects'!$G$5:$G$504&lt;=$D21)*('Data Defects'!$G$5:$G$504-'Data Defects'!$F$5:$F$504))/SUM(('Data Defects'!$G$5:$G$504&lt;=$D21)*('Data Defects'!$G$5:$G$504&gt;0))</f>
        <v>8.968</v>
      </c>
      <c r="P21" s="55">
        <f t="array" ref="P21">SUM(('Data Defects'!$G$5:$G$504&gt;0)*('Data Defects'!$G$5:$G$504&lt;=$D21)*('Data Defects'!$G$5:$G$504-'Data Defects'!$E$5:$E$504))/SUM(('Data Defects'!$G$5:$G$504&lt;=$D21)*('Data Defects'!$G$5:$G$504&gt;0))</f>
        <v>25.8</v>
      </c>
    </row>
    <row r="22" spans="2:16" x14ac:dyDescent="0.2">
      <c r="B22" s="20">
        <f t="shared" si="3"/>
        <v>22</v>
      </c>
      <c r="C22" s="19">
        <f t="shared" si="0"/>
        <v>39958</v>
      </c>
      <c r="D22" s="19">
        <f t="shared" si="1"/>
        <v>39964</v>
      </c>
      <c r="E22" s="48">
        <f>SUMPRODUCT((C22&lt;='Data Defects'!$E$5:$E$504)*('Control Defects'!D22&gt;='Data Defects'!$E$5:$E$504))</f>
        <v>14</v>
      </c>
      <c r="F22" s="48">
        <f>SUMPRODUCT(($C22&lt;='Data Defects'!$F$5:$F$504)*('Control Defects'!$D22&gt;='Data Defects'!$F$5:$F$504))</f>
        <v>14</v>
      </c>
      <c r="G22" s="48">
        <f>SUMPRODUCT(($C22&lt;='Data Defects'!$G$5:$G$504)*('Control Defects'!$D22&gt;='Data Defects'!$G$5:$G$504))</f>
        <v>11</v>
      </c>
      <c r="H22" s="48">
        <f>SUMPRODUCT(($C$36&lt;='Data Defects'!$E$5:$E$504)*('Control Defects'!$D22&gt;='Data Defects'!$E$5:$E$504))</f>
        <v>199</v>
      </c>
      <c r="I22" s="48">
        <f>SUMPRODUCT(($C$36&lt;='Data Defects'!$F$5:$F$504)*('Control Defects'!$D22&gt;='Data Defects'!$F$5:$F$504))</f>
        <v>166</v>
      </c>
      <c r="J22" s="48">
        <f>SUMPRODUCT(($C$36&lt;='Data Defects'!$G$5:$G$504)*('Control Defects'!$D22&gt;='Data Defects'!$G$5:$G$504))</f>
        <v>136</v>
      </c>
      <c r="K22" s="55">
        <f t="shared" si="4"/>
        <v>17.397590361445783</v>
      </c>
      <c r="L22" s="55">
        <f t="shared" si="2"/>
        <v>8.5955882352941178</v>
      </c>
      <c r="M22" s="55">
        <f t="shared" si="2"/>
        <v>25.683823529411764</v>
      </c>
      <c r="N22" s="55">
        <f t="array" ref="N22">SUM(('Data Defects'!$F$5:$F$504&gt;0)*('Data Defects'!$F$5:$F$504&lt;=$D22)*('Data Defects'!$F$5:$F$504-'Data Defects'!$E$5:$E$504))/SUM(('Data Defects'!$F$5:$F$504&lt;=$D22)*('Data Defects'!$F$5:$F$504&gt;0))</f>
        <v>17.397590361445783</v>
      </c>
      <c r="O22" s="55">
        <f t="array" ref="O22">SUM(('Data Defects'!$G$5:$G$504&gt;0)*('Data Defects'!$G$5:$G$504&lt;=$D22)*('Data Defects'!$G$5:$G$504-'Data Defects'!$F$5:$F$504))/SUM(('Data Defects'!$G$5:$G$504&lt;=$D22)*('Data Defects'!$G$5:$G$504&gt;0))</f>
        <v>8.5955882352941178</v>
      </c>
      <c r="P22" s="55">
        <f t="array" ref="P22">SUM(('Data Defects'!$G$5:$G$504&gt;0)*('Data Defects'!$G$5:$G$504&lt;=$D22)*('Data Defects'!$G$5:$G$504-'Data Defects'!$E$5:$E$504))/SUM(('Data Defects'!$G$5:$G$504&lt;=$D22)*('Data Defects'!$G$5:$G$504&gt;0))</f>
        <v>25.683823529411764</v>
      </c>
    </row>
    <row r="23" spans="2:16" x14ac:dyDescent="0.2">
      <c r="B23" s="20">
        <f t="shared" si="3"/>
        <v>23</v>
      </c>
      <c r="C23" s="19">
        <f t="shared" si="0"/>
        <v>39965</v>
      </c>
      <c r="D23" s="19">
        <f t="shared" si="1"/>
        <v>39971</v>
      </c>
      <c r="E23" s="48">
        <f>SUMPRODUCT((C23&lt;='Data Defects'!$E$5:$E$504)*('Control Defects'!D23&gt;='Data Defects'!$E$5:$E$504))</f>
        <v>17</v>
      </c>
      <c r="F23" s="48">
        <f>SUMPRODUCT(($C23&lt;='Data Defects'!$F$5:$F$504)*('Control Defects'!$D23&gt;='Data Defects'!$F$5:$F$504))</f>
        <v>9</v>
      </c>
      <c r="G23" s="48">
        <f>SUMPRODUCT(($C23&lt;='Data Defects'!$G$5:$G$504)*('Control Defects'!$D23&gt;='Data Defects'!$G$5:$G$504))</f>
        <v>12</v>
      </c>
      <c r="H23" s="48">
        <f>SUMPRODUCT(($C$36&lt;='Data Defects'!$E$5:$E$504)*('Control Defects'!$D23&gt;='Data Defects'!$E$5:$E$504))</f>
        <v>216</v>
      </c>
      <c r="I23" s="48">
        <f>SUMPRODUCT(($C$36&lt;='Data Defects'!$F$5:$F$504)*('Control Defects'!$D23&gt;='Data Defects'!$F$5:$F$504))</f>
        <v>175</v>
      </c>
      <c r="J23" s="48">
        <f>SUMPRODUCT(($C$36&lt;='Data Defects'!$G$5:$G$504)*('Control Defects'!$D23&gt;='Data Defects'!$G$5:$G$504))</f>
        <v>148</v>
      </c>
      <c r="K23" s="55">
        <f t="shared" si="4"/>
        <v>16.96</v>
      </c>
      <c r="L23" s="55">
        <f t="shared" si="2"/>
        <v>8.5945945945945947</v>
      </c>
      <c r="M23" s="55">
        <f t="shared" si="2"/>
        <v>25.324324324324323</v>
      </c>
      <c r="N23" s="55">
        <f t="array" ref="N23">SUM(('Data Defects'!$F$5:$F$504&gt;0)*('Data Defects'!$F$5:$F$504&lt;=$D23)*('Data Defects'!$F$5:$F$504-'Data Defects'!$E$5:$E$504))/SUM(('Data Defects'!$F$5:$F$504&lt;=$D23)*('Data Defects'!$F$5:$F$504&gt;0))</f>
        <v>16.96</v>
      </c>
      <c r="O23" s="55">
        <f t="array" ref="O23">SUM(('Data Defects'!$G$5:$G$504&gt;0)*('Data Defects'!$G$5:$G$504&lt;=$D23)*('Data Defects'!$G$5:$G$504-'Data Defects'!$F$5:$F$504))/SUM(('Data Defects'!$G$5:$G$504&lt;=$D23)*('Data Defects'!$G$5:$G$504&gt;0))</f>
        <v>8.5945945945945947</v>
      </c>
      <c r="P23" s="55">
        <f t="array" ref="P23">SUM(('Data Defects'!$G$5:$G$504&gt;0)*('Data Defects'!$G$5:$G$504&lt;=$D23)*('Data Defects'!$G$5:$G$504-'Data Defects'!$E$5:$E$504))/SUM(('Data Defects'!$G$5:$G$504&lt;=$D23)*('Data Defects'!$G$5:$G$504&gt;0))</f>
        <v>25.324324324324323</v>
      </c>
    </row>
    <row r="24" spans="2:16" x14ac:dyDescent="0.2">
      <c r="B24" s="20">
        <f t="shared" si="3"/>
        <v>24</v>
      </c>
      <c r="C24" s="19">
        <f t="shared" si="0"/>
        <v>39972</v>
      </c>
      <c r="D24" s="19">
        <f t="shared" si="1"/>
        <v>39978</v>
      </c>
      <c r="E24" s="48">
        <f>SUMPRODUCT((C24&lt;='Data Defects'!$E$5:$E$504)*('Control Defects'!D24&gt;='Data Defects'!$E$5:$E$504))</f>
        <v>10</v>
      </c>
      <c r="F24" s="48">
        <f>SUMPRODUCT(($C24&lt;='Data Defects'!$F$5:$F$504)*('Control Defects'!$D24&gt;='Data Defects'!$F$5:$F$504))</f>
        <v>11</v>
      </c>
      <c r="G24" s="48">
        <f>SUMPRODUCT(($C24&lt;='Data Defects'!$G$5:$G$504)*('Control Defects'!$D24&gt;='Data Defects'!$G$5:$G$504))</f>
        <v>26</v>
      </c>
      <c r="H24" s="48">
        <f>SUMPRODUCT(($C$36&lt;='Data Defects'!$E$5:$E$504)*('Control Defects'!$D24&gt;='Data Defects'!$E$5:$E$504))</f>
        <v>226</v>
      </c>
      <c r="I24" s="48">
        <f>SUMPRODUCT(($C$36&lt;='Data Defects'!$F$5:$F$504)*('Control Defects'!$D24&gt;='Data Defects'!$F$5:$F$504))</f>
        <v>186</v>
      </c>
      <c r="J24" s="48">
        <f>SUMPRODUCT(($C$36&lt;='Data Defects'!$G$5:$G$504)*('Control Defects'!$D24&gt;='Data Defects'!$G$5:$G$504))</f>
        <v>174</v>
      </c>
      <c r="K24" s="55">
        <f t="shared" si="4"/>
        <v>16.483870967741936</v>
      </c>
      <c r="L24" s="55">
        <f t="shared" si="2"/>
        <v>11.511494252873563</v>
      </c>
      <c r="M24" s="55">
        <f t="shared" si="2"/>
        <v>28.350574712643677</v>
      </c>
      <c r="N24" s="55">
        <f t="array" ref="N24">SUM(('Data Defects'!$F$5:$F$504&gt;0)*('Data Defects'!$F$5:$F$504&lt;=$D24)*('Data Defects'!$F$5:$F$504-'Data Defects'!$E$5:$E$504))/SUM(('Data Defects'!$F$5:$F$504&lt;=$D24)*('Data Defects'!$F$5:$F$504&gt;0))</f>
        <v>16.483870967741936</v>
      </c>
      <c r="O24" s="55">
        <f t="array" ref="O24">SUM(('Data Defects'!$G$5:$G$504&gt;0)*('Data Defects'!$G$5:$G$504&lt;=$D24)*('Data Defects'!$G$5:$G$504-'Data Defects'!$F$5:$F$504))/SUM(('Data Defects'!$G$5:$G$504&lt;=$D24)*('Data Defects'!$G$5:$G$504&gt;0))</f>
        <v>11.511494252873563</v>
      </c>
      <c r="P24" s="55">
        <f t="array" ref="P24">SUM(('Data Defects'!$G$5:$G$504&gt;0)*('Data Defects'!$G$5:$G$504&lt;=$D24)*('Data Defects'!$G$5:$G$504-'Data Defects'!$E$5:$E$504))/SUM(('Data Defects'!$G$5:$G$504&lt;=$D24)*('Data Defects'!$G$5:$G$504&gt;0))</f>
        <v>28.350574712643677</v>
      </c>
    </row>
    <row r="25" spans="2:16" x14ac:dyDescent="0.2">
      <c r="B25" s="20">
        <f t="shared" si="3"/>
        <v>25</v>
      </c>
      <c r="C25" s="19">
        <f t="shared" si="0"/>
        <v>39979</v>
      </c>
      <c r="D25" s="19">
        <f t="shared" si="1"/>
        <v>39985</v>
      </c>
      <c r="E25" s="48">
        <f>SUMPRODUCT((C25&lt;='Data Defects'!$E$5:$E$504)*('Control Defects'!D25&gt;='Data Defects'!$E$5:$E$504))</f>
        <v>1</v>
      </c>
      <c r="F25" s="48">
        <f>SUMPRODUCT(($C25&lt;='Data Defects'!$F$5:$F$504)*('Control Defects'!$D25&gt;='Data Defects'!$F$5:$F$504))</f>
        <v>1</v>
      </c>
      <c r="G25" s="48">
        <f>SUMPRODUCT(($C25&lt;='Data Defects'!$G$5:$G$504)*('Control Defects'!$D25&gt;='Data Defects'!$G$5:$G$504))</f>
        <v>0</v>
      </c>
      <c r="H25" s="48">
        <f>SUMPRODUCT(($C$36&lt;='Data Defects'!$E$5:$E$504)*('Control Defects'!$D25&gt;='Data Defects'!$E$5:$E$504))</f>
        <v>227</v>
      </c>
      <c r="I25" s="48">
        <f>SUMPRODUCT(($C$36&lt;='Data Defects'!$F$5:$F$504)*('Control Defects'!$D25&gt;='Data Defects'!$F$5:$F$504))</f>
        <v>187</v>
      </c>
      <c r="J25" s="48">
        <f>SUMPRODUCT(($C$36&lt;='Data Defects'!$G$5:$G$504)*('Control Defects'!$D25&gt;='Data Defects'!$G$5:$G$504))</f>
        <v>174</v>
      </c>
      <c r="K25" s="55">
        <f t="shared" si="4"/>
        <v>16.438502673796791</v>
      </c>
      <c r="L25" s="55">
        <f t="shared" si="2"/>
        <v>11.511494252873563</v>
      </c>
      <c r="M25" s="55">
        <f t="shared" si="2"/>
        <v>28.350574712643677</v>
      </c>
      <c r="N25" s="55">
        <f t="array" ref="N25">SUM(('Data Defects'!$F$5:$F$504&gt;0)*('Data Defects'!$F$5:$F$504&lt;=$D25)*('Data Defects'!$F$5:$F$504-'Data Defects'!$E$5:$E$504))/SUM(('Data Defects'!$F$5:$F$504&lt;=$D25)*('Data Defects'!$F$5:$F$504&gt;0))</f>
        <v>16.438502673796791</v>
      </c>
      <c r="O25" s="55">
        <f t="array" ref="O25">SUM(('Data Defects'!$G$5:$G$504&gt;0)*('Data Defects'!$G$5:$G$504&lt;=$D25)*('Data Defects'!$G$5:$G$504-'Data Defects'!$F$5:$F$504))/SUM(('Data Defects'!$G$5:$G$504&lt;=$D25)*('Data Defects'!$G$5:$G$504&gt;0))</f>
        <v>11.511494252873563</v>
      </c>
      <c r="P25" s="55">
        <f t="array" ref="P25">SUM(('Data Defects'!$G$5:$G$504&gt;0)*('Data Defects'!$G$5:$G$504&lt;=$D25)*('Data Defects'!$G$5:$G$504-'Data Defects'!$E$5:$E$504))/SUM(('Data Defects'!$G$5:$G$504&lt;=$D25)*('Data Defects'!$G$5:$G$504&gt;0))</f>
        <v>28.350574712643677</v>
      </c>
    </row>
    <row r="26" spans="2:16" x14ac:dyDescent="0.2">
      <c r="B26" s="20">
        <f t="shared" si="3"/>
        <v>26</v>
      </c>
      <c r="C26" s="19">
        <f t="shared" si="0"/>
        <v>39986</v>
      </c>
      <c r="D26" s="19">
        <f t="shared" si="1"/>
        <v>39992</v>
      </c>
      <c r="E26" s="48">
        <f>SUMPRODUCT((C26&lt;='Data Defects'!$E$5:$E$504)*('Control Defects'!D26&gt;='Data Defects'!$E$5:$E$504))</f>
        <v>9</v>
      </c>
      <c r="F26" s="48">
        <f>SUMPRODUCT(($C26&lt;='Data Defects'!$F$5:$F$504)*('Control Defects'!$D26&gt;='Data Defects'!$F$5:$F$504))</f>
        <v>3</v>
      </c>
      <c r="G26" s="48">
        <f>SUMPRODUCT(($C26&lt;='Data Defects'!$G$5:$G$504)*('Control Defects'!$D26&gt;='Data Defects'!$G$5:$G$504))</f>
        <v>0</v>
      </c>
      <c r="H26" s="48">
        <f>SUMPRODUCT(($C$36&lt;='Data Defects'!$E$5:$E$504)*('Control Defects'!$D26&gt;='Data Defects'!$E$5:$E$504))</f>
        <v>236</v>
      </c>
      <c r="I26" s="48">
        <f>SUMPRODUCT(($C$36&lt;='Data Defects'!$F$5:$F$504)*('Control Defects'!$D26&gt;='Data Defects'!$F$5:$F$504))</f>
        <v>190</v>
      </c>
      <c r="J26" s="48">
        <f>SUMPRODUCT(($C$36&lt;='Data Defects'!$G$5:$G$504)*('Control Defects'!$D26&gt;='Data Defects'!$G$5:$G$504))</f>
        <v>174</v>
      </c>
      <c r="K26" s="55">
        <f t="shared" si="4"/>
        <v>16.442105263157895</v>
      </c>
      <c r="L26" s="55">
        <f t="shared" si="2"/>
        <v>11.511494252873563</v>
      </c>
      <c r="M26" s="55">
        <f t="shared" si="2"/>
        <v>28.350574712643677</v>
      </c>
      <c r="N26" s="55">
        <f t="array" ref="N26">SUM(('Data Defects'!$F$5:$F$504&gt;0)*('Data Defects'!$F$5:$F$504&lt;=$D26)*('Data Defects'!$F$5:$F$504-'Data Defects'!$E$5:$E$504))/SUM(('Data Defects'!$F$5:$F$504&lt;=$D26)*('Data Defects'!$F$5:$F$504&gt;0))</f>
        <v>16.442105263157895</v>
      </c>
      <c r="O26" s="55">
        <f t="array" ref="O26">SUM(('Data Defects'!$G$5:$G$504&gt;0)*('Data Defects'!$G$5:$G$504&lt;=$D26)*('Data Defects'!$G$5:$G$504-'Data Defects'!$F$5:$F$504))/SUM(('Data Defects'!$G$5:$G$504&lt;=$D26)*('Data Defects'!$G$5:$G$504&gt;0))</f>
        <v>11.511494252873563</v>
      </c>
      <c r="P26" s="55">
        <f t="array" ref="P26">SUM(('Data Defects'!$G$5:$G$504&gt;0)*('Data Defects'!$G$5:$G$504&lt;=$D26)*('Data Defects'!$G$5:$G$504-'Data Defects'!$E$5:$E$504))/SUM(('Data Defects'!$G$5:$G$504&lt;=$D26)*('Data Defects'!$G$5:$G$504&gt;0))</f>
        <v>28.350574712643677</v>
      </c>
    </row>
    <row r="27" spans="2:16" x14ac:dyDescent="0.2">
      <c r="B27" s="20">
        <f t="shared" si="3"/>
        <v>27</v>
      </c>
      <c r="C27" s="19">
        <f t="shared" si="0"/>
        <v>39993</v>
      </c>
      <c r="D27" s="19">
        <f>D28-7</f>
        <v>39999</v>
      </c>
      <c r="E27" s="48">
        <f>SUMPRODUCT((C27&lt;='Data Defects'!$E$5:$E$504)*('Control Defects'!D27&gt;='Data Defects'!$E$5:$E$504))</f>
        <v>9</v>
      </c>
      <c r="F27" s="48">
        <f>SUMPRODUCT(($C27&lt;='Data Defects'!$F$5:$F$504)*('Control Defects'!$D27&gt;='Data Defects'!$F$5:$F$504))</f>
        <v>13</v>
      </c>
      <c r="G27" s="48">
        <f>SUMPRODUCT(($C27&lt;='Data Defects'!$G$5:$G$504)*('Control Defects'!$D27&gt;='Data Defects'!$G$5:$G$504))</f>
        <v>11</v>
      </c>
      <c r="H27" s="48">
        <f>SUMPRODUCT(($C$36&lt;='Data Defects'!$E$5:$E$504)*('Control Defects'!$D27&gt;='Data Defects'!$E$5:$E$504))</f>
        <v>245</v>
      </c>
      <c r="I27" s="48">
        <f>SUMPRODUCT(($C$36&lt;='Data Defects'!$F$5:$F$504)*('Control Defects'!$D27&gt;='Data Defects'!$F$5:$F$504))</f>
        <v>203</v>
      </c>
      <c r="J27" s="48">
        <f>SUMPRODUCT(($C$36&lt;='Data Defects'!$G$5:$G$504)*('Control Defects'!$D27&gt;='Data Defects'!$G$5:$G$504))</f>
        <v>185</v>
      </c>
      <c r="K27" s="55">
        <f t="shared" si="4"/>
        <v>16.536945812807883</v>
      </c>
      <c r="L27" s="55">
        <f>IF(ISERROR(O27),0,O27)</f>
        <v>11.670270270270271</v>
      </c>
      <c r="M27" s="55">
        <f>IF(ISERROR(P27),0,P27)</f>
        <v>28.491891891891893</v>
      </c>
      <c r="N27" s="55">
        <f t="array" ref="N27">SUM(('Data Defects'!$F$5:$F$504&gt;0)*('Data Defects'!$F$5:$F$504&lt;=$D27)*('Data Defects'!$F$5:$F$504-'Data Defects'!$E$5:$E$504))/SUM(('Data Defects'!$F$5:$F$504&lt;=$D27)*('Data Defects'!$F$5:$F$504&gt;0))</f>
        <v>16.536945812807883</v>
      </c>
      <c r="O27" s="55">
        <f t="array" ref="O27">SUM(('Data Defects'!$G$5:$G$504&gt;0)*('Data Defects'!$G$5:$G$504&lt;=$D27)*('Data Defects'!$G$5:$G$504-'Data Defects'!$F$5:$F$504))/SUM(('Data Defects'!$G$5:$G$504&lt;=$D27)*('Data Defects'!$G$5:$G$504&gt;0))</f>
        <v>11.670270270270271</v>
      </c>
      <c r="P27" s="55">
        <f t="array" ref="P27">SUM(('Data Defects'!$G$5:$G$504&gt;0)*('Data Defects'!$G$5:$G$504&lt;=$D27)*('Data Defects'!$G$5:$G$504-'Data Defects'!$E$5:$E$504))/SUM(('Data Defects'!$G$5:$G$504&lt;=$D27)*('Data Defects'!$G$5:$G$504&gt;0))</f>
        <v>28.491891891891893</v>
      </c>
    </row>
    <row r="28" spans="2:16" x14ac:dyDescent="0.2">
      <c r="B28" s="18">
        <f t="shared" si="3"/>
        <v>28</v>
      </c>
      <c r="C28" s="17">
        <f>D28-6</f>
        <v>40000</v>
      </c>
      <c r="D28" s="17">
        <f>'Control General'!$C$10</f>
        <v>40006</v>
      </c>
      <c r="E28" s="49">
        <f>SUMPRODUCT((C28&lt;='Data Defects'!$E$5:$E$504)*('Control Defects'!D28&gt;='Data Defects'!$E$5:$E$504))</f>
        <v>10</v>
      </c>
      <c r="F28" s="49">
        <f>SUMPRODUCT(($C28&lt;='Data Defects'!$F$5:$F$504)*('Control Defects'!$D28&gt;='Data Defects'!$F$5:$F$504))</f>
        <v>9</v>
      </c>
      <c r="G28" s="49">
        <f>SUMPRODUCT(($C28&lt;='Data Defects'!$G$5:$G$504)*('Control Defects'!$D28&gt;='Data Defects'!$G$5:$G$504))</f>
        <v>11</v>
      </c>
      <c r="H28" s="49">
        <f>SUMPRODUCT(($C$36&lt;='Data Defects'!$E$5:$E$504)*('Control Defects'!$D28&gt;='Data Defects'!$E$5:$E$504))</f>
        <v>255</v>
      </c>
      <c r="I28" s="49">
        <f>SUMPRODUCT(($C$36&lt;='Data Defects'!$F$5:$F$504)*('Control Defects'!$D28&gt;='Data Defects'!$F$5:$F$504))</f>
        <v>212</v>
      </c>
      <c r="J28" s="49">
        <f>SUMPRODUCT(($C$36&lt;='Data Defects'!$G$5:$G$504)*('Control Defects'!$D28&gt;='Data Defects'!$G$5:$G$504))</f>
        <v>196</v>
      </c>
      <c r="K28" s="56">
        <f t="shared" si="4"/>
        <v>17.943396226415093</v>
      </c>
      <c r="L28" s="56">
        <f>IF(ISERROR(O28),0,O28)</f>
        <v>12.668367346938776</v>
      </c>
      <c r="M28" s="56">
        <f>IF(ISERROR(P28),0,P28)</f>
        <v>29.556122448979593</v>
      </c>
      <c r="N28" s="56">
        <f t="array" ref="N28">SUM(('Data Defects'!$F$5:$F$504&gt;0)*('Data Defects'!$F$5:$F$504&lt;=$D28)*('Data Defects'!$F$5:$F$504-'Data Defects'!$E$5:$E$504))/SUM(('Data Defects'!$F$5:$F$504&lt;=$D28)*('Data Defects'!$F$5:$F$504&gt;0))</f>
        <v>17.943396226415093</v>
      </c>
      <c r="O28" s="56">
        <f t="array" ref="O28">SUM(('Data Defects'!$G$5:$G$504&gt;0)*('Data Defects'!$G$5:$G$504&lt;=$D28)*('Data Defects'!$G$5:$G$504-'Data Defects'!$F$5:$F$504))/SUM(('Data Defects'!$G$5:$G$504&lt;=$D28)*('Data Defects'!$G$5:$G$504&gt;0))</f>
        <v>12.668367346938776</v>
      </c>
      <c r="P28" s="56">
        <f t="array" ref="P28">SUM(('Data Defects'!$G$5:$G$504&gt;0)*('Data Defects'!$G$5:$G$504&lt;=$D28)*('Data Defects'!$G$5:$G$504-'Data Defects'!$E$5:$E$504))/SUM(('Data Defects'!$G$5:$G$504&lt;=$D28)*('Data Defects'!$G$5:$G$504&gt;0))</f>
        <v>29.556122448979593</v>
      </c>
    </row>
    <row r="30" spans="2:16" x14ac:dyDescent="0.2">
      <c r="C30" s="11" t="s">
        <v>32</v>
      </c>
      <c r="D30" s="11" t="s">
        <v>1</v>
      </c>
      <c r="E30" s="11" t="s">
        <v>31</v>
      </c>
      <c r="F30" s="11" t="s">
        <v>30</v>
      </c>
      <c r="G30" s="11" t="s">
        <v>6</v>
      </c>
    </row>
    <row r="31" spans="2:16" x14ac:dyDescent="0.2">
      <c r="B31" s="8" t="s">
        <v>20</v>
      </c>
      <c r="C31" s="54">
        <f t="array" ref="C31">SUM(('Data Defects'!$C$5:$C$504=C$30)*('Data Defects'!$F$5:$F$504&gt;0)*('Data Defects'!$F$5:$F$504&lt;='Control General'!$C$10)*('Data Defects'!$F$5:$F$504-'Data Defects'!$E$5:$E$504))/SUM(('Data Defects'!$C$5:$C$504=C$30)*('Data Defects'!$F$5:$F$504&gt;0)*('Data Defects'!$F$5:$F$504&lt;='Control General'!$C$10))</f>
        <v>10.777777777777779</v>
      </c>
      <c r="D31" s="54">
        <f t="array" ref="D31">SUM(('Data Defects'!$C$5:$C$504=D$30)*('Data Defects'!$F$5:$F$504&gt;0)*('Data Defects'!$F$5:$F$504&lt;='Control General'!$C$10)*('Data Defects'!$F$5:$F$504-'Data Defects'!$E$5:$E$504))/SUM(('Data Defects'!$C$5:$C$504=D$30)*('Data Defects'!$F$5:$F$504&gt;0)*('Data Defects'!$F$5:$F$504&lt;='Control General'!$C$10))</f>
        <v>20.872093023255815</v>
      </c>
      <c r="E31" s="54">
        <f t="array" ref="E31">SUM(('Data Defects'!$C$5:$C$504=E$30)*('Data Defects'!$F$5:$F$504&gt;0)*('Data Defects'!$F$5:$F$504&lt;='Control General'!$C$10)*('Data Defects'!$F$5:$F$504-'Data Defects'!$E$5:$E$504))/SUM(('Data Defects'!$C$5:$C$504=E$30)*('Data Defects'!$F$5:$F$504&gt;0)*('Data Defects'!$F$5:$F$504&lt;='Control General'!$C$10))</f>
        <v>17.544554455445546</v>
      </c>
      <c r="F31" s="54">
        <f t="array" ref="F31">SUM(('Data Defects'!$C$5:$C$504=F$30)*('Data Defects'!$F$5:$F$504&gt;0)*('Data Defects'!$F$5:$F$504&lt;='Control General'!$C$10)*('Data Defects'!$F$5:$F$504-'Data Defects'!$E$5:$E$504))/SUM(('Data Defects'!$C$5:$C$504=F$30)*('Data Defects'!$F$5:$F$504&gt;0)*('Data Defects'!$F$5:$F$504&lt;='Control General'!$C$10))</f>
        <v>8.75</v>
      </c>
      <c r="G31" s="54">
        <f t="array" ref="G31">SUM(('Data Defects'!$F$5:$F$504&gt;0)*('Data Defects'!$F$5:$F$504&lt;='Control General'!$C$10)*('Data Defects'!$F$5:$F$504-'Data Defects'!$E$5:$E$504))/SUM(('Data Defects'!$F$5:$F$504&gt;0)*('Data Defects'!$F$5:$F$504&lt;='Control General'!$C$10))</f>
        <v>17.943396226415093</v>
      </c>
    </row>
    <row r="32" spans="2:16" x14ac:dyDescent="0.2">
      <c r="B32" s="9" t="s">
        <v>35</v>
      </c>
      <c r="C32" s="55">
        <f t="array" ref="C32">SUM(('Data Defects'!$C$5:$C$504=C$30)*('Data Defects'!$G$5:$G$504&gt;0)*('Data Defects'!$G$5:$G$504&lt;='Control General'!$C$10)*('Data Defects'!$G$5:$G$504-'Data Defects'!$F$5:$F$504))/SUM(('Data Defects'!$C$5:$C$504=C$30)*('Data Defects'!$G$5:$G$504&gt;0)*('Data Defects'!$G$5:$G$504&lt;='Control General'!$C$10))</f>
        <v>6.666666666666667</v>
      </c>
      <c r="D32" s="55">
        <f t="array" ref="D32">SUM(('Data Defects'!$C$5:$C$504=D$30)*('Data Defects'!$G$5:$G$504&gt;0)*('Data Defects'!$G$5:$G$504&lt;='Control General'!$C$10)*('Data Defects'!$G$5:$G$504-'Data Defects'!$F$5:$F$504))/SUM(('Data Defects'!$C$5:$C$504=D$30)*('Data Defects'!$G$5:$G$504&gt;0)*('Data Defects'!$G$5:$G$504&lt;='Control General'!$C$10))</f>
        <v>13.924050632911392</v>
      </c>
      <c r="E32" s="55">
        <f t="array" ref="E32">SUM(('Data Defects'!$C$5:$C$504=E$30)*('Data Defects'!$G$5:$G$504&gt;0)*('Data Defects'!$G$5:$G$504&lt;='Control General'!$C$10)*('Data Defects'!$G$5:$G$504-'Data Defects'!$F$5:$F$504))/SUM(('Data Defects'!$C$5:$C$504=E$30)*('Data Defects'!$G$5:$G$504&gt;0)*('Data Defects'!$G$5:$G$504&lt;='Control General'!$C$10))</f>
        <v>13.282608695652174</v>
      </c>
      <c r="F32" s="55">
        <f t="array" ref="F32">SUM(('Data Defects'!$C$5:$C$504=F$30)*('Data Defects'!$G$5:$G$504&gt;0)*('Data Defects'!$G$5:$G$504&lt;='Control General'!$C$10)*('Data Defects'!$G$5:$G$504-'Data Defects'!$F$5:$F$504))/SUM(('Data Defects'!$C$5:$C$504=F$30)*('Data Defects'!$G$5:$G$504&gt;0)*('Data Defects'!$G$5:$G$504&lt;='Control General'!$C$10))</f>
        <v>6.3125</v>
      </c>
      <c r="G32" s="55">
        <f t="array" ref="G32">SUM(('Data Defects'!$G$5:$G$504&gt;0)*('Data Defects'!$G$5:$G$504&lt;='Control General'!$C$10)*('Data Defects'!$G$5:$G$504-'Data Defects'!$F$5:$F$504))/SUM(('Data Defects'!$G$5:$G$504&gt;0)*('Data Defects'!$G$5:$G$504&lt;='Control General'!$C$10))</f>
        <v>12.668367346938776</v>
      </c>
    </row>
    <row r="33" spans="2:7" x14ac:dyDescent="0.2">
      <c r="B33" s="10" t="s">
        <v>36</v>
      </c>
      <c r="C33" s="56">
        <f t="array" ref="C33">SUM(('Data Defects'!$C$5:$C$504=C$30)*('Data Defects'!$G$5:$G$504&gt;0)*('Data Defects'!$G$5:$G$504&lt;='Control General'!$C$10)*('Data Defects'!$G$5:$G$504-'Data Defects'!$E$5:$E$504))/SUM(('Data Defects'!$C$5:$C$504=C$30)*('Data Defects'!$G$5:$G$504&gt;0)*('Data Defects'!$G$5:$G$504&lt;='Control General'!$C$10))</f>
        <v>17.444444444444443</v>
      </c>
      <c r="D33" s="56">
        <f t="array" ref="D33">SUM(('Data Defects'!$C$5:$C$504=D$30)*('Data Defects'!$G$5:$G$504&gt;0)*('Data Defects'!$G$5:$G$504&lt;='Control General'!$C$10)*('Data Defects'!$G$5:$G$504-'Data Defects'!$E$5:$E$504))/SUM(('Data Defects'!$C$5:$C$504=D$30)*('Data Defects'!$G$5:$G$504&gt;0)*('Data Defects'!$G$5:$G$504&lt;='Control General'!$C$10))</f>
        <v>31.721518987341771</v>
      </c>
      <c r="E33" s="56">
        <f t="array" ref="E33">SUM(('Data Defects'!$C$5:$C$504=E$30)*('Data Defects'!$G$5:$G$504&gt;0)*('Data Defects'!$G$5:$G$504&lt;='Control General'!$C$10)*('Data Defects'!$G$5:$G$504-'Data Defects'!$E$5:$E$504))/SUM(('Data Defects'!$C$5:$C$504=E$30)*('Data Defects'!$G$5:$G$504&gt;0)*('Data Defects'!$G$5:$G$504&lt;='Control General'!$C$10))</f>
        <v>31.402173913043477</v>
      </c>
      <c r="F33" s="56">
        <f t="array" ref="F33">SUM(('Data Defects'!$C$5:$C$504=F$30)*('Data Defects'!$G$5:$G$504&gt;0)*('Data Defects'!$G$5:$G$504&lt;='Control General'!$C$10)*('Data Defects'!$G$5:$G$504-'Data Defects'!$E$5:$E$504))/SUM(('Data Defects'!$C$5:$C$504=F$30)*('Data Defects'!$G$5:$G$504&gt;0)*('Data Defects'!$G$5:$G$504&lt;='Control General'!$C$10))</f>
        <v>15.0625</v>
      </c>
      <c r="G33" s="56">
        <f t="array" ref="G33">SUM(('Data Defects'!$G$5:$G$504&gt;0)*('Data Defects'!$G$5:$G$504&lt;='Control General'!$C$10)*('Data Defects'!$G$5:$G$504-'Data Defects'!$E$5:$E$504))/SUM(('Data Defects'!$G$5:$G$504&gt;0)*('Data Defects'!$G$5:$G$504&lt;='Control General'!$C$10))</f>
        <v>29.556122448979593</v>
      </c>
    </row>
    <row r="35" spans="2:7" x14ac:dyDescent="0.2">
      <c r="B35" s="12" t="s">
        <v>40</v>
      </c>
      <c r="C35" s="12" t="s">
        <v>9</v>
      </c>
      <c r="D35" s="12" t="s">
        <v>10</v>
      </c>
    </row>
    <row r="36" spans="2:7" x14ac:dyDescent="0.2">
      <c r="B36" s="15">
        <f t="shared" ref="B36:B87" si="5">ROUNDDOWN((C36-DATE(YEAR(C36+MOD(8-WEEKDAY(C36),7)-3),1,1)-3+MOD(WEEKDAY(DATE(YEAR(C36+MOD(8-WEEKDAY(C36),7)-3),1,1))+1,7))/7+1,0)</f>
        <v>2</v>
      </c>
      <c r="C36" s="68">
        <v>39818</v>
      </c>
      <c r="D36" s="16">
        <f>IF(WEEKDAY($C$36)=1,C$36,C$36+8-WEEKDAY(C$36))</f>
        <v>39824</v>
      </c>
    </row>
    <row r="37" spans="2:7" x14ac:dyDescent="0.2">
      <c r="B37" s="20">
        <f t="shared" si="5"/>
        <v>3</v>
      </c>
      <c r="C37" s="19">
        <f>C36+7</f>
        <v>39825</v>
      </c>
      <c r="D37" s="19">
        <f t="shared" ref="D37:D87" si="6">C37+6</f>
        <v>39831</v>
      </c>
    </row>
    <row r="38" spans="2:7" x14ac:dyDescent="0.2">
      <c r="B38" s="20">
        <f t="shared" si="5"/>
        <v>4</v>
      </c>
      <c r="C38" s="19">
        <f t="shared" ref="C38:C87" si="7">C37+7</f>
        <v>39832</v>
      </c>
      <c r="D38" s="19">
        <f t="shared" si="6"/>
        <v>39838</v>
      </c>
    </row>
    <row r="39" spans="2:7" x14ac:dyDescent="0.2">
      <c r="B39" s="20">
        <f t="shared" si="5"/>
        <v>5</v>
      </c>
      <c r="C39" s="19">
        <f t="shared" si="7"/>
        <v>39839</v>
      </c>
      <c r="D39" s="19">
        <f t="shared" si="6"/>
        <v>39845</v>
      </c>
    </row>
    <row r="40" spans="2:7" x14ac:dyDescent="0.2">
      <c r="B40" s="20">
        <f t="shared" si="5"/>
        <v>6</v>
      </c>
      <c r="C40" s="19">
        <f t="shared" si="7"/>
        <v>39846</v>
      </c>
      <c r="D40" s="19">
        <f t="shared" si="6"/>
        <v>39852</v>
      </c>
    </row>
    <row r="41" spans="2:7" x14ac:dyDescent="0.2">
      <c r="B41" s="20">
        <f t="shared" si="5"/>
        <v>7</v>
      </c>
      <c r="C41" s="19">
        <f t="shared" si="7"/>
        <v>39853</v>
      </c>
      <c r="D41" s="19">
        <f t="shared" si="6"/>
        <v>39859</v>
      </c>
    </row>
    <row r="42" spans="2:7" x14ac:dyDescent="0.2">
      <c r="B42" s="20">
        <f t="shared" si="5"/>
        <v>8</v>
      </c>
      <c r="C42" s="19">
        <f t="shared" si="7"/>
        <v>39860</v>
      </c>
      <c r="D42" s="19">
        <f t="shared" si="6"/>
        <v>39866</v>
      </c>
    </row>
    <row r="43" spans="2:7" x14ac:dyDescent="0.2">
      <c r="B43" s="20">
        <f t="shared" si="5"/>
        <v>9</v>
      </c>
      <c r="C43" s="19">
        <f t="shared" si="7"/>
        <v>39867</v>
      </c>
      <c r="D43" s="19">
        <f t="shared" si="6"/>
        <v>39873</v>
      </c>
    </row>
    <row r="44" spans="2:7" x14ac:dyDescent="0.2">
      <c r="B44" s="20">
        <f t="shared" si="5"/>
        <v>10</v>
      </c>
      <c r="C44" s="19">
        <f t="shared" si="7"/>
        <v>39874</v>
      </c>
      <c r="D44" s="19">
        <f t="shared" si="6"/>
        <v>39880</v>
      </c>
    </row>
    <row r="45" spans="2:7" x14ac:dyDescent="0.2">
      <c r="B45" s="20">
        <f t="shared" si="5"/>
        <v>11</v>
      </c>
      <c r="C45" s="19">
        <f t="shared" si="7"/>
        <v>39881</v>
      </c>
      <c r="D45" s="19">
        <f t="shared" si="6"/>
        <v>39887</v>
      </c>
    </row>
    <row r="46" spans="2:7" x14ac:dyDescent="0.2">
      <c r="B46" s="20">
        <f t="shared" si="5"/>
        <v>12</v>
      </c>
      <c r="C46" s="19">
        <f t="shared" si="7"/>
        <v>39888</v>
      </c>
      <c r="D46" s="19">
        <f t="shared" si="6"/>
        <v>39894</v>
      </c>
    </row>
    <row r="47" spans="2:7" x14ac:dyDescent="0.2">
      <c r="B47" s="20">
        <f t="shared" si="5"/>
        <v>13</v>
      </c>
      <c r="C47" s="19">
        <f t="shared" si="7"/>
        <v>39895</v>
      </c>
      <c r="D47" s="19">
        <f t="shared" si="6"/>
        <v>39901</v>
      </c>
    </row>
    <row r="48" spans="2:7" x14ac:dyDescent="0.2">
      <c r="B48" s="20">
        <f t="shared" si="5"/>
        <v>14</v>
      </c>
      <c r="C48" s="19">
        <f t="shared" si="7"/>
        <v>39902</v>
      </c>
      <c r="D48" s="19">
        <f t="shared" si="6"/>
        <v>39908</v>
      </c>
    </row>
    <row r="49" spans="2:4" x14ac:dyDescent="0.2">
      <c r="B49" s="20">
        <f t="shared" si="5"/>
        <v>15</v>
      </c>
      <c r="C49" s="19">
        <f t="shared" si="7"/>
        <v>39909</v>
      </c>
      <c r="D49" s="19">
        <f t="shared" si="6"/>
        <v>39915</v>
      </c>
    </row>
    <row r="50" spans="2:4" x14ac:dyDescent="0.2">
      <c r="B50" s="20">
        <f t="shared" si="5"/>
        <v>16</v>
      </c>
      <c r="C50" s="19">
        <f t="shared" si="7"/>
        <v>39916</v>
      </c>
      <c r="D50" s="19">
        <f t="shared" si="6"/>
        <v>39922</v>
      </c>
    </row>
    <row r="51" spans="2:4" x14ac:dyDescent="0.2">
      <c r="B51" s="20">
        <f t="shared" si="5"/>
        <v>17</v>
      </c>
      <c r="C51" s="19">
        <f t="shared" si="7"/>
        <v>39923</v>
      </c>
      <c r="D51" s="19">
        <f t="shared" si="6"/>
        <v>39929</v>
      </c>
    </row>
    <row r="52" spans="2:4" x14ac:dyDescent="0.2">
      <c r="B52" s="20">
        <f t="shared" si="5"/>
        <v>18</v>
      </c>
      <c r="C52" s="19">
        <f t="shared" si="7"/>
        <v>39930</v>
      </c>
      <c r="D52" s="19">
        <f t="shared" si="6"/>
        <v>39936</v>
      </c>
    </row>
    <row r="53" spans="2:4" x14ac:dyDescent="0.2">
      <c r="B53" s="20">
        <f t="shared" si="5"/>
        <v>19</v>
      </c>
      <c r="C53" s="19">
        <f t="shared" si="7"/>
        <v>39937</v>
      </c>
      <c r="D53" s="19">
        <f t="shared" si="6"/>
        <v>39943</v>
      </c>
    </row>
    <row r="54" spans="2:4" x14ac:dyDescent="0.2">
      <c r="B54" s="20">
        <f t="shared" si="5"/>
        <v>20</v>
      </c>
      <c r="C54" s="19">
        <f t="shared" si="7"/>
        <v>39944</v>
      </c>
      <c r="D54" s="19">
        <f t="shared" si="6"/>
        <v>39950</v>
      </c>
    </row>
    <row r="55" spans="2:4" x14ac:dyDescent="0.2">
      <c r="B55" s="20">
        <f t="shared" si="5"/>
        <v>21</v>
      </c>
      <c r="C55" s="19">
        <f t="shared" si="7"/>
        <v>39951</v>
      </c>
      <c r="D55" s="19">
        <f t="shared" si="6"/>
        <v>39957</v>
      </c>
    </row>
    <row r="56" spans="2:4" x14ac:dyDescent="0.2">
      <c r="B56" s="20">
        <f t="shared" si="5"/>
        <v>22</v>
      </c>
      <c r="C56" s="19">
        <f t="shared" si="7"/>
        <v>39958</v>
      </c>
      <c r="D56" s="19">
        <f t="shared" si="6"/>
        <v>39964</v>
      </c>
    </row>
    <row r="57" spans="2:4" x14ac:dyDescent="0.2">
      <c r="B57" s="20">
        <f t="shared" si="5"/>
        <v>23</v>
      </c>
      <c r="C57" s="19">
        <f t="shared" si="7"/>
        <v>39965</v>
      </c>
      <c r="D57" s="19">
        <f t="shared" si="6"/>
        <v>39971</v>
      </c>
    </row>
    <row r="58" spans="2:4" x14ac:dyDescent="0.2">
      <c r="B58" s="20">
        <f t="shared" si="5"/>
        <v>24</v>
      </c>
      <c r="C58" s="19">
        <f t="shared" si="7"/>
        <v>39972</v>
      </c>
      <c r="D58" s="19">
        <f t="shared" si="6"/>
        <v>39978</v>
      </c>
    </row>
    <row r="59" spans="2:4" x14ac:dyDescent="0.2">
      <c r="B59" s="20">
        <f t="shared" si="5"/>
        <v>25</v>
      </c>
      <c r="C59" s="19">
        <f t="shared" si="7"/>
        <v>39979</v>
      </c>
      <c r="D59" s="19">
        <f t="shared" si="6"/>
        <v>39985</v>
      </c>
    </row>
    <row r="60" spans="2:4" x14ac:dyDescent="0.2">
      <c r="B60" s="20">
        <f t="shared" si="5"/>
        <v>26</v>
      </c>
      <c r="C60" s="19">
        <f t="shared" si="7"/>
        <v>39986</v>
      </c>
      <c r="D60" s="19">
        <f t="shared" si="6"/>
        <v>39992</v>
      </c>
    </row>
    <row r="61" spans="2:4" x14ac:dyDescent="0.2">
      <c r="B61" s="20">
        <f t="shared" si="5"/>
        <v>27</v>
      </c>
      <c r="C61" s="19">
        <f t="shared" si="7"/>
        <v>39993</v>
      </c>
      <c r="D61" s="19">
        <f t="shared" si="6"/>
        <v>39999</v>
      </c>
    </row>
    <row r="62" spans="2:4" x14ac:dyDescent="0.2">
      <c r="B62" s="20">
        <f t="shared" si="5"/>
        <v>28</v>
      </c>
      <c r="C62" s="19">
        <f t="shared" si="7"/>
        <v>40000</v>
      </c>
      <c r="D62" s="19">
        <f t="shared" si="6"/>
        <v>40006</v>
      </c>
    </row>
    <row r="63" spans="2:4" x14ac:dyDescent="0.2">
      <c r="B63" s="20">
        <f t="shared" si="5"/>
        <v>29</v>
      </c>
      <c r="C63" s="19">
        <f t="shared" si="7"/>
        <v>40007</v>
      </c>
      <c r="D63" s="19">
        <f t="shared" si="6"/>
        <v>40013</v>
      </c>
    </row>
    <row r="64" spans="2:4" x14ac:dyDescent="0.2">
      <c r="B64" s="20">
        <f t="shared" si="5"/>
        <v>30</v>
      </c>
      <c r="C64" s="19">
        <f t="shared" si="7"/>
        <v>40014</v>
      </c>
      <c r="D64" s="19">
        <f t="shared" si="6"/>
        <v>40020</v>
      </c>
    </row>
    <row r="65" spans="2:4" x14ac:dyDescent="0.2">
      <c r="B65" s="20">
        <f t="shared" si="5"/>
        <v>31</v>
      </c>
      <c r="C65" s="19">
        <f t="shared" si="7"/>
        <v>40021</v>
      </c>
      <c r="D65" s="19">
        <f t="shared" si="6"/>
        <v>40027</v>
      </c>
    </row>
    <row r="66" spans="2:4" x14ac:dyDescent="0.2">
      <c r="B66" s="20">
        <f t="shared" si="5"/>
        <v>32</v>
      </c>
      <c r="C66" s="19">
        <f t="shared" si="7"/>
        <v>40028</v>
      </c>
      <c r="D66" s="19">
        <f t="shared" si="6"/>
        <v>40034</v>
      </c>
    </row>
    <row r="67" spans="2:4" x14ac:dyDescent="0.2">
      <c r="B67" s="20">
        <f t="shared" si="5"/>
        <v>33</v>
      </c>
      <c r="C67" s="19">
        <f t="shared" si="7"/>
        <v>40035</v>
      </c>
      <c r="D67" s="19">
        <f t="shared" si="6"/>
        <v>40041</v>
      </c>
    </row>
    <row r="68" spans="2:4" x14ac:dyDescent="0.2">
      <c r="B68" s="20">
        <f t="shared" si="5"/>
        <v>34</v>
      </c>
      <c r="C68" s="19">
        <f t="shared" si="7"/>
        <v>40042</v>
      </c>
      <c r="D68" s="19">
        <f t="shared" si="6"/>
        <v>40048</v>
      </c>
    </row>
    <row r="69" spans="2:4" x14ac:dyDescent="0.2">
      <c r="B69" s="20">
        <f t="shared" si="5"/>
        <v>35</v>
      </c>
      <c r="C69" s="19">
        <f t="shared" si="7"/>
        <v>40049</v>
      </c>
      <c r="D69" s="19">
        <f t="shared" si="6"/>
        <v>40055</v>
      </c>
    </row>
    <row r="70" spans="2:4" x14ac:dyDescent="0.2">
      <c r="B70" s="20">
        <f t="shared" si="5"/>
        <v>36</v>
      </c>
      <c r="C70" s="19">
        <f t="shared" si="7"/>
        <v>40056</v>
      </c>
      <c r="D70" s="19">
        <f t="shared" si="6"/>
        <v>40062</v>
      </c>
    </row>
    <row r="71" spans="2:4" x14ac:dyDescent="0.2">
      <c r="B71" s="20">
        <f t="shared" si="5"/>
        <v>37</v>
      </c>
      <c r="C71" s="19">
        <f t="shared" si="7"/>
        <v>40063</v>
      </c>
      <c r="D71" s="19">
        <f t="shared" si="6"/>
        <v>40069</v>
      </c>
    </row>
    <row r="72" spans="2:4" x14ac:dyDescent="0.2">
      <c r="B72" s="20">
        <f t="shared" si="5"/>
        <v>38</v>
      </c>
      <c r="C72" s="19">
        <f t="shared" si="7"/>
        <v>40070</v>
      </c>
      <c r="D72" s="19">
        <f t="shared" si="6"/>
        <v>40076</v>
      </c>
    </row>
    <row r="73" spans="2:4" x14ac:dyDescent="0.2">
      <c r="B73" s="20">
        <f t="shared" si="5"/>
        <v>39</v>
      </c>
      <c r="C73" s="19">
        <f t="shared" si="7"/>
        <v>40077</v>
      </c>
      <c r="D73" s="19">
        <f t="shared" si="6"/>
        <v>40083</v>
      </c>
    </row>
    <row r="74" spans="2:4" x14ac:dyDescent="0.2">
      <c r="B74" s="20">
        <f t="shared" si="5"/>
        <v>40</v>
      </c>
      <c r="C74" s="19">
        <f t="shared" si="7"/>
        <v>40084</v>
      </c>
      <c r="D74" s="19">
        <f t="shared" si="6"/>
        <v>40090</v>
      </c>
    </row>
    <row r="75" spans="2:4" x14ac:dyDescent="0.2">
      <c r="B75" s="20">
        <f t="shared" si="5"/>
        <v>41</v>
      </c>
      <c r="C75" s="19">
        <f t="shared" si="7"/>
        <v>40091</v>
      </c>
      <c r="D75" s="19">
        <f t="shared" si="6"/>
        <v>40097</v>
      </c>
    </row>
    <row r="76" spans="2:4" x14ac:dyDescent="0.2">
      <c r="B76" s="20">
        <f t="shared" si="5"/>
        <v>42</v>
      </c>
      <c r="C76" s="19">
        <f t="shared" si="7"/>
        <v>40098</v>
      </c>
      <c r="D76" s="19">
        <f t="shared" si="6"/>
        <v>40104</v>
      </c>
    </row>
    <row r="77" spans="2:4" x14ac:dyDescent="0.2">
      <c r="B77" s="20">
        <f t="shared" si="5"/>
        <v>43</v>
      </c>
      <c r="C77" s="19">
        <f t="shared" si="7"/>
        <v>40105</v>
      </c>
      <c r="D77" s="19">
        <f t="shared" si="6"/>
        <v>40111</v>
      </c>
    </row>
    <row r="78" spans="2:4" x14ac:dyDescent="0.2">
      <c r="B78" s="20">
        <f t="shared" si="5"/>
        <v>44</v>
      </c>
      <c r="C78" s="19">
        <f t="shared" si="7"/>
        <v>40112</v>
      </c>
      <c r="D78" s="19">
        <f t="shared" si="6"/>
        <v>40118</v>
      </c>
    </row>
    <row r="79" spans="2:4" x14ac:dyDescent="0.2">
      <c r="B79" s="20">
        <f t="shared" si="5"/>
        <v>45</v>
      </c>
      <c r="C79" s="19">
        <f t="shared" si="7"/>
        <v>40119</v>
      </c>
      <c r="D79" s="19">
        <f t="shared" si="6"/>
        <v>40125</v>
      </c>
    </row>
    <row r="80" spans="2:4" x14ac:dyDescent="0.2">
      <c r="B80" s="20">
        <f t="shared" si="5"/>
        <v>46</v>
      </c>
      <c r="C80" s="19">
        <f t="shared" si="7"/>
        <v>40126</v>
      </c>
      <c r="D80" s="19">
        <f t="shared" si="6"/>
        <v>40132</v>
      </c>
    </row>
    <row r="81" spans="2:4" x14ac:dyDescent="0.2">
      <c r="B81" s="20">
        <f t="shared" si="5"/>
        <v>47</v>
      </c>
      <c r="C81" s="19">
        <f t="shared" si="7"/>
        <v>40133</v>
      </c>
      <c r="D81" s="19">
        <f t="shared" si="6"/>
        <v>40139</v>
      </c>
    </row>
    <row r="82" spans="2:4" x14ac:dyDescent="0.2">
      <c r="B82" s="20">
        <f t="shared" si="5"/>
        <v>48</v>
      </c>
      <c r="C82" s="19">
        <f t="shared" si="7"/>
        <v>40140</v>
      </c>
      <c r="D82" s="19">
        <f t="shared" si="6"/>
        <v>40146</v>
      </c>
    </row>
    <row r="83" spans="2:4" x14ac:dyDescent="0.2">
      <c r="B83" s="20">
        <f t="shared" si="5"/>
        <v>49</v>
      </c>
      <c r="C83" s="19">
        <f t="shared" si="7"/>
        <v>40147</v>
      </c>
      <c r="D83" s="19">
        <f t="shared" si="6"/>
        <v>40153</v>
      </c>
    </row>
    <row r="84" spans="2:4" x14ac:dyDescent="0.2">
      <c r="B84" s="20">
        <f t="shared" si="5"/>
        <v>50</v>
      </c>
      <c r="C84" s="19">
        <f t="shared" si="7"/>
        <v>40154</v>
      </c>
      <c r="D84" s="19">
        <f t="shared" si="6"/>
        <v>40160</v>
      </c>
    </row>
    <row r="85" spans="2:4" x14ac:dyDescent="0.2">
      <c r="B85" s="20">
        <f t="shared" si="5"/>
        <v>51</v>
      </c>
      <c r="C85" s="19">
        <f t="shared" si="7"/>
        <v>40161</v>
      </c>
      <c r="D85" s="19">
        <f t="shared" si="6"/>
        <v>40167</v>
      </c>
    </row>
    <row r="86" spans="2:4" x14ac:dyDescent="0.2">
      <c r="B86" s="20">
        <f t="shared" si="5"/>
        <v>52</v>
      </c>
      <c r="C86" s="19">
        <f t="shared" si="7"/>
        <v>40168</v>
      </c>
      <c r="D86" s="19">
        <f t="shared" si="6"/>
        <v>40174</v>
      </c>
    </row>
    <row r="87" spans="2:4" x14ac:dyDescent="0.2">
      <c r="B87" s="18">
        <f t="shared" si="5"/>
        <v>53</v>
      </c>
      <c r="C87" s="17">
        <f t="shared" si="7"/>
        <v>40175</v>
      </c>
      <c r="D87" s="17">
        <f t="shared" si="6"/>
        <v>40181</v>
      </c>
    </row>
  </sheetData>
  <phoneticPr fontId="6" type="noConversion"/>
  <pageMargins left="0.39370078740157483" right="0.39370078740157483" top="0.39370078740157483" bottom="0.39370078740157483" header="0.19685039370078741" footer="0.19685039370078741"/>
  <pageSetup paperSize="9" scale="61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indexed="8"/>
    <pageSetUpPr fitToPage="1"/>
  </sheetPr>
  <dimension ref="B1:L157"/>
  <sheetViews>
    <sheetView showGridLines="0" zoomScaleNormal="70" zoomScaleSheetLayoutView="55" workbookViewId="0"/>
  </sheetViews>
  <sheetFormatPr defaultColWidth="12.7109375" defaultRowHeight="12.75" x14ac:dyDescent="0.2"/>
  <cols>
    <col min="1" max="1" width="1.7109375" customWidth="1"/>
    <col min="2" max="2" width="23.140625" bestFit="1" customWidth="1"/>
    <col min="3" max="12" width="12.7109375" customWidth="1"/>
    <col min="13" max="13" width="1.7109375" customWidth="1"/>
  </cols>
  <sheetData>
    <row r="1" spans="2:12" s="132" customFormat="1" x14ac:dyDescent="0.2"/>
    <row r="2" spans="2:12" s="132" customFormat="1" ht="30" customHeight="1" thickBot="1" x14ac:dyDescent="0.25">
      <c r="B2" s="133" t="s">
        <v>75</v>
      </c>
      <c r="C2" s="134"/>
      <c r="D2" s="134"/>
      <c r="E2" s="134"/>
      <c r="F2" s="134"/>
      <c r="G2" s="134"/>
      <c r="H2" s="135"/>
      <c r="I2" s="135"/>
      <c r="J2" s="135"/>
      <c r="K2" s="135"/>
      <c r="L2" s="135"/>
    </row>
    <row r="3" spans="2:12" s="132" customFormat="1" ht="12.75" customHeight="1" x14ac:dyDescent="0.2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2:12" s="132" customFormat="1" ht="20.100000000000001" customHeight="1" x14ac:dyDescent="0.2">
      <c r="B4" s="138" t="s">
        <v>78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</row>
    <row r="5" spans="2:12" s="132" customFormat="1" x14ac:dyDescent="0.2">
      <c r="L5" s="140"/>
    </row>
    <row r="6" spans="2:12" s="132" customFormat="1" x14ac:dyDescent="0.2">
      <c r="D6" s="141" t="str">
        <f>'Data Test'!$B$5</f>
        <v>Software Module 1</v>
      </c>
      <c r="E6" s="142"/>
      <c r="F6" s="143"/>
      <c r="G6" s="143"/>
      <c r="H6" s="143"/>
      <c r="I6" s="143"/>
      <c r="J6" s="143"/>
      <c r="K6" s="143"/>
      <c r="L6" s="143"/>
    </row>
    <row r="7" spans="2:12" s="132" customFormat="1" ht="38.25" x14ac:dyDescent="0.2">
      <c r="B7" s="12" t="s">
        <v>79</v>
      </c>
      <c r="C7" s="12" t="s">
        <v>3</v>
      </c>
      <c r="D7" s="13" t="s">
        <v>46</v>
      </c>
      <c r="E7" s="13" t="s">
        <v>80</v>
      </c>
      <c r="F7" s="13" t="s">
        <v>81</v>
      </c>
      <c r="G7" s="13" t="s">
        <v>72</v>
      </c>
      <c r="H7" s="13" t="s">
        <v>73</v>
      </c>
      <c r="I7" s="13" t="s">
        <v>74</v>
      </c>
      <c r="J7" s="13" t="s">
        <v>82</v>
      </c>
      <c r="K7" s="13" t="s">
        <v>48</v>
      </c>
      <c r="L7" s="13" t="s">
        <v>83</v>
      </c>
    </row>
    <row r="8" spans="2:12" s="132" customFormat="1" x14ac:dyDescent="0.2">
      <c r="B8" s="144">
        <f>MIN('Data Test'!$C$16:$C$75)</f>
        <v>39969</v>
      </c>
      <c r="C8" s="15">
        <f>ROUNDDOWN((B8-DATE(YEAR(B8+MOD(8-WEEKDAY(B8),7)-3),1,1)-3+MOD(WEEKDAY(DATE(YEAR(B8+MOD(8-WEEKDAY(B8),7)-3),1,1))+1,7))/7+1,0)</f>
        <v>23</v>
      </c>
      <c r="D8" s="145">
        <f>VLOOKUP($D$6,'Data Test'!$B$5:$D$9,3,FALSE)</f>
        <v>400</v>
      </c>
      <c r="E8" s="145">
        <f>ROUNDUP(D8/'Control General'!$C$16,0)</f>
        <v>34</v>
      </c>
      <c r="F8" s="145">
        <f>SUMPRODUCT(($B8='Data Test'!$C$16:$C$75)*($D$6='Data Test'!$D$16:$D$75)*('Data Test'!E$16:E$75))</f>
        <v>29</v>
      </c>
      <c r="G8" s="145">
        <f>SUMPRODUCT(($B8='Data Test'!$C$16:$C$75)*($D$6='Data Test'!$D$16:$D$75)*('Data Test'!F$16:F$75))</f>
        <v>1</v>
      </c>
      <c r="H8" s="145">
        <f>SUMPRODUCT(($B8='Data Test'!$C$16:$C$75)*($D$6='Data Test'!$D$16:$D$75)*('Data Test'!G$16:G$75))</f>
        <v>25</v>
      </c>
      <c r="I8" s="145">
        <f>SUMPRODUCT(($B8='Data Test'!$C$16:$C$75)*($D$6='Data Test'!$D$16:$D$75)*('Data Test'!H$16:H$75))</f>
        <v>4</v>
      </c>
      <c r="J8" s="146">
        <f>IF(F8&gt;0,H8/F8,0)</f>
        <v>0.86206896551724133</v>
      </c>
      <c r="K8" s="146">
        <f>F8/D8</f>
        <v>7.2499999999999995E-2</v>
      </c>
      <c r="L8" s="146">
        <f>F8/E8</f>
        <v>0.8529411764705882</v>
      </c>
    </row>
    <row r="9" spans="2:12" s="132" customFormat="1" x14ac:dyDescent="0.2">
      <c r="B9" s="147">
        <f>B8+7</f>
        <v>39976</v>
      </c>
      <c r="C9" s="20">
        <f t="shared" ref="C9:C19" si="0">ROUNDDOWN((B9-DATE(YEAR(B9+MOD(8-WEEKDAY(B9),7)-3),1,1)-3+MOD(WEEKDAY(DATE(YEAR(B9+MOD(8-WEEKDAY(B9),7)-3),1,1))+1,7))/7+1,0)</f>
        <v>24</v>
      </c>
      <c r="D9" s="148">
        <f>D8</f>
        <v>400</v>
      </c>
      <c r="E9" s="148">
        <f>E8+ROUNDUP(D9/'Control General'!$C$16,0)</f>
        <v>68</v>
      </c>
      <c r="F9" s="148">
        <f>SUMPRODUCT(($B9='Data Test'!$C$16:$C$75)*($D$6='Data Test'!$D$16:$D$75)*('Data Test'!E$16:E$75))</f>
        <v>67</v>
      </c>
      <c r="G9" s="148">
        <f>SUMPRODUCT(($B9='Data Test'!$C$16:$C$75)*($D$6='Data Test'!$D$16:$D$75)*('Data Test'!F$16:F$75))</f>
        <v>5</v>
      </c>
      <c r="H9" s="148">
        <f>SUMPRODUCT(($B9='Data Test'!$C$16:$C$75)*($D$6='Data Test'!$D$16:$D$75)*('Data Test'!G$16:G$75))</f>
        <v>60</v>
      </c>
      <c r="I9" s="148">
        <f>SUMPRODUCT(($B9='Data Test'!$C$16:$C$75)*($D$6='Data Test'!$D$16:$D$75)*('Data Test'!H$16:H$75))</f>
        <v>7</v>
      </c>
      <c r="J9" s="149">
        <f t="shared" ref="J9:J19" si="1">IF(F9&gt;0,H9/F9,0)</f>
        <v>0.89552238805970152</v>
      </c>
      <c r="K9" s="149">
        <f t="shared" ref="K9:K19" si="2">F9/D9</f>
        <v>0.16750000000000001</v>
      </c>
      <c r="L9" s="149">
        <f t="shared" ref="L9:L19" si="3">F9/E9</f>
        <v>0.98529411764705888</v>
      </c>
    </row>
    <row r="10" spans="2:12" s="132" customFormat="1" x14ac:dyDescent="0.2">
      <c r="B10" s="147">
        <f t="shared" ref="B10:B19" si="4">B9+7</f>
        <v>39983</v>
      </c>
      <c r="C10" s="20">
        <f t="shared" si="0"/>
        <v>25</v>
      </c>
      <c r="D10" s="148">
        <f t="shared" ref="D10:D19" si="5">D9</f>
        <v>400</v>
      </c>
      <c r="E10" s="148">
        <f>E9+ROUNDUP(D10/'Control General'!$C$16,0)</f>
        <v>102</v>
      </c>
      <c r="F10" s="148">
        <f>SUMPRODUCT(($B10='Data Test'!$C$16:$C$75)*($D$6='Data Test'!$D$16:$D$75)*('Data Test'!E$16:E$75))</f>
        <v>102</v>
      </c>
      <c r="G10" s="148">
        <f>SUMPRODUCT(($B10='Data Test'!$C$16:$C$75)*($D$6='Data Test'!$D$16:$D$75)*('Data Test'!F$16:F$75))</f>
        <v>0</v>
      </c>
      <c r="H10" s="148">
        <f>SUMPRODUCT(($B10='Data Test'!$C$16:$C$75)*($D$6='Data Test'!$D$16:$D$75)*('Data Test'!G$16:G$75))</f>
        <v>93</v>
      </c>
      <c r="I10" s="148">
        <f>SUMPRODUCT(($B10='Data Test'!$C$16:$C$75)*($D$6='Data Test'!$D$16:$D$75)*('Data Test'!H$16:H$75))</f>
        <v>9</v>
      </c>
      <c r="J10" s="149">
        <f t="shared" si="1"/>
        <v>0.91176470588235292</v>
      </c>
      <c r="K10" s="149">
        <f t="shared" si="2"/>
        <v>0.255</v>
      </c>
      <c r="L10" s="149">
        <f t="shared" si="3"/>
        <v>1</v>
      </c>
    </row>
    <row r="11" spans="2:12" s="132" customFormat="1" x14ac:dyDescent="0.2">
      <c r="B11" s="147">
        <f t="shared" si="4"/>
        <v>39990</v>
      </c>
      <c r="C11" s="20">
        <f t="shared" si="0"/>
        <v>26</v>
      </c>
      <c r="D11" s="148">
        <f t="shared" si="5"/>
        <v>400</v>
      </c>
      <c r="E11" s="148">
        <f>E10+ROUNDUP(D11/'Control General'!$C$16,0)</f>
        <v>136</v>
      </c>
      <c r="F11" s="148">
        <f>SUMPRODUCT(($B11='Data Test'!$C$16:$C$75)*($D$6='Data Test'!$D$16:$D$75)*('Data Test'!E$16:E$75))</f>
        <v>131</v>
      </c>
      <c r="G11" s="148">
        <f>SUMPRODUCT(($B11='Data Test'!$C$16:$C$75)*($D$6='Data Test'!$D$16:$D$75)*('Data Test'!F$16:F$75))</f>
        <v>12</v>
      </c>
      <c r="H11" s="148">
        <f>SUMPRODUCT(($B11='Data Test'!$C$16:$C$75)*($D$6='Data Test'!$D$16:$D$75)*('Data Test'!G$16:G$75))</f>
        <v>117</v>
      </c>
      <c r="I11" s="148">
        <f>SUMPRODUCT(($B11='Data Test'!$C$16:$C$75)*($D$6='Data Test'!$D$16:$D$75)*('Data Test'!H$16:H$75))</f>
        <v>14</v>
      </c>
      <c r="J11" s="149">
        <f t="shared" si="1"/>
        <v>0.89312977099236646</v>
      </c>
      <c r="K11" s="149">
        <f t="shared" si="2"/>
        <v>0.32750000000000001</v>
      </c>
      <c r="L11" s="149">
        <f t="shared" si="3"/>
        <v>0.96323529411764708</v>
      </c>
    </row>
    <row r="12" spans="2:12" s="132" customFormat="1" x14ac:dyDescent="0.2">
      <c r="B12" s="147">
        <f t="shared" si="4"/>
        <v>39997</v>
      </c>
      <c r="C12" s="20">
        <f t="shared" si="0"/>
        <v>27</v>
      </c>
      <c r="D12" s="148">
        <f t="shared" si="5"/>
        <v>400</v>
      </c>
      <c r="E12" s="148">
        <f>E11+ROUNDUP(D12/'Control General'!$C$16,0)</f>
        <v>170</v>
      </c>
      <c r="F12" s="148">
        <f>SUMPRODUCT(($B12='Data Test'!$C$16:$C$75)*($D$6='Data Test'!$D$16:$D$75)*('Data Test'!E$16:E$75))</f>
        <v>158</v>
      </c>
      <c r="G12" s="148">
        <f>SUMPRODUCT(($B12='Data Test'!$C$16:$C$75)*($D$6='Data Test'!$D$16:$D$75)*('Data Test'!F$16:F$75))</f>
        <v>3</v>
      </c>
      <c r="H12" s="148">
        <f>SUMPRODUCT(($B12='Data Test'!$C$16:$C$75)*($D$6='Data Test'!$D$16:$D$75)*('Data Test'!G$16:G$75))</f>
        <v>139</v>
      </c>
      <c r="I12" s="148">
        <f>SUMPRODUCT(($B12='Data Test'!$C$16:$C$75)*($D$6='Data Test'!$D$16:$D$75)*('Data Test'!H$16:H$75))</f>
        <v>19</v>
      </c>
      <c r="J12" s="149">
        <f t="shared" si="1"/>
        <v>0.879746835443038</v>
      </c>
      <c r="K12" s="149">
        <f t="shared" si="2"/>
        <v>0.39500000000000002</v>
      </c>
      <c r="L12" s="149">
        <f t="shared" si="3"/>
        <v>0.92941176470588238</v>
      </c>
    </row>
    <row r="13" spans="2:12" s="132" customFormat="1" x14ac:dyDescent="0.2">
      <c r="B13" s="147">
        <f t="shared" si="4"/>
        <v>40004</v>
      </c>
      <c r="C13" s="20">
        <f t="shared" si="0"/>
        <v>28</v>
      </c>
      <c r="D13" s="148">
        <f t="shared" si="5"/>
        <v>400</v>
      </c>
      <c r="E13" s="148">
        <f>E12+ROUNDUP(D13/'Control General'!$C$16,0)</f>
        <v>204</v>
      </c>
      <c r="F13" s="148">
        <f>SUMPRODUCT(($B13='Data Test'!$C$16:$C$75)*($D$6='Data Test'!$D$16:$D$75)*('Data Test'!E$16:E$75))</f>
        <v>192</v>
      </c>
      <c r="G13" s="148">
        <f>SUMPRODUCT(($B13='Data Test'!$C$16:$C$75)*($D$6='Data Test'!$D$16:$D$75)*('Data Test'!F$16:F$75))</f>
        <v>17</v>
      </c>
      <c r="H13" s="148">
        <f>SUMPRODUCT(($B13='Data Test'!$C$16:$C$75)*($D$6='Data Test'!$D$16:$D$75)*('Data Test'!G$16:G$75))</f>
        <v>170</v>
      </c>
      <c r="I13" s="148">
        <f>SUMPRODUCT(($B13='Data Test'!$C$16:$C$75)*($D$6='Data Test'!$D$16:$D$75)*('Data Test'!H$16:H$75))</f>
        <v>22</v>
      </c>
      <c r="J13" s="149">
        <f t="shared" si="1"/>
        <v>0.88541666666666663</v>
      </c>
      <c r="K13" s="149">
        <f t="shared" si="2"/>
        <v>0.48</v>
      </c>
      <c r="L13" s="149">
        <f t="shared" si="3"/>
        <v>0.94117647058823528</v>
      </c>
    </row>
    <row r="14" spans="2:12" s="132" customFormat="1" x14ac:dyDescent="0.2">
      <c r="B14" s="147">
        <f t="shared" si="4"/>
        <v>40011</v>
      </c>
      <c r="C14" s="20">
        <f t="shared" si="0"/>
        <v>29</v>
      </c>
      <c r="D14" s="148">
        <f t="shared" si="5"/>
        <v>400</v>
      </c>
      <c r="E14" s="148">
        <f>E13+ROUNDUP(D14/'Control General'!$C$16,0)</f>
        <v>238</v>
      </c>
      <c r="F14" s="148">
        <f>SUMPRODUCT(($B14='Data Test'!$C$16:$C$75)*($D$6='Data Test'!$D$16:$D$75)*('Data Test'!E$16:E$75))</f>
        <v>223</v>
      </c>
      <c r="G14" s="148">
        <f>SUMPRODUCT(($B14='Data Test'!$C$16:$C$75)*($D$6='Data Test'!$D$16:$D$75)*('Data Test'!F$16:F$75))</f>
        <v>9</v>
      </c>
      <c r="H14" s="148">
        <f>SUMPRODUCT(($B14='Data Test'!$C$16:$C$75)*($D$6='Data Test'!$D$16:$D$75)*('Data Test'!G$16:G$75))</f>
        <v>199</v>
      </c>
      <c r="I14" s="148">
        <f>SUMPRODUCT(($B14='Data Test'!$C$16:$C$75)*($D$6='Data Test'!$D$16:$D$75)*('Data Test'!H$16:H$75))</f>
        <v>24</v>
      </c>
      <c r="J14" s="149">
        <f t="shared" si="1"/>
        <v>0.8923766816143498</v>
      </c>
      <c r="K14" s="149">
        <f t="shared" si="2"/>
        <v>0.5575</v>
      </c>
      <c r="L14" s="149">
        <f t="shared" si="3"/>
        <v>0.93697478991596639</v>
      </c>
    </row>
    <row r="15" spans="2:12" s="132" customFormat="1" x14ac:dyDescent="0.2">
      <c r="B15" s="147">
        <f t="shared" si="4"/>
        <v>40018</v>
      </c>
      <c r="C15" s="20">
        <f t="shared" si="0"/>
        <v>30</v>
      </c>
      <c r="D15" s="148">
        <f t="shared" si="5"/>
        <v>400</v>
      </c>
      <c r="E15" s="148">
        <f>E14+ROUNDUP(D15/'Control General'!$C$16,0)</f>
        <v>272</v>
      </c>
      <c r="F15" s="148">
        <f>SUMPRODUCT(($B15='Data Test'!$C$16:$C$75)*($D$6='Data Test'!$D$16:$D$75)*('Data Test'!E$16:E$75))</f>
        <v>259</v>
      </c>
      <c r="G15" s="148">
        <f>SUMPRODUCT(($B15='Data Test'!$C$16:$C$75)*($D$6='Data Test'!$D$16:$D$75)*('Data Test'!F$16:F$75))</f>
        <v>26</v>
      </c>
      <c r="H15" s="148">
        <f>SUMPRODUCT(($B15='Data Test'!$C$16:$C$75)*($D$6='Data Test'!$D$16:$D$75)*('Data Test'!G$16:G$75))</f>
        <v>226</v>
      </c>
      <c r="I15" s="148">
        <f>SUMPRODUCT(($B15='Data Test'!$C$16:$C$75)*($D$6='Data Test'!$D$16:$D$75)*('Data Test'!H$16:H$75))</f>
        <v>33</v>
      </c>
      <c r="J15" s="149">
        <f t="shared" si="1"/>
        <v>0.87258687258687262</v>
      </c>
      <c r="K15" s="149">
        <f t="shared" si="2"/>
        <v>0.64749999999999996</v>
      </c>
      <c r="L15" s="149">
        <f t="shared" si="3"/>
        <v>0.95220588235294112</v>
      </c>
    </row>
    <row r="16" spans="2:12" s="132" customFormat="1" x14ac:dyDescent="0.2">
      <c r="B16" s="147">
        <f t="shared" si="4"/>
        <v>40025</v>
      </c>
      <c r="C16" s="20">
        <f t="shared" si="0"/>
        <v>31</v>
      </c>
      <c r="D16" s="148">
        <f t="shared" si="5"/>
        <v>400</v>
      </c>
      <c r="E16" s="148">
        <f>E15+ROUNDUP(D16/'Control General'!$C$16,0)</f>
        <v>306</v>
      </c>
      <c r="F16" s="148">
        <f>SUMPRODUCT(($B16='Data Test'!$C$16:$C$75)*($D$6='Data Test'!$D$16:$D$75)*('Data Test'!E$16:E$75))</f>
        <v>287</v>
      </c>
      <c r="G16" s="148">
        <f>SUMPRODUCT(($B16='Data Test'!$C$16:$C$75)*($D$6='Data Test'!$D$16:$D$75)*('Data Test'!F$16:F$75))</f>
        <v>6</v>
      </c>
      <c r="H16" s="148">
        <f>SUMPRODUCT(($B16='Data Test'!$C$16:$C$75)*($D$6='Data Test'!$D$16:$D$75)*('Data Test'!G$16:G$75))</f>
        <v>252</v>
      </c>
      <c r="I16" s="148">
        <f>SUMPRODUCT(($B16='Data Test'!$C$16:$C$75)*($D$6='Data Test'!$D$16:$D$75)*('Data Test'!H$16:H$75))</f>
        <v>35</v>
      </c>
      <c r="J16" s="149">
        <f t="shared" si="1"/>
        <v>0.87804878048780488</v>
      </c>
      <c r="K16" s="149">
        <f t="shared" si="2"/>
        <v>0.71750000000000003</v>
      </c>
      <c r="L16" s="149">
        <f t="shared" si="3"/>
        <v>0.93790849673202614</v>
      </c>
    </row>
    <row r="17" spans="2:12" s="132" customFormat="1" x14ac:dyDescent="0.2">
      <c r="B17" s="147">
        <f>B16+7</f>
        <v>40032</v>
      </c>
      <c r="C17" s="20">
        <f t="shared" si="0"/>
        <v>32</v>
      </c>
      <c r="D17" s="148">
        <f t="shared" si="5"/>
        <v>400</v>
      </c>
      <c r="E17" s="148">
        <f>E16+ROUNDUP(D17/'Control General'!$C$16,0)</f>
        <v>340</v>
      </c>
      <c r="F17" s="148">
        <f>SUMPRODUCT(($B17='Data Test'!$C$16:$C$75)*($D$6='Data Test'!$D$16:$D$75)*('Data Test'!E$16:E$75))</f>
        <v>324</v>
      </c>
      <c r="G17" s="148">
        <f>SUMPRODUCT(($B17='Data Test'!$C$16:$C$75)*($D$6='Data Test'!$D$16:$D$75)*('Data Test'!F$16:F$75))</f>
        <v>10</v>
      </c>
      <c r="H17" s="148">
        <f>SUMPRODUCT(($B17='Data Test'!$C$16:$C$75)*($D$6='Data Test'!$D$16:$D$75)*('Data Test'!G$16:G$75))</f>
        <v>286</v>
      </c>
      <c r="I17" s="148">
        <f>SUMPRODUCT(($B17='Data Test'!$C$16:$C$75)*($D$6='Data Test'!$D$16:$D$75)*('Data Test'!H$16:H$75))</f>
        <v>38</v>
      </c>
      <c r="J17" s="149">
        <f t="shared" si="1"/>
        <v>0.88271604938271608</v>
      </c>
      <c r="K17" s="149">
        <f t="shared" si="2"/>
        <v>0.81</v>
      </c>
      <c r="L17" s="149">
        <f t="shared" si="3"/>
        <v>0.95294117647058818</v>
      </c>
    </row>
    <row r="18" spans="2:12" s="132" customFormat="1" x14ac:dyDescent="0.2">
      <c r="B18" s="147">
        <f t="shared" si="4"/>
        <v>40039</v>
      </c>
      <c r="C18" s="20">
        <f t="shared" si="0"/>
        <v>33</v>
      </c>
      <c r="D18" s="148">
        <f t="shared" si="5"/>
        <v>400</v>
      </c>
      <c r="E18" s="148">
        <f>E17+ROUNDUP(D18/'Control General'!$C$16,0)</f>
        <v>374</v>
      </c>
      <c r="F18" s="148">
        <f>SUMPRODUCT(($B18='Data Test'!$C$16:$C$75)*($D$6='Data Test'!$D$16:$D$75)*('Data Test'!E$16:E$75))</f>
        <v>363</v>
      </c>
      <c r="G18" s="148">
        <f>SUMPRODUCT(($B18='Data Test'!$C$16:$C$75)*($D$6='Data Test'!$D$16:$D$75)*('Data Test'!F$16:F$75))</f>
        <v>25</v>
      </c>
      <c r="H18" s="148">
        <f>SUMPRODUCT(($B18='Data Test'!$C$16:$C$75)*($D$6='Data Test'!$D$16:$D$75)*('Data Test'!G$16:G$75))</f>
        <v>323</v>
      </c>
      <c r="I18" s="148">
        <f>SUMPRODUCT(($B18='Data Test'!$C$16:$C$75)*($D$6='Data Test'!$D$16:$D$75)*('Data Test'!H$16:H$75))</f>
        <v>40</v>
      </c>
      <c r="J18" s="149">
        <f t="shared" si="1"/>
        <v>0.88980716253443526</v>
      </c>
      <c r="K18" s="149">
        <f t="shared" si="2"/>
        <v>0.90749999999999997</v>
      </c>
      <c r="L18" s="149">
        <f t="shared" si="3"/>
        <v>0.97058823529411764</v>
      </c>
    </row>
    <row r="19" spans="2:12" s="132" customFormat="1" x14ac:dyDescent="0.2">
      <c r="B19" s="150">
        <f t="shared" si="4"/>
        <v>40046</v>
      </c>
      <c r="C19" s="18">
        <f t="shared" si="0"/>
        <v>34</v>
      </c>
      <c r="D19" s="151">
        <f t="shared" si="5"/>
        <v>400</v>
      </c>
      <c r="E19" s="151">
        <f>D19</f>
        <v>400</v>
      </c>
      <c r="F19" s="151">
        <f>SUMPRODUCT(($B19='Data Test'!$C$16:$C$75)*($D$6='Data Test'!$D$16:$D$75)*('Data Test'!E$16:E$75))</f>
        <v>400</v>
      </c>
      <c r="G19" s="151">
        <f>SUMPRODUCT(($B19='Data Test'!$C$16:$C$75)*($D$6='Data Test'!$D$16:$D$75)*('Data Test'!F$16:F$75))</f>
        <v>0</v>
      </c>
      <c r="H19" s="151">
        <f>SUMPRODUCT(($B19='Data Test'!$C$16:$C$75)*($D$6='Data Test'!$D$16:$D$75)*('Data Test'!G$16:G$75))</f>
        <v>356</v>
      </c>
      <c r="I19" s="151">
        <f>SUMPRODUCT(($B19='Data Test'!$C$16:$C$75)*($D$6='Data Test'!$D$16:$D$75)*('Data Test'!H$16:H$75))</f>
        <v>44</v>
      </c>
      <c r="J19" s="152">
        <f t="shared" si="1"/>
        <v>0.89</v>
      </c>
      <c r="K19" s="152">
        <f t="shared" si="2"/>
        <v>1</v>
      </c>
      <c r="L19" s="152">
        <f t="shared" si="3"/>
        <v>1</v>
      </c>
    </row>
    <row r="20" spans="2:12" s="132" customFormat="1" x14ac:dyDescent="0.2"/>
    <row r="21" spans="2:12" s="132" customFormat="1" x14ac:dyDescent="0.2">
      <c r="D21" s="141" t="str">
        <f>'Data Test'!$B$6</f>
        <v>Software Module 2</v>
      </c>
      <c r="E21" s="143"/>
      <c r="F21" s="143"/>
      <c r="G21" s="143"/>
      <c r="H21" s="143"/>
      <c r="I21" s="143"/>
      <c r="J21" s="143"/>
      <c r="K21" s="143"/>
      <c r="L21" s="153"/>
    </row>
    <row r="22" spans="2:12" s="132" customFormat="1" ht="38.25" x14ac:dyDescent="0.2">
      <c r="B22" s="13" t="str">
        <f>B$7</f>
        <v>Day</v>
      </c>
      <c r="C22" s="13" t="str">
        <f>C$7</f>
        <v>Week</v>
      </c>
      <c r="D22" s="13" t="str">
        <f t="shared" ref="D22:L22" si="6">D$7</f>
        <v># TCs planned total</v>
      </c>
      <c r="E22" s="13" t="str">
        <f t="shared" si="6"/>
        <v># TCs planned actual</v>
      </c>
      <c r="F22" s="13" t="str">
        <f t="shared" si="6"/>
        <v>#TCs finished</v>
      </c>
      <c r="G22" s="13" t="str">
        <f t="shared" si="6"/>
        <v>#TCs not completed</v>
      </c>
      <c r="H22" s="13" t="str">
        <f t="shared" si="6"/>
        <v>#TCs passed</v>
      </c>
      <c r="I22" s="13" t="str">
        <f t="shared" si="6"/>
        <v>#TCs failed</v>
      </c>
      <c r="J22" s="13" t="str">
        <f t="shared" si="6"/>
        <v>Success rate</v>
      </c>
      <c r="K22" s="13" t="str">
        <f t="shared" si="6"/>
        <v>Completion rate</v>
      </c>
      <c r="L22" s="13" t="str">
        <f t="shared" si="6"/>
        <v>Actual in % of plan</v>
      </c>
    </row>
    <row r="23" spans="2:12" s="132" customFormat="1" x14ac:dyDescent="0.2">
      <c r="B23" s="144">
        <f t="shared" ref="B23:C34" si="7">B8</f>
        <v>39969</v>
      </c>
      <c r="C23" s="15">
        <f t="shared" si="7"/>
        <v>23</v>
      </c>
      <c r="D23" s="145">
        <f>VLOOKUP($D$21,'Data Test'!$B$5:$D$9,3,FALSE)</f>
        <v>300</v>
      </c>
      <c r="E23" s="145">
        <f>ROUNDUP(D23/'Control General'!$C$16,0)</f>
        <v>25</v>
      </c>
      <c r="F23" s="145">
        <f>SUMPRODUCT(($B23='Data Test'!$C$16:$C$75)*($D$21='Data Test'!$D$16:$D$75)*('Data Test'!E$16:E$75))</f>
        <v>21</v>
      </c>
      <c r="G23" s="145">
        <f>SUMPRODUCT(($B23='Data Test'!$C$16:$C$75)*($D$21='Data Test'!$D$16:$D$75)*('Data Test'!F$16:F$75))</f>
        <v>1</v>
      </c>
      <c r="H23" s="145">
        <f>SUMPRODUCT(($B23='Data Test'!$C$16:$C$75)*($D$21='Data Test'!$D$16:$D$75)*('Data Test'!G$16:G$75))</f>
        <v>19</v>
      </c>
      <c r="I23" s="145">
        <f>SUMPRODUCT(($B23='Data Test'!$C$16:$C$75)*($D$21='Data Test'!$D$16:$D$75)*('Data Test'!H$16:H$75))</f>
        <v>2</v>
      </c>
      <c r="J23" s="146">
        <f>IF(F23&gt;0,H23/F23,0)</f>
        <v>0.90476190476190477</v>
      </c>
      <c r="K23" s="146">
        <f>F23/D23</f>
        <v>7.0000000000000007E-2</v>
      </c>
      <c r="L23" s="146">
        <f>F23/E23</f>
        <v>0.84</v>
      </c>
    </row>
    <row r="24" spans="2:12" s="132" customFormat="1" x14ac:dyDescent="0.2">
      <c r="B24" s="147">
        <f t="shared" si="7"/>
        <v>39976</v>
      </c>
      <c r="C24" s="20">
        <f t="shared" si="7"/>
        <v>24</v>
      </c>
      <c r="D24" s="148">
        <f>D23</f>
        <v>300</v>
      </c>
      <c r="E24" s="148">
        <f>E23+ROUNDUP(D24/'Control General'!$C$16,0)</f>
        <v>50</v>
      </c>
      <c r="F24" s="148">
        <f>SUMPRODUCT(($B24='Data Test'!$C$16:$C$75)*($D$21='Data Test'!$D$16:$D$75)*('Data Test'!E$16:E$75))</f>
        <v>51</v>
      </c>
      <c r="G24" s="148">
        <f>SUMPRODUCT(($B24='Data Test'!$C$16:$C$75)*($D$21='Data Test'!$D$16:$D$75)*('Data Test'!F$16:F$75))</f>
        <v>2</v>
      </c>
      <c r="H24" s="148">
        <f>SUMPRODUCT(($B24='Data Test'!$C$16:$C$75)*($D$21='Data Test'!$D$16:$D$75)*('Data Test'!G$16:G$75))</f>
        <v>46</v>
      </c>
      <c r="I24" s="148">
        <f>SUMPRODUCT(($B24='Data Test'!$C$16:$C$75)*($D$21='Data Test'!$D$16:$D$75)*('Data Test'!H$16:H$75))</f>
        <v>5</v>
      </c>
      <c r="J24" s="149">
        <f t="shared" ref="J24:J34" si="8">IF(F24&gt;0,H24/F24,0)</f>
        <v>0.90196078431372551</v>
      </c>
      <c r="K24" s="149">
        <f t="shared" ref="K24:K34" si="9">F24/D24</f>
        <v>0.17</v>
      </c>
      <c r="L24" s="149">
        <f t="shared" ref="L24:L34" si="10">F24/E24</f>
        <v>1.02</v>
      </c>
    </row>
    <row r="25" spans="2:12" s="132" customFormat="1" x14ac:dyDescent="0.2">
      <c r="B25" s="147">
        <f t="shared" si="7"/>
        <v>39983</v>
      </c>
      <c r="C25" s="20">
        <f t="shared" si="7"/>
        <v>25</v>
      </c>
      <c r="D25" s="148">
        <f t="shared" ref="D25:D34" si="11">D24</f>
        <v>300</v>
      </c>
      <c r="E25" s="148">
        <f>E24+ROUNDUP(D25/'Control General'!$C$16,0)</f>
        <v>75</v>
      </c>
      <c r="F25" s="148">
        <f>SUMPRODUCT(($B25='Data Test'!$C$16:$C$75)*($D$21='Data Test'!$D$16:$D$75)*('Data Test'!E$16:E$75))</f>
        <v>71</v>
      </c>
      <c r="G25" s="148">
        <f>SUMPRODUCT(($B25='Data Test'!$C$16:$C$75)*($D$21='Data Test'!$D$16:$D$75)*('Data Test'!F$16:F$75))</f>
        <v>4</v>
      </c>
      <c r="H25" s="148">
        <f>SUMPRODUCT(($B25='Data Test'!$C$16:$C$75)*($D$21='Data Test'!$D$16:$D$75)*('Data Test'!G$16:G$75))</f>
        <v>62</v>
      </c>
      <c r="I25" s="148">
        <f>SUMPRODUCT(($B25='Data Test'!$C$16:$C$75)*($D$21='Data Test'!$D$16:$D$75)*('Data Test'!H$16:H$75))</f>
        <v>9</v>
      </c>
      <c r="J25" s="149">
        <f t="shared" si="8"/>
        <v>0.87323943661971826</v>
      </c>
      <c r="K25" s="149">
        <f t="shared" si="9"/>
        <v>0.23666666666666666</v>
      </c>
      <c r="L25" s="149">
        <f t="shared" si="10"/>
        <v>0.94666666666666666</v>
      </c>
    </row>
    <row r="26" spans="2:12" s="132" customFormat="1" x14ac:dyDescent="0.2">
      <c r="B26" s="147">
        <f t="shared" si="7"/>
        <v>39990</v>
      </c>
      <c r="C26" s="20">
        <f t="shared" si="7"/>
        <v>26</v>
      </c>
      <c r="D26" s="148">
        <f t="shared" si="11"/>
        <v>300</v>
      </c>
      <c r="E26" s="148">
        <f>E25+ROUNDUP(D26/'Control General'!$C$16,0)</f>
        <v>100</v>
      </c>
      <c r="F26" s="148">
        <f>SUMPRODUCT(($B26='Data Test'!$C$16:$C$75)*($D$21='Data Test'!$D$16:$D$75)*('Data Test'!E$16:E$75))</f>
        <v>92</v>
      </c>
      <c r="G26" s="148">
        <f>SUMPRODUCT(($B26='Data Test'!$C$16:$C$75)*($D$21='Data Test'!$D$16:$D$75)*('Data Test'!F$16:F$75))</f>
        <v>6</v>
      </c>
      <c r="H26" s="148">
        <f>SUMPRODUCT(($B26='Data Test'!$C$16:$C$75)*($D$21='Data Test'!$D$16:$D$75)*('Data Test'!G$16:G$75))</f>
        <v>80</v>
      </c>
      <c r="I26" s="148">
        <f>SUMPRODUCT(($B26='Data Test'!$C$16:$C$75)*($D$21='Data Test'!$D$16:$D$75)*('Data Test'!H$16:H$75))</f>
        <v>12</v>
      </c>
      <c r="J26" s="149">
        <f t="shared" si="8"/>
        <v>0.86956521739130432</v>
      </c>
      <c r="K26" s="149">
        <f t="shared" si="9"/>
        <v>0.30666666666666664</v>
      </c>
      <c r="L26" s="149">
        <f t="shared" si="10"/>
        <v>0.92</v>
      </c>
    </row>
    <row r="27" spans="2:12" s="132" customFormat="1" x14ac:dyDescent="0.2">
      <c r="B27" s="147">
        <f t="shared" si="7"/>
        <v>39997</v>
      </c>
      <c r="C27" s="20">
        <f t="shared" si="7"/>
        <v>27</v>
      </c>
      <c r="D27" s="148">
        <f t="shared" si="11"/>
        <v>300</v>
      </c>
      <c r="E27" s="148">
        <f>E26+ROUNDUP(D27/'Control General'!$C$16,0)</f>
        <v>125</v>
      </c>
      <c r="F27" s="148">
        <f>SUMPRODUCT(($B27='Data Test'!$C$16:$C$75)*($D$21='Data Test'!$D$16:$D$75)*('Data Test'!E$16:E$75))</f>
        <v>116</v>
      </c>
      <c r="G27" s="148">
        <f>SUMPRODUCT(($B27='Data Test'!$C$16:$C$75)*($D$21='Data Test'!$D$16:$D$75)*('Data Test'!F$16:F$75))</f>
        <v>0</v>
      </c>
      <c r="H27" s="148">
        <f>SUMPRODUCT(($B27='Data Test'!$C$16:$C$75)*($D$21='Data Test'!$D$16:$D$75)*('Data Test'!G$16:G$75))</f>
        <v>102</v>
      </c>
      <c r="I27" s="148">
        <f>SUMPRODUCT(($B27='Data Test'!$C$16:$C$75)*($D$21='Data Test'!$D$16:$D$75)*('Data Test'!H$16:H$75))</f>
        <v>14</v>
      </c>
      <c r="J27" s="149">
        <f t="shared" si="8"/>
        <v>0.87931034482758619</v>
      </c>
      <c r="K27" s="149">
        <f t="shared" si="9"/>
        <v>0.38666666666666666</v>
      </c>
      <c r="L27" s="149">
        <f t="shared" si="10"/>
        <v>0.92800000000000005</v>
      </c>
    </row>
    <row r="28" spans="2:12" s="132" customFormat="1" x14ac:dyDescent="0.2">
      <c r="B28" s="147">
        <f t="shared" si="7"/>
        <v>40004</v>
      </c>
      <c r="C28" s="20">
        <f t="shared" si="7"/>
        <v>28</v>
      </c>
      <c r="D28" s="148">
        <f t="shared" si="11"/>
        <v>300</v>
      </c>
      <c r="E28" s="148">
        <f>E27+ROUNDUP(D28/'Control General'!$C$16,0)</f>
        <v>150</v>
      </c>
      <c r="F28" s="148">
        <f>SUMPRODUCT(($B28='Data Test'!$C$16:$C$75)*($D$21='Data Test'!$D$16:$D$75)*('Data Test'!E$16:E$75))</f>
        <v>144</v>
      </c>
      <c r="G28" s="148">
        <f>SUMPRODUCT(($B28='Data Test'!$C$16:$C$75)*($D$21='Data Test'!$D$16:$D$75)*('Data Test'!F$16:F$75))</f>
        <v>9</v>
      </c>
      <c r="H28" s="148">
        <f>SUMPRODUCT(($B28='Data Test'!$C$16:$C$75)*($D$21='Data Test'!$D$16:$D$75)*('Data Test'!G$16:G$75))</f>
        <v>126</v>
      </c>
      <c r="I28" s="148">
        <f>SUMPRODUCT(($B28='Data Test'!$C$16:$C$75)*($D$21='Data Test'!$D$16:$D$75)*('Data Test'!H$16:H$75))</f>
        <v>18</v>
      </c>
      <c r="J28" s="149">
        <f t="shared" si="8"/>
        <v>0.875</v>
      </c>
      <c r="K28" s="149">
        <f t="shared" si="9"/>
        <v>0.48</v>
      </c>
      <c r="L28" s="149">
        <f t="shared" si="10"/>
        <v>0.96</v>
      </c>
    </row>
    <row r="29" spans="2:12" s="132" customFormat="1" x14ac:dyDescent="0.2">
      <c r="B29" s="147">
        <f t="shared" si="7"/>
        <v>40011</v>
      </c>
      <c r="C29" s="20">
        <f t="shared" si="7"/>
        <v>29</v>
      </c>
      <c r="D29" s="148">
        <f t="shared" si="11"/>
        <v>300</v>
      </c>
      <c r="E29" s="148">
        <f>E28+ROUNDUP(D29/'Control General'!$C$16,0)</f>
        <v>175</v>
      </c>
      <c r="F29" s="148">
        <f>SUMPRODUCT(($B29='Data Test'!$C$16:$C$75)*($D$21='Data Test'!$D$16:$D$75)*('Data Test'!E$16:E$75))</f>
        <v>172</v>
      </c>
      <c r="G29" s="148">
        <f>SUMPRODUCT(($B29='Data Test'!$C$16:$C$75)*($D$21='Data Test'!$D$16:$D$75)*('Data Test'!F$16:F$75))</f>
        <v>2</v>
      </c>
      <c r="H29" s="148">
        <f>SUMPRODUCT(($B29='Data Test'!$C$16:$C$75)*($D$21='Data Test'!$D$16:$D$75)*('Data Test'!G$16:G$75))</f>
        <v>151</v>
      </c>
      <c r="I29" s="148">
        <f>SUMPRODUCT(($B29='Data Test'!$C$16:$C$75)*($D$21='Data Test'!$D$16:$D$75)*('Data Test'!H$16:H$75))</f>
        <v>21</v>
      </c>
      <c r="J29" s="149">
        <f t="shared" si="8"/>
        <v>0.87790697674418605</v>
      </c>
      <c r="K29" s="149">
        <f t="shared" si="9"/>
        <v>0.57333333333333336</v>
      </c>
      <c r="L29" s="149">
        <f t="shared" si="10"/>
        <v>0.98285714285714287</v>
      </c>
    </row>
    <row r="30" spans="2:12" s="132" customFormat="1" x14ac:dyDescent="0.2">
      <c r="B30" s="147">
        <f t="shared" si="7"/>
        <v>40018</v>
      </c>
      <c r="C30" s="20">
        <f t="shared" si="7"/>
        <v>30</v>
      </c>
      <c r="D30" s="148">
        <f t="shared" si="11"/>
        <v>300</v>
      </c>
      <c r="E30" s="148">
        <f>E29+ROUNDUP(D30/'Control General'!$C$16,0)</f>
        <v>200</v>
      </c>
      <c r="F30" s="148">
        <f>SUMPRODUCT(($B30='Data Test'!$C$16:$C$75)*($D$21='Data Test'!$D$16:$D$75)*('Data Test'!E$16:E$75))</f>
        <v>195</v>
      </c>
      <c r="G30" s="148">
        <f>SUMPRODUCT(($B30='Data Test'!$C$16:$C$75)*($D$21='Data Test'!$D$16:$D$75)*('Data Test'!F$16:F$75))</f>
        <v>0</v>
      </c>
      <c r="H30" s="148">
        <f>SUMPRODUCT(($B30='Data Test'!$C$16:$C$75)*($D$21='Data Test'!$D$16:$D$75)*('Data Test'!G$16:G$75))</f>
        <v>172</v>
      </c>
      <c r="I30" s="148">
        <f>SUMPRODUCT(($B30='Data Test'!$C$16:$C$75)*($D$21='Data Test'!$D$16:$D$75)*('Data Test'!H$16:H$75))</f>
        <v>23</v>
      </c>
      <c r="J30" s="149">
        <f t="shared" si="8"/>
        <v>0.88205128205128203</v>
      </c>
      <c r="K30" s="149">
        <f t="shared" si="9"/>
        <v>0.65</v>
      </c>
      <c r="L30" s="149">
        <f t="shared" si="10"/>
        <v>0.97499999999999998</v>
      </c>
    </row>
    <row r="31" spans="2:12" s="132" customFormat="1" x14ac:dyDescent="0.2">
      <c r="B31" s="147">
        <f t="shared" si="7"/>
        <v>40025</v>
      </c>
      <c r="C31" s="20">
        <f t="shared" si="7"/>
        <v>31</v>
      </c>
      <c r="D31" s="148">
        <f t="shared" si="11"/>
        <v>300</v>
      </c>
      <c r="E31" s="148">
        <f>E30+ROUNDUP(D31/'Control General'!$C$16,0)</f>
        <v>225</v>
      </c>
      <c r="F31" s="148">
        <f>SUMPRODUCT(($B31='Data Test'!$C$16:$C$75)*($D$21='Data Test'!$D$16:$D$75)*('Data Test'!E$16:E$75))</f>
        <v>216</v>
      </c>
      <c r="G31" s="148">
        <f>SUMPRODUCT(($B31='Data Test'!$C$16:$C$75)*($D$21='Data Test'!$D$16:$D$75)*('Data Test'!F$16:F$75))</f>
        <v>13</v>
      </c>
      <c r="H31" s="148">
        <f>SUMPRODUCT(($B31='Data Test'!$C$16:$C$75)*($D$21='Data Test'!$D$16:$D$75)*('Data Test'!G$16:G$75))</f>
        <v>190</v>
      </c>
      <c r="I31" s="148">
        <f>SUMPRODUCT(($B31='Data Test'!$C$16:$C$75)*($D$21='Data Test'!$D$16:$D$75)*('Data Test'!H$16:H$75))</f>
        <v>26</v>
      </c>
      <c r="J31" s="149">
        <f t="shared" si="8"/>
        <v>0.87962962962962965</v>
      </c>
      <c r="K31" s="149">
        <f t="shared" si="9"/>
        <v>0.72</v>
      </c>
      <c r="L31" s="149">
        <f t="shared" si="10"/>
        <v>0.96</v>
      </c>
    </row>
    <row r="32" spans="2:12" s="132" customFormat="1" x14ac:dyDescent="0.2">
      <c r="B32" s="147">
        <f t="shared" si="7"/>
        <v>40032</v>
      </c>
      <c r="C32" s="20">
        <f t="shared" si="7"/>
        <v>32</v>
      </c>
      <c r="D32" s="148">
        <f t="shared" si="11"/>
        <v>300</v>
      </c>
      <c r="E32" s="148">
        <f>E31+ROUNDUP(D32/'Control General'!$C$16,0)</f>
        <v>250</v>
      </c>
      <c r="F32" s="148">
        <f>SUMPRODUCT(($B32='Data Test'!$C$16:$C$75)*($D$21='Data Test'!$D$16:$D$75)*('Data Test'!E$16:E$75))</f>
        <v>239</v>
      </c>
      <c r="G32" s="148">
        <f>SUMPRODUCT(($B32='Data Test'!$C$16:$C$75)*($D$21='Data Test'!$D$16:$D$75)*('Data Test'!F$16:F$75))</f>
        <v>24</v>
      </c>
      <c r="H32" s="148">
        <f>SUMPRODUCT(($B32='Data Test'!$C$16:$C$75)*($D$21='Data Test'!$D$16:$D$75)*('Data Test'!G$16:G$75))</f>
        <v>210</v>
      </c>
      <c r="I32" s="148">
        <f>SUMPRODUCT(($B32='Data Test'!$C$16:$C$75)*($D$21='Data Test'!$D$16:$D$75)*('Data Test'!H$16:H$75))</f>
        <v>29</v>
      </c>
      <c r="J32" s="149">
        <f t="shared" si="8"/>
        <v>0.87866108786610875</v>
      </c>
      <c r="K32" s="149">
        <f t="shared" si="9"/>
        <v>0.79666666666666663</v>
      </c>
      <c r="L32" s="149">
        <f t="shared" si="10"/>
        <v>0.95599999999999996</v>
      </c>
    </row>
    <row r="33" spans="2:12" s="132" customFormat="1" x14ac:dyDescent="0.2">
      <c r="B33" s="147">
        <f t="shared" si="7"/>
        <v>40039</v>
      </c>
      <c r="C33" s="20">
        <f t="shared" si="7"/>
        <v>33</v>
      </c>
      <c r="D33" s="148">
        <f t="shared" si="11"/>
        <v>300</v>
      </c>
      <c r="E33" s="148">
        <f>E32+ROUNDUP(D33/'Control General'!$C$16,0)</f>
        <v>275</v>
      </c>
      <c r="F33" s="148">
        <f>SUMPRODUCT(($B33='Data Test'!$C$16:$C$75)*($D$21='Data Test'!$D$16:$D$75)*('Data Test'!E$16:E$75))</f>
        <v>268</v>
      </c>
      <c r="G33" s="148">
        <f>SUMPRODUCT(($B33='Data Test'!$C$16:$C$75)*($D$21='Data Test'!$D$16:$D$75)*('Data Test'!F$16:F$75))</f>
        <v>11</v>
      </c>
      <c r="H33" s="148">
        <f>SUMPRODUCT(($B33='Data Test'!$C$16:$C$75)*($D$21='Data Test'!$D$16:$D$75)*('Data Test'!G$16:G$75))</f>
        <v>238</v>
      </c>
      <c r="I33" s="148">
        <f>SUMPRODUCT(($B33='Data Test'!$C$16:$C$75)*($D$21='Data Test'!$D$16:$D$75)*('Data Test'!H$16:H$75))</f>
        <v>30</v>
      </c>
      <c r="J33" s="149">
        <f t="shared" si="8"/>
        <v>0.88805970149253732</v>
      </c>
      <c r="K33" s="149">
        <f t="shared" si="9"/>
        <v>0.89333333333333331</v>
      </c>
      <c r="L33" s="149">
        <f t="shared" si="10"/>
        <v>0.97454545454545449</v>
      </c>
    </row>
    <row r="34" spans="2:12" s="132" customFormat="1" x14ac:dyDescent="0.2">
      <c r="B34" s="150">
        <f t="shared" si="7"/>
        <v>40046</v>
      </c>
      <c r="C34" s="18">
        <f t="shared" si="7"/>
        <v>34</v>
      </c>
      <c r="D34" s="151">
        <f t="shared" si="11"/>
        <v>300</v>
      </c>
      <c r="E34" s="151">
        <f>D34</f>
        <v>300</v>
      </c>
      <c r="F34" s="151">
        <f>SUMPRODUCT(($B34='Data Test'!$C$16:$C$75)*($D$21='Data Test'!$D$16:$D$75)*('Data Test'!E$16:E$75))</f>
        <v>294</v>
      </c>
      <c r="G34" s="151">
        <f>SUMPRODUCT(($B34='Data Test'!$C$16:$C$75)*($D$21='Data Test'!$D$16:$D$75)*('Data Test'!F$16:F$75))</f>
        <v>0</v>
      </c>
      <c r="H34" s="151">
        <f>SUMPRODUCT(($B34='Data Test'!$C$16:$C$75)*($D$21='Data Test'!$D$16:$D$75)*('Data Test'!G$16:G$75))</f>
        <v>263</v>
      </c>
      <c r="I34" s="151">
        <f>SUMPRODUCT(($B34='Data Test'!$C$16:$C$75)*($D$21='Data Test'!$D$16:$D$75)*('Data Test'!H$16:H$75))</f>
        <v>31</v>
      </c>
      <c r="J34" s="152">
        <f t="shared" si="8"/>
        <v>0.89455782312925169</v>
      </c>
      <c r="K34" s="152">
        <f t="shared" si="9"/>
        <v>0.98</v>
      </c>
      <c r="L34" s="152">
        <f t="shared" si="10"/>
        <v>0.98</v>
      </c>
    </row>
    <row r="35" spans="2:12" s="132" customFormat="1" x14ac:dyDescent="0.2"/>
    <row r="36" spans="2:12" s="132" customFormat="1" x14ac:dyDescent="0.2">
      <c r="D36" s="141" t="str">
        <f>'Data Test'!$B$7</f>
        <v>Software Module 3</v>
      </c>
      <c r="E36" s="143"/>
      <c r="F36" s="143"/>
      <c r="G36" s="143"/>
      <c r="H36" s="143"/>
      <c r="I36" s="143"/>
      <c r="J36" s="143"/>
      <c r="K36" s="143"/>
      <c r="L36" s="153"/>
    </row>
    <row r="37" spans="2:12" s="132" customFormat="1" ht="38.25" x14ac:dyDescent="0.2">
      <c r="B37" s="13" t="str">
        <f>B$7</f>
        <v>Day</v>
      </c>
      <c r="C37" s="13" t="str">
        <f>C$7</f>
        <v>Week</v>
      </c>
      <c r="D37" s="13" t="str">
        <f t="shared" ref="D37:L37" si="12">D$7</f>
        <v># TCs planned total</v>
      </c>
      <c r="E37" s="13" t="str">
        <f t="shared" si="12"/>
        <v># TCs planned actual</v>
      </c>
      <c r="F37" s="13" t="str">
        <f t="shared" si="12"/>
        <v>#TCs finished</v>
      </c>
      <c r="G37" s="13" t="str">
        <f t="shared" si="12"/>
        <v>#TCs not completed</v>
      </c>
      <c r="H37" s="13" t="str">
        <f t="shared" si="12"/>
        <v>#TCs passed</v>
      </c>
      <c r="I37" s="13" t="str">
        <f t="shared" si="12"/>
        <v>#TCs failed</v>
      </c>
      <c r="J37" s="13" t="str">
        <f t="shared" si="12"/>
        <v>Success rate</v>
      </c>
      <c r="K37" s="13" t="str">
        <f t="shared" si="12"/>
        <v>Completion rate</v>
      </c>
      <c r="L37" s="13" t="str">
        <f t="shared" si="12"/>
        <v>Actual in % of plan</v>
      </c>
    </row>
    <row r="38" spans="2:12" s="132" customFormat="1" x14ac:dyDescent="0.2">
      <c r="B38" s="144">
        <f t="shared" ref="B38:C49" si="13">B23</f>
        <v>39969</v>
      </c>
      <c r="C38" s="15">
        <f t="shared" si="13"/>
        <v>23</v>
      </c>
      <c r="D38" s="145">
        <f>VLOOKUP($D$36,'Data Test'!$B$5:$D$9,3,FALSE)</f>
        <v>600</v>
      </c>
      <c r="E38" s="145">
        <f>ROUNDUP(D38/'Control General'!$C$16,0)</f>
        <v>50</v>
      </c>
      <c r="F38" s="145">
        <f>SUMPRODUCT(($B38='Data Test'!$C$16:$C$75)*($D$36='Data Test'!$D$16:$D$75)*('Data Test'!E$16:E$75))</f>
        <v>49</v>
      </c>
      <c r="G38" s="145">
        <f>SUMPRODUCT(($B38='Data Test'!$C$16:$C$75)*($D$36='Data Test'!$D$16:$D$75)*('Data Test'!F$16:F$75))</f>
        <v>1</v>
      </c>
      <c r="H38" s="145">
        <f>SUMPRODUCT(($B38='Data Test'!$C$16:$C$75)*($D$36='Data Test'!$D$16:$D$75)*('Data Test'!G$16:G$75))</f>
        <v>46</v>
      </c>
      <c r="I38" s="145">
        <f>SUMPRODUCT(($B38='Data Test'!$C$16:$C$75)*($D$36='Data Test'!$D$16:$D$75)*('Data Test'!H$16:H$75))</f>
        <v>3</v>
      </c>
      <c r="J38" s="146">
        <f>IF(F38&gt;0,H38/F38,0)</f>
        <v>0.93877551020408168</v>
      </c>
      <c r="K38" s="146">
        <f>F38/D38</f>
        <v>8.1666666666666665E-2</v>
      </c>
      <c r="L38" s="146">
        <f>F38/E38</f>
        <v>0.98</v>
      </c>
    </row>
    <row r="39" spans="2:12" s="132" customFormat="1" x14ac:dyDescent="0.2">
      <c r="B39" s="147">
        <f t="shared" si="13"/>
        <v>39976</v>
      </c>
      <c r="C39" s="20">
        <f t="shared" si="13"/>
        <v>24</v>
      </c>
      <c r="D39" s="148">
        <f>D38</f>
        <v>600</v>
      </c>
      <c r="E39" s="148">
        <f>E38+ROUNDUP(D39/'Control General'!$C$16,0)</f>
        <v>100</v>
      </c>
      <c r="F39" s="148">
        <f>SUMPRODUCT(($B39='Data Test'!$C$16:$C$75)*($D$36='Data Test'!$D$16:$D$75)*('Data Test'!E$16:E$75))</f>
        <v>97</v>
      </c>
      <c r="G39" s="148">
        <f>SUMPRODUCT(($B39='Data Test'!$C$16:$C$75)*($D$36='Data Test'!$D$16:$D$75)*('Data Test'!F$16:F$75))</f>
        <v>9</v>
      </c>
      <c r="H39" s="148">
        <f>SUMPRODUCT(($B39='Data Test'!$C$16:$C$75)*($D$36='Data Test'!$D$16:$D$75)*('Data Test'!G$16:G$75))</f>
        <v>92</v>
      </c>
      <c r="I39" s="148">
        <f>SUMPRODUCT(($B39='Data Test'!$C$16:$C$75)*($D$36='Data Test'!$D$16:$D$75)*('Data Test'!H$16:H$75))</f>
        <v>5</v>
      </c>
      <c r="J39" s="149">
        <f t="shared" ref="J39:J49" si="14">IF(F39&gt;0,H39/F39,0)</f>
        <v>0.94845360824742264</v>
      </c>
      <c r="K39" s="149">
        <f t="shared" ref="K39:K49" si="15">F39/D39</f>
        <v>0.16166666666666665</v>
      </c>
      <c r="L39" s="149">
        <f t="shared" ref="L39:L49" si="16">F39/E39</f>
        <v>0.97</v>
      </c>
    </row>
    <row r="40" spans="2:12" s="132" customFormat="1" x14ac:dyDescent="0.2">
      <c r="B40" s="147">
        <f t="shared" si="13"/>
        <v>39983</v>
      </c>
      <c r="C40" s="20">
        <f t="shared" si="13"/>
        <v>25</v>
      </c>
      <c r="D40" s="148">
        <f t="shared" ref="D40:D49" si="17">D39</f>
        <v>600</v>
      </c>
      <c r="E40" s="148">
        <f>E39+ROUNDUP(D40/'Control General'!$C$16,0)</f>
        <v>150</v>
      </c>
      <c r="F40" s="148">
        <f>SUMPRODUCT(($B40='Data Test'!$C$16:$C$75)*($D$36='Data Test'!$D$16:$D$75)*('Data Test'!E$16:E$75))</f>
        <v>143</v>
      </c>
      <c r="G40" s="148">
        <f>SUMPRODUCT(($B40='Data Test'!$C$16:$C$75)*($D$36='Data Test'!$D$16:$D$75)*('Data Test'!F$16:F$75))</f>
        <v>13</v>
      </c>
      <c r="H40" s="148">
        <f>SUMPRODUCT(($B40='Data Test'!$C$16:$C$75)*($D$36='Data Test'!$D$16:$D$75)*('Data Test'!G$16:G$75))</f>
        <v>129</v>
      </c>
      <c r="I40" s="148">
        <f>SUMPRODUCT(($B40='Data Test'!$C$16:$C$75)*($D$36='Data Test'!$D$16:$D$75)*('Data Test'!H$16:H$75))</f>
        <v>14</v>
      </c>
      <c r="J40" s="149">
        <f t="shared" si="14"/>
        <v>0.90209790209790208</v>
      </c>
      <c r="K40" s="149">
        <f t="shared" si="15"/>
        <v>0.23833333333333334</v>
      </c>
      <c r="L40" s="149">
        <f t="shared" si="16"/>
        <v>0.95333333333333337</v>
      </c>
    </row>
    <row r="41" spans="2:12" s="132" customFormat="1" x14ac:dyDescent="0.2">
      <c r="B41" s="147">
        <f t="shared" si="13"/>
        <v>39990</v>
      </c>
      <c r="C41" s="20">
        <f t="shared" si="13"/>
        <v>26</v>
      </c>
      <c r="D41" s="148">
        <f t="shared" si="17"/>
        <v>600</v>
      </c>
      <c r="E41" s="148">
        <f>E40+ROUNDUP(D41/'Control General'!$C$16,0)</f>
        <v>200</v>
      </c>
      <c r="F41" s="148">
        <f>SUMPRODUCT(($B41='Data Test'!$C$16:$C$75)*($D$36='Data Test'!$D$16:$D$75)*('Data Test'!E$16:E$75))</f>
        <v>189</v>
      </c>
      <c r="G41" s="148">
        <f>SUMPRODUCT(($B41='Data Test'!$C$16:$C$75)*($D$36='Data Test'!$D$16:$D$75)*('Data Test'!F$16:F$75))</f>
        <v>0</v>
      </c>
      <c r="H41" s="148">
        <f>SUMPRODUCT(($B41='Data Test'!$C$16:$C$75)*($D$36='Data Test'!$D$16:$D$75)*('Data Test'!G$16:G$75))</f>
        <v>173</v>
      </c>
      <c r="I41" s="148">
        <f>SUMPRODUCT(($B41='Data Test'!$C$16:$C$75)*($D$36='Data Test'!$D$16:$D$75)*('Data Test'!H$16:H$75))</f>
        <v>16</v>
      </c>
      <c r="J41" s="149">
        <f t="shared" si="14"/>
        <v>0.91534391534391535</v>
      </c>
      <c r="K41" s="149">
        <f t="shared" si="15"/>
        <v>0.315</v>
      </c>
      <c r="L41" s="149">
        <f t="shared" si="16"/>
        <v>0.94499999999999995</v>
      </c>
    </row>
    <row r="42" spans="2:12" s="132" customFormat="1" x14ac:dyDescent="0.2">
      <c r="B42" s="147">
        <f t="shared" si="13"/>
        <v>39997</v>
      </c>
      <c r="C42" s="20">
        <f t="shared" si="13"/>
        <v>27</v>
      </c>
      <c r="D42" s="148">
        <f t="shared" si="17"/>
        <v>600</v>
      </c>
      <c r="E42" s="148">
        <f>E41+ROUNDUP(D42/'Control General'!$C$16,0)</f>
        <v>250</v>
      </c>
      <c r="F42" s="148">
        <f>SUMPRODUCT(($B42='Data Test'!$C$16:$C$75)*($D$36='Data Test'!$D$16:$D$75)*('Data Test'!E$16:E$75))</f>
        <v>229</v>
      </c>
      <c r="G42" s="148">
        <f>SUMPRODUCT(($B42='Data Test'!$C$16:$C$75)*($D$36='Data Test'!$D$16:$D$75)*('Data Test'!F$16:F$75))</f>
        <v>0</v>
      </c>
      <c r="H42" s="148">
        <f>SUMPRODUCT(($B42='Data Test'!$C$16:$C$75)*($D$36='Data Test'!$D$16:$D$75)*('Data Test'!G$16:G$75))</f>
        <v>212</v>
      </c>
      <c r="I42" s="148">
        <f>SUMPRODUCT(($B42='Data Test'!$C$16:$C$75)*($D$36='Data Test'!$D$16:$D$75)*('Data Test'!H$16:H$75))</f>
        <v>17</v>
      </c>
      <c r="J42" s="149">
        <f t="shared" si="14"/>
        <v>0.92576419213973804</v>
      </c>
      <c r="K42" s="149">
        <f t="shared" si="15"/>
        <v>0.38166666666666665</v>
      </c>
      <c r="L42" s="149">
        <f t="shared" si="16"/>
        <v>0.91600000000000004</v>
      </c>
    </row>
    <row r="43" spans="2:12" s="132" customFormat="1" x14ac:dyDescent="0.2">
      <c r="B43" s="147">
        <f t="shared" si="13"/>
        <v>40004</v>
      </c>
      <c r="C43" s="20">
        <f t="shared" si="13"/>
        <v>28</v>
      </c>
      <c r="D43" s="148">
        <f t="shared" si="17"/>
        <v>600</v>
      </c>
      <c r="E43" s="148">
        <f>E42+ROUNDUP(D43/'Control General'!$C$16,0)</f>
        <v>300</v>
      </c>
      <c r="F43" s="148">
        <f>SUMPRODUCT(($B43='Data Test'!$C$16:$C$75)*($D$36='Data Test'!$D$16:$D$75)*('Data Test'!E$16:E$75))</f>
        <v>276</v>
      </c>
      <c r="G43" s="148">
        <f>SUMPRODUCT(($B43='Data Test'!$C$16:$C$75)*($D$36='Data Test'!$D$16:$D$75)*('Data Test'!F$16:F$75))</f>
        <v>22</v>
      </c>
      <c r="H43" s="148">
        <f>SUMPRODUCT(($B43='Data Test'!$C$16:$C$75)*($D$36='Data Test'!$D$16:$D$75)*('Data Test'!G$16:G$75))</f>
        <v>254</v>
      </c>
      <c r="I43" s="148">
        <f>SUMPRODUCT(($B43='Data Test'!$C$16:$C$75)*($D$36='Data Test'!$D$16:$D$75)*('Data Test'!H$16:H$75))</f>
        <v>22</v>
      </c>
      <c r="J43" s="149">
        <f t="shared" si="14"/>
        <v>0.92028985507246375</v>
      </c>
      <c r="K43" s="149">
        <f t="shared" si="15"/>
        <v>0.46</v>
      </c>
      <c r="L43" s="149">
        <f t="shared" si="16"/>
        <v>0.92</v>
      </c>
    </row>
    <row r="44" spans="2:12" s="132" customFormat="1" x14ac:dyDescent="0.2">
      <c r="B44" s="147">
        <f t="shared" si="13"/>
        <v>40011</v>
      </c>
      <c r="C44" s="20">
        <f t="shared" si="13"/>
        <v>29</v>
      </c>
      <c r="D44" s="148">
        <f t="shared" si="17"/>
        <v>600</v>
      </c>
      <c r="E44" s="148">
        <f>E43+ROUNDUP(D44/'Control General'!$C$16,0)</f>
        <v>350</v>
      </c>
      <c r="F44" s="148">
        <f>SUMPRODUCT(($B44='Data Test'!$C$16:$C$75)*($D$36='Data Test'!$D$16:$D$75)*('Data Test'!E$16:E$75))</f>
        <v>321</v>
      </c>
      <c r="G44" s="148">
        <f>SUMPRODUCT(($B44='Data Test'!$C$16:$C$75)*($D$36='Data Test'!$D$16:$D$75)*('Data Test'!F$16:F$75))</f>
        <v>13</v>
      </c>
      <c r="H44" s="148">
        <f>SUMPRODUCT(($B44='Data Test'!$C$16:$C$75)*($D$36='Data Test'!$D$16:$D$75)*('Data Test'!G$16:G$75))</f>
        <v>296</v>
      </c>
      <c r="I44" s="148">
        <f>SUMPRODUCT(($B44='Data Test'!$C$16:$C$75)*($D$36='Data Test'!$D$16:$D$75)*('Data Test'!H$16:H$75))</f>
        <v>25</v>
      </c>
      <c r="J44" s="149">
        <f t="shared" si="14"/>
        <v>0.92211838006230529</v>
      </c>
      <c r="K44" s="149">
        <f t="shared" si="15"/>
        <v>0.53500000000000003</v>
      </c>
      <c r="L44" s="149">
        <f t="shared" si="16"/>
        <v>0.91714285714285715</v>
      </c>
    </row>
    <row r="45" spans="2:12" s="132" customFormat="1" x14ac:dyDescent="0.2">
      <c r="B45" s="147">
        <f t="shared" si="13"/>
        <v>40018</v>
      </c>
      <c r="C45" s="20">
        <f t="shared" si="13"/>
        <v>30</v>
      </c>
      <c r="D45" s="148">
        <f t="shared" si="17"/>
        <v>600</v>
      </c>
      <c r="E45" s="148">
        <f>E44+ROUNDUP(D45/'Control General'!$C$16,0)</f>
        <v>400</v>
      </c>
      <c r="F45" s="148">
        <f>SUMPRODUCT(($B45='Data Test'!$C$16:$C$75)*($D$36='Data Test'!$D$16:$D$75)*('Data Test'!E$16:E$75))</f>
        <v>378</v>
      </c>
      <c r="G45" s="148">
        <f>SUMPRODUCT(($B45='Data Test'!$C$16:$C$75)*($D$36='Data Test'!$D$16:$D$75)*('Data Test'!F$16:F$75))</f>
        <v>30</v>
      </c>
      <c r="H45" s="148">
        <f>SUMPRODUCT(($B45='Data Test'!$C$16:$C$75)*($D$36='Data Test'!$D$16:$D$75)*('Data Test'!G$16:G$75))</f>
        <v>347</v>
      </c>
      <c r="I45" s="148">
        <f>SUMPRODUCT(($B45='Data Test'!$C$16:$C$75)*($D$36='Data Test'!$D$16:$D$75)*('Data Test'!H$16:H$75))</f>
        <v>31</v>
      </c>
      <c r="J45" s="149">
        <f t="shared" si="14"/>
        <v>0.91798941798941802</v>
      </c>
      <c r="K45" s="149">
        <f t="shared" si="15"/>
        <v>0.63</v>
      </c>
      <c r="L45" s="149">
        <f t="shared" si="16"/>
        <v>0.94499999999999995</v>
      </c>
    </row>
    <row r="46" spans="2:12" s="132" customFormat="1" x14ac:dyDescent="0.2">
      <c r="B46" s="147">
        <f t="shared" si="13"/>
        <v>40025</v>
      </c>
      <c r="C46" s="20">
        <f t="shared" si="13"/>
        <v>31</v>
      </c>
      <c r="D46" s="148">
        <f t="shared" si="17"/>
        <v>600</v>
      </c>
      <c r="E46" s="148">
        <f>E45+ROUNDUP(D46/'Control General'!$C$16,0)</f>
        <v>450</v>
      </c>
      <c r="F46" s="148">
        <f>SUMPRODUCT(($B46='Data Test'!$C$16:$C$75)*($D$36='Data Test'!$D$16:$D$75)*('Data Test'!E$16:E$75))</f>
        <v>427</v>
      </c>
      <c r="G46" s="148">
        <f>SUMPRODUCT(($B46='Data Test'!$C$16:$C$75)*($D$36='Data Test'!$D$16:$D$75)*('Data Test'!F$16:F$75))</f>
        <v>38</v>
      </c>
      <c r="H46" s="148">
        <f>SUMPRODUCT(($B46='Data Test'!$C$16:$C$75)*($D$36='Data Test'!$D$16:$D$75)*('Data Test'!G$16:G$75))</f>
        <v>394</v>
      </c>
      <c r="I46" s="148">
        <f>SUMPRODUCT(($B46='Data Test'!$C$16:$C$75)*($D$36='Data Test'!$D$16:$D$75)*('Data Test'!H$16:H$75))</f>
        <v>33</v>
      </c>
      <c r="J46" s="149">
        <f t="shared" si="14"/>
        <v>0.92271662763466045</v>
      </c>
      <c r="K46" s="149">
        <f t="shared" si="15"/>
        <v>0.71166666666666667</v>
      </c>
      <c r="L46" s="149">
        <f t="shared" si="16"/>
        <v>0.94888888888888889</v>
      </c>
    </row>
    <row r="47" spans="2:12" s="132" customFormat="1" x14ac:dyDescent="0.2">
      <c r="B47" s="147">
        <f t="shared" si="13"/>
        <v>40032</v>
      </c>
      <c r="C47" s="20">
        <f t="shared" si="13"/>
        <v>32</v>
      </c>
      <c r="D47" s="148">
        <f t="shared" si="17"/>
        <v>600</v>
      </c>
      <c r="E47" s="148">
        <f>E46+ROUNDUP(D47/'Control General'!$C$16,0)</f>
        <v>500</v>
      </c>
      <c r="F47" s="148">
        <f>SUMPRODUCT(($B47='Data Test'!$C$16:$C$75)*($D$36='Data Test'!$D$16:$D$75)*('Data Test'!E$16:E$75))</f>
        <v>469</v>
      </c>
      <c r="G47" s="148">
        <f>SUMPRODUCT(($B47='Data Test'!$C$16:$C$75)*($D$36='Data Test'!$D$16:$D$75)*('Data Test'!F$16:F$75))</f>
        <v>23</v>
      </c>
      <c r="H47" s="148">
        <f>SUMPRODUCT(($B47='Data Test'!$C$16:$C$75)*($D$36='Data Test'!$D$16:$D$75)*('Data Test'!G$16:G$75))</f>
        <v>434</v>
      </c>
      <c r="I47" s="148">
        <f>SUMPRODUCT(($B47='Data Test'!$C$16:$C$75)*($D$36='Data Test'!$D$16:$D$75)*('Data Test'!H$16:H$75))</f>
        <v>35</v>
      </c>
      <c r="J47" s="149">
        <f t="shared" si="14"/>
        <v>0.92537313432835822</v>
      </c>
      <c r="K47" s="149">
        <f t="shared" si="15"/>
        <v>0.78166666666666662</v>
      </c>
      <c r="L47" s="149">
        <f t="shared" si="16"/>
        <v>0.93799999999999994</v>
      </c>
    </row>
    <row r="48" spans="2:12" s="132" customFormat="1" x14ac:dyDescent="0.2">
      <c r="B48" s="147">
        <f t="shared" si="13"/>
        <v>40039</v>
      </c>
      <c r="C48" s="20">
        <f t="shared" si="13"/>
        <v>33</v>
      </c>
      <c r="D48" s="148">
        <f t="shared" si="17"/>
        <v>600</v>
      </c>
      <c r="E48" s="148">
        <f>E47+ROUNDUP(D48/'Control General'!$C$16,0)</f>
        <v>550</v>
      </c>
      <c r="F48" s="148">
        <f>SUMPRODUCT(($B48='Data Test'!$C$16:$C$75)*($D$36='Data Test'!$D$16:$D$75)*('Data Test'!E$16:E$75))</f>
        <v>517</v>
      </c>
      <c r="G48" s="148">
        <f>SUMPRODUCT(($B48='Data Test'!$C$16:$C$75)*($D$36='Data Test'!$D$16:$D$75)*('Data Test'!F$16:F$75))</f>
        <v>31</v>
      </c>
      <c r="H48" s="148">
        <f>SUMPRODUCT(($B48='Data Test'!$C$16:$C$75)*($D$36='Data Test'!$D$16:$D$75)*('Data Test'!G$16:G$75))</f>
        <v>478</v>
      </c>
      <c r="I48" s="148">
        <f>SUMPRODUCT(($B48='Data Test'!$C$16:$C$75)*($D$36='Data Test'!$D$16:$D$75)*('Data Test'!H$16:H$75))</f>
        <v>39</v>
      </c>
      <c r="J48" s="149">
        <f t="shared" si="14"/>
        <v>0.92456479690522242</v>
      </c>
      <c r="K48" s="149">
        <f t="shared" si="15"/>
        <v>0.86166666666666669</v>
      </c>
      <c r="L48" s="149">
        <f t="shared" si="16"/>
        <v>0.94</v>
      </c>
    </row>
    <row r="49" spans="2:12" s="132" customFormat="1" x14ac:dyDescent="0.2">
      <c r="B49" s="150">
        <f t="shared" si="13"/>
        <v>40046</v>
      </c>
      <c r="C49" s="18">
        <f t="shared" si="13"/>
        <v>34</v>
      </c>
      <c r="D49" s="151">
        <f t="shared" si="17"/>
        <v>600</v>
      </c>
      <c r="E49" s="151">
        <f>D49</f>
        <v>600</v>
      </c>
      <c r="F49" s="151">
        <f>SUMPRODUCT(($B49='Data Test'!$C$16:$C$75)*($D$36='Data Test'!$D$16:$D$75)*('Data Test'!E$16:E$75))</f>
        <v>600</v>
      </c>
      <c r="G49" s="151">
        <f>SUMPRODUCT(($B49='Data Test'!$C$16:$C$75)*($D$36='Data Test'!$D$16:$D$75)*('Data Test'!F$16:F$75))</f>
        <v>0</v>
      </c>
      <c r="H49" s="151">
        <f>SUMPRODUCT(($B49='Data Test'!$C$16:$C$75)*($D$36='Data Test'!$D$16:$D$75)*('Data Test'!G$16:G$75))</f>
        <v>557</v>
      </c>
      <c r="I49" s="151">
        <f>SUMPRODUCT(($B49='Data Test'!$C$16:$C$75)*($D$36='Data Test'!$D$16:$D$75)*('Data Test'!H$16:H$75))</f>
        <v>43</v>
      </c>
      <c r="J49" s="152">
        <f t="shared" si="14"/>
        <v>0.92833333333333334</v>
      </c>
      <c r="K49" s="152">
        <f t="shared" si="15"/>
        <v>1</v>
      </c>
      <c r="L49" s="152">
        <f t="shared" si="16"/>
        <v>1</v>
      </c>
    </row>
    <row r="50" spans="2:12" s="132" customFormat="1" x14ac:dyDescent="0.2"/>
    <row r="51" spans="2:12" s="132" customFormat="1" x14ac:dyDescent="0.2">
      <c r="D51" s="141" t="str">
        <f>'Data Test'!$B$8</f>
        <v>Software Module 4</v>
      </c>
      <c r="E51" s="143"/>
      <c r="F51" s="143"/>
      <c r="G51" s="143"/>
      <c r="H51" s="143"/>
      <c r="I51" s="143"/>
      <c r="J51" s="143"/>
      <c r="K51" s="143"/>
      <c r="L51" s="153"/>
    </row>
    <row r="52" spans="2:12" s="132" customFormat="1" ht="38.25" x14ac:dyDescent="0.2">
      <c r="B52" s="13" t="str">
        <f>B$7</f>
        <v>Day</v>
      </c>
      <c r="C52" s="13" t="str">
        <f>C$7</f>
        <v>Week</v>
      </c>
      <c r="D52" s="13" t="str">
        <f t="shared" ref="D52:L52" si="18">D$7</f>
        <v># TCs planned total</v>
      </c>
      <c r="E52" s="13" t="str">
        <f t="shared" si="18"/>
        <v># TCs planned actual</v>
      </c>
      <c r="F52" s="13" t="str">
        <f t="shared" si="18"/>
        <v>#TCs finished</v>
      </c>
      <c r="G52" s="13" t="str">
        <f t="shared" si="18"/>
        <v>#TCs not completed</v>
      </c>
      <c r="H52" s="13" t="str">
        <f t="shared" si="18"/>
        <v>#TCs passed</v>
      </c>
      <c r="I52" s="13" t="str">
        <f t="shared" si="18"/>
        <v>#TCs failed</v>
      </c>
      <c r="J52" s="13" t="str">
        <f t="shared" si="18"/>
        <v>Success rate</v>
      </c>
      <c r="K52" s="13" t="str">
        <f t="shared" si="18"/>
        <v>Completion rate</v>
      </c>
      <c r="L52" s="13" t="str">
        <f t="shared" si="18"/>
        <v>Actual in % of plan</v>
      </c>
    </row>
    <row r="53" spans="2:12" s="132" customFormat="1" x14ac:dyDescent="0.2">
      <c r="B53" s="144">
        <f t="shared" ref="B53:C64" si="19">B38</f>
        <v>39969</v>
      </c>
      <c r="C53" s="15">
        <f t="shared" si="19"/>
        <v>23</v>
      </c>
      <c r="D53" s="145">
        <f>VLOOKUP($D$51,'Data Test'!$B$5:$D$9,3,FALSE)</f>
        <v>800</v>
      </c>
      <c r="E53" s="145">
        <f>ROUNDUP(D53/'Control General'!$C$16,0)</f>
        <v>67</v>
      </c>
      <c r="F53" s="145">
        <f>SUMPRODUCT(($B53='Data Test'!$C$16:$C$75)*($D$51='Data Test'!$D$16:$D$75)*('Data Test'!E$16:E$75))</f>
        <v>55</v>
      </c>
      <c r="G53" s="145">
        <f>SUMPRODUCT(($B53='Data Test'!$C$16:$C$75)*($D$51='Data Test'!$D$16:$D$75)*('Data Test'!F$16:F$75))</f>
        <v>2</v>
      </c>
      <c r="H53" s="145">
        <f>SUMPRODUCT(($B53='Data Test'!$C$16:$C$75)*($D$51='Data Test'!$D$16:$D$75)*('Data Test'!G$16:G$75))</f>
        <v>49</v>
      </c>
      <c r="I53" s="145">
        <f>SUMPRODUCT(($B53='Data Test'!$C$16:$C$75)*($D$51='Data Test'!$D$16:$D$75)*('Data Test'!H$16:H$75))</f>
        <v>6</v>
      </c>
      <c r="J53" s="146">
        <f>IF(F53&gt;0,H53/F53,0)</f>
        <v>0.89090909090909087</v>
      </c>
      <c r="K53" s="146">
        <f>F53/D53</f>
        <v>6.8750000000000006E-2</v>
      </c>
      <c r="L53" s="146">
        <f>F53/E53</f>
        <v>0.82089552238805974</v>
      </c>
    </row>
    <row r="54" spans="2:12" s="132" customFormat="1" x14ac:dyDescent="0.2">
      <c r="B54" s="147">
        <f t="shared" si="19"/>
        <v>39976</v>
      </c>
      <c r="C54" s="20">
        <f t="shared" si="19"/>
        <v>24</v>
      </c>
      <c r="D54" s="148">
        <f>D53</f>
        <v>800</v>
      </c>
      <c r="E54" s="148">
        <f>E53+ROUNDUP(D54/'Control General'!$C$16,0)</f>
        <v>134</v>
      </c>
      <c r="F54" s="148">
        <f>SUMPRODUCT(($B54='Data Test'!$C$16:$C$75)*($D$51='Data Test'!$D$16:$D$75)*('Data Test'!E$16:E$75))</f>
        <v>132</v>
      </c>
      <c r="G54" s="148">
        <f>SUMPRODUCT(($B54='Data Test'!$C$16:$C$75)*($D$51='Data Test'!$D$16:$D$75)*('Data Test'!F$16:F$75))</f>
        <v>7</v>
      </c>
      <c r="H54" s="148">
        <f>SUMPRODUCT(($B54='Data Test'!$C$16:$C$75)*($D$51='Data Test'!$D$16:$D$75)*('Data Test'!G$16:G$75))</f>
        <v>120</v>
      </c>
      <c r="I54" s="148">
        <f>SUMPRODUCT(($B54='Data Test'!$C$16:$C$75)*($D$51='Data Test'!$D$16:$D$75)*('Data Test'!H$16:H$75))</f>
        <v>12</v>
      </c>
      <c r="J54" s="149">
        <f t="shared" ref="J54:J64" si="20">IF(F54&gt;0,H54/F54,0)</f>
        <v>0.90909090909090906</v>
      </c>
      <c r="K54" s="149">
        <f t="shared" ref="K54:K64" si="21">F54/D54</f>
        <v>0.16500000000000001</v>
      </c>
      <c r="L54" s="149">
        <f t="shared" ref="L54:L64" si="22">F54/E54</f>
        <v>0.9850746268656716</v>
      </c>
    </row>
    <row r="55" spans="2:12" s="132" customFormat="1" x14ac:dyDescent="0.2">
      <c r="B55" s="147">
        <f t="shared" si="19"/>
        <v>39983</v>
      </c>
      <c r="C55" s="20">
        <f t="shared" si="19"/>
        <v>25</v>
      </c>
      <c r="D55" s="148">
        <f t="shared" ref="D55:D64" si="23">D54</f>
        <v>800</v>
      </c>
      <c r="E55" s="148">
        <f>E54+ROUNDUP(D55/'Control General'!$C$16,0)</f>
        <v>201</v>
      </c>
      <c r="F55" s="148">
        <f>SUMPRODUCT(($B55='Data Test'!$C$16:$C$75)*($D$51='Data Test'!$D$16:$D$75)*('Data Test'!E$16:E$75))</f>
        <v>210</v>
      </c>
      <c r="G55" s="148">
        <f>SUMPRODUCT(($B55='Data Test'!$C$16:$C$75)*($D$51='Data Test'!$D$16:$D$75)*('Data Test'!F$16:F$75))</f>
        <v>11</v>
      </c>
      <c r="H55" s="148">
        <f>SUMPRODUCT(($B55='Data Test'!$C$16:$C$75)*($D$51='Data Test'!$D$16:$D$75)*('Data Test'!G$16:G$75))</f>
        <v>180</v>
      </c>
      <c r="I55" s="148">
        <f>SUMPRODUCT(($B55='Data Test'!$C$16:$C$75)*($D$51='Data Test'!$D$16:$D$75)*('Data Test'!H$16:H$75))</f>
        <v>30</v>
      </c>
      <c r="J55" s="149">
        <f t="shared" si="20"/>
        <v>0.8571428571428571</v>
      </c>
      <c r="K55" s="149">
        <f t="shared" si="21"/>
        <v>0.26250000000000001</v>
      </c>
      <c r="L55" s="149">
        <f t="shared" si="22"/>
        <v>1.044776119402985</v>
      </c>
    </row>
    <row r="56" spans="2:12" s="132" customFormat="1" x14ac:dyDescent="0.2">
      <c r="B56" s="147">
        <f t="shared" si="19"/>
        <v>39990</v>
      </c>
      <c r="C56" s="20">
        <f t="shared" si="19"/>
        <v>26</v>
      </c>
      <c r="D56" s="148">
        <f t="shared" si="23"/>
        <v>800</v>
      </c>
      <c r="E56" s="148">
        <f>E55+ROUNDUP(D56/'Control General'!$C$16,0)</f>
        <v>268</v>
      </c>
      <c r="F56" s="148">
        <f>SUMPRODUCT(($B56='Data Test'!$C$16:$C$75)*($D$51='Data Test'!$D$16:$D$75)*('Data Test'!E$16:E$75))</f>
        <v>271</v>
      </c>
      <c r="G56" s="148">
        <f>SUMPRODUCT(($B56='Data Test'!$C$16:$C$75)*($D$51='Data Test'!$D$16:$D$75)*('Data Test'!F$16:F$75))</f>
        <v>24</v>
      </c>
      <c r="H56" s="148">
        <f>SUMPRODUCT(($B56='Data Test'!$C$16:$C$75)*($D$51='Data Test'!$D$16:$D$75)*('Data Test'!G$16:G$75))</f>
        <v>236</v>
      </c>
      <c r="I56" s="148">
        <f>SUMPRODUCT(($B56='Data Test'!$C$16:$C$75)*($D$51='Data Test'!$D$16:$D$75)*('Data Test'!H$16:H$75))</f>
        <v>35</v>
      </c>
      <c r="J56" s="149">
        <f t="shared" si="20"/>
        <v>0.87084870848708484</v>
      </c>
      <c r="K56" s="149">
        <f t="shared" si="21"/>
        <v>0.33875</v>
      </c>
      <c r="L56" s="149">
        <f t="shared" si="22"/>
        <v>1.0111940298507462</v>
      </c>
    </row>
    <row r="57" spans="2:12" s="132" customFormat="1" x14ac:dyDescent="0.2">
      <c r="B57" s="147">
        <f t="shared" si="19"/>
        <v>39997</v>
      </c>
      <c r="C57" s="20">
        <f t="shared" si="19"/>
        <v>27</v>
      </c>
      <c r="D57" s="148">
        <f t="shared" si="23"/>
        <v>800</v>
      </c>
      <c r="E57" s="148">
        <f>E56+ROUNDUP(D57/'Control General'!$C$16,0)</f>
        <v>335</v>
      </c>
      <c r="F57" s="148">
        <f>SUMPRODUCT(($B57='Data Test'!$C$16:$C$75)*($D$51='Data Test'!$D$16:$D$75)*('Data Test'!E$16:E$75))</f>
        <v>342</v>
      </c>
      <c r="G57" s="148">
        <f>SUMPRODUCT(($B57='Data Test'!$C$16:$C$75)*($D$51='Data Test'!$D$16:$D$75)*('Data Test'!F$16:F$75))</f>
        <v>24</v>
      </c>
      <c r="H57" s="148">
        <f>SUMPRODUCT(($B57='Data Test'!$C$16:$C$75)*($D$51='Data Test'!$D$16:$D$75)*('Data Test'!G$16:G$75))</f>
        <v>307</v>
      </c>
      <c r="I57" s="148">
        <f>SUMPRODUCT(($B57='Data Test'!$C$16:$C$75)*($D$51='Data Test'!$D$16:$D$75)*('Data Test'!H$16:H$75))</f>
        <v>35</v>
      </c>
      <c r="J57" s="149">
        <f t="shared" si="20"/>
        <v>0.89766081871345027</v>
      </c>
      <c r="K57" s="149">
        <f t="shared" si="21"/>
        <v>0.42749999999999999</v>
      </c>
      <c r="L57" s="149">
        <f t="shared" si="22"/>
        <v>1.0208955223880598</v>
      </c>
    </row>
    <row r="58" spans="2:12" s="132" customFormat="1" x14ac:dyDescent="0.2">
      <c r="B58" s="147">
        <f t="shared" si="19"/>
        <v>40004</v>
      </c>
      <c r="C58" s="20">
        <f t="shared" si="19"/>
        <v>28</v>
      </c>
      <c r="D58" s="148">
        <f t="shared" si="23"/>
        <v>800</v>
      </c>
      <c r="E58" s="148">
        <f>E57+ROUNDUP(D58/'Control General'!$C$16,0)</f>
        <v>402</v>
      </c>
      <c r="F58" s="148">
        <f>SUMPRODUCT(($B58='Data Test'!$C$16:$C$75)*($D$51='Data Test'!$D$16:$D$75)*('Data Test'!E$16:E$75))</f>
        <v>413</v>
      </c>
      <c r="G58" s="148">
        <f>SUMPRODUCT(($B58='Data Test'!$C$16:$C$75)*($D$51='Data Test'!$D$16:$D$75)*('Data Test'!F$16:F$75))</f>
        <v>4</v>
      </c>
      <c r="H58" s="148">
        <f>SUMPRODUCT(($B58='Data Test'!$C$16:$C$75)*($D$51='Data Test'!$D$16:$D$75)*('Data Test'!G$16:G$75))</f>
        <v>364</v>
      </c>
      <c r="I58" s="148">
        <f>SUMPRODUCT(($B58='Data Test'!$C$16:$C$75)*($D$51='Data Test'!$D$16:$D$75)*('Data Test'!H$16:H$75))</f>
        <v>49</v>
      </c>
      <c r="J58" s="149">
        <f t="shared" si="20"/>
        <v>0.88135593220338981</v>
      </c>
      <c r="K58" s="149">
        <f t="shared" si="21"/>
        <v>0.51624999999999999</v>
      </c>
      <c r="L58" s="149">
        <f t="shared" si="22"/>
        <v>1.027363184079602</v>
      </c>
    </row>
    <row r="59" spans="2:12" s="132" customFormat="1" x14ac:dyDescent="0.2">
      <c r="B59" s="147">
        <f t="shared" si="19"/>
        <v>40011</v>
      </c>
      <c r="C59" s="20">
        <f t="shared" si="19"/>
        <v>29</v>
      </c>
      <c r="D59" s="148">
        <f t="shared" si="23"/>
        <v>800</v>
      </c>
      <c r="E59" s="148">
        <f>E58+ROUNDUP(D59/'Control General'!$C$16,0)</f>
        <v>469</v>
      </c>
      <c r="F59" s="148">
        <f>SUMPRODUCT(($B59='Data Test'!$C$16:$C$75)*($D$51='Data Test'!$D$16:$D$75)*('Data Test'!E$16:E$75))</f>
        <v>473</v>
      </c>
      <c r="G59" s="148">
        <f>SUMPRODUCT(($B59='Data Test'!$C$16:$C$75)*($D$51='Data Test'!$D$16:$D$75)*('Data Test'!F$16:F$75))</f>
        <v>0</v>
      </c>
      <c r="H59" s="148">
        <f>SUMPRODUCT(($B59='Data Test'!$C$16:$C$75)*($D$51='Data Test'!$D$16:$D$75)*('Data Test'!G$16:G$75))</f>
        <v>421</v>
      </c>
      <c r="I59" s="148">
        <f>SUMPRODUCT(($B59='Data Test'!$C$16:$C$75)*($D$51='Data Test'!$D$16:$D$75)*('Data Test'!H$16:H$75))</f>
        <v>52</v>
      </c>
      <c r="J59" s="149">
        <f t="shared" si="20"/>
        <v>0.89006342494714585</v>
      </c>
      <c r="K59" s="149">
        <f t="shared" si="21"/>
        <v>0.59125000000000005</v>
      </c>
      <c r="L59" s="149">
        <f t="shared" si="22"/>
        <v>1.0085287846481876</v>
      </c>
    </row>
    <row r="60" spans="2:12" s="132" customFormat="1" x14ac:dyDescent="0.2">
      <c r="B60" s="147">
        <f t="shared" si="19"/>
        <v>40018</v>
      </c>
      <c r="C60" s="20">
        <f t="shared" si="19"/>
        <v>30</v>
      </c>
      <c r="D60" s="148">
        <f t="shared" si="23"/>
        <v>800</v>
      </c>
      <c r="E60" s="148">
        <f>E59+ROUNDUP(D60/'Control General'!$C$16,0)</f>
        <v>536</v>
      </c>
      <c r="F60" s="148">
        <f>SUMPRODUCT(($B60='Data Test'!$C$16:$C$75)*($D$51='Data Test'!$D$16:$D$75)*('Data Test'!E$16:E$75))</f>
        <v>548</v>
      </c>
      <c r="G60" s="148">
        <f>SUMPRODUCT(($B60='Data Test'!$C$16:$C$75)*($D$51='Data Test'!$D$16:$D$75)*('Data Test'!F$16:F$75))</f>
        <v>22</v>
      </c>
      <c r="H60" s="148">
        <f>SUMPRODUCT(($B60='Data Test'!$C$16:$C$75)*($D$51='Data Test'!$D$16:$D$75)*('Data Test'!G$16:G$75))</f>
        <v>476</v>
      </c>
      <c r="I60" s="148">
        <f>SUMPRODUCT(($B60='Data Test'!$C$16:$C$75)*($D$51='Data Test'!$D$16:$D$75)*('Data Test'!H$16:H$75))</f>
        <v>72</v>
      </c>
      <c r="J60" s="149">
        <f t="shared" si="20"/>
        <v>0.86861313868613144</v>
      </c>
      <c r="K60" s="149">
        <f t="shared" si="21"/>
        <v>0.68500000000000005</v>
      </c>
      <c r="L60" s="149">
        <f t="shared" si="22"/>
        <v>1.0223880597014925</v>
      </c>
    </row>
    <row r="61" spans="2:12" s="132" customFormat="1" x14ac:dyDescent="0.2">
      <c r="B61" s="147">
        <f t="shared" si="19"/>
        <v>40025</v>
      </c>
      <c r="C61" s="20">
        <f t="shared" si="19"/>
        <v>31</v>
      </c>
      <c r="D61" s="148">
        <f t="shared" si="23"/>
        <v>800</v>
      </c>
      <c r="E61" s="148">
        <f>E60+ROUNDUP(D61/'Control General'!$C$16,0)</f>
        <v>603</v>
      </c>
      <c r="F61" s="148">
        <f>SUMPRODUCT(($B61='Data Test'!$C$16:$C$75)*($D$51='Data Test'!$D$16:$D$75)*('Data Test'!E$16:E$75))</f>
        <v>601</v>
      </c>
      <c r="G61" s="148">
        <f>SUMPRODUCT(($B61='Data Test'!$C$16:$C$75)*($D$51='Data Test'!$D$16:$D$75)*('Data Test'!F$16:F$75))</f>
        <v>36</v>
      </c>
      <c r="H61" s="148">
        <f>SUMPRODUCT(($B61='Data Test'!$C$16:$C$75)*($D$51='Data Test'!$D$16:$D$75)*('Data Test'!G$16:G$75))</f>
        <v>526</v>
      </c>
      <c r="I61" s="148">
        <f>SUMPRODUCT(($B61='Data Test'!$C$16:$C$75)*($D$51='Data Test'!$D$16:$D$75)*('Data Test'!H$16:H$75))</f>
        <v>75</v>
      </c>
      <c r="J61" s="149">
        <f t="shared" si="20"/>
        <v>0.87520798668885191</v>
      </c>
      <c r="K61" s="149">
        <f t="shared" si="21"/>
        <v>0.75124999999999997</v>
      </c>
      <c r="L61" s="149">
        <f t="shared" si="22"/>
        <v>0.99668325041459371</v>
      </c>
    </row>
    <row r="62" spans="2:12" s="132" customFormat="1" x14ac:dyDescent="0.2">
      <c r="B62" s="147">
        <f t="shared" si="19"/>
        <v>40032</v>
      </c>
      <c r="C62" s="20">
        <f t="shared" si="19"/>
        <v>32</v>
      </c>
      <c r="D62" s="148">
        <f t="shared" si="23"/>
        <v>800</v>
      </c>
      <c r="E62" s="148">
        <f>E61+ROUNDUP(D62/'Control General'!$C$16,0)</f>
        <v>670</v>
      </c>
      <c r="F62" s="148">
        <f>SUMPRODUCT(($B62='Data Test'!$C$16:$C$75)*($D$51='Data Test'!$D$16:$D$75)*('Data Test'!E$16:E$75))</f>
        <v>656</v>
      </c>
      <c r="G62" s="148">
        <f>SUMPRODUCT(($B62='Data Test'!$C$16:$C$75)*($D$51='Data Test'!$D$16:$D$75)*('Data Test'!F$16:F$75))</f>
        <v>7</v>
      </c>
      <c r="H62" s="148">
        <f>SUMPRODUCT(($B62='Data Test'!$C$16:$C$75)*($D$51='Data Test'!$D$16:$D$75)*('Data Test'!G$16:G$75))</f>
        <v>577</v>
      </c>
      <c r="I62" s="148">
        <f>SUMPRODUCT(($B62='Data Test'!$C$16:$C$75)*($D$51='Data Test'!$D$16:$D$75)*('Data Test'!H$16:H$75))</f>
        <v>79</v>
      </c>
      <c r="J62" s="149">
        <f t="shared" si="20"/>
        <v>0.87957317073170727</v>
      </c>
      <c r="K62" s="149">
        <f t="shared" si="21"/>
        <v>0.82</v>
      </c>
      <c r="L62" s="149">
        <f t="shared" si="22"/>
        <v>0.9791044776119403</v>
      </c>
    </row>
    <row r="63" spans="2:12" s="132" customFormat="1" x14ac:dyDescent="0.2">
      <c r="B63" s="147">
        <f t="shared" si="19"/>
        <v>40039</v>
      </c>
      <c r="C63" s="20">
        <f t="shared" si="19"/>
        <v>33</v>
      </c>
      <c r="D63" s="148">
        <f t="shared" si="23"/>
        <v>800</v>
      </c>
      <c r="E63" s="148">
        <f>E62+ROUNDUP(D63/'Control General'!$C$16,0)</f>
        <v>737</v>
      </c>
      <c r="F63" s="148">
        <f>SUMPRODUCT(($B63='Data Test'!$C$16:$C$75)*($D$51='Data Test'!$D$16:$D$75)*('Data Test'!E$16:E$75))</f>
        <v>725</v>
      </c>
      <c r="G63" s="148">
        <f>SUMPRODUCT(($B63='Data Test'!$C$16:$C$75)*($D$51='Data Test'!$D$16:$D$75)*('Data Test'!F$16:F$75))</f>
        <v>36</v>
      </c>
      <c r="H63" s="148">
        <f>SUMPRODUCT(($B63='Data Test'!$C$16:$C$75)*($D$51='Data Test'!$D$16:$D$75)*('Data Test'!G$16:G$75))</f>
        <v>630</v>
      </c>
      <c r="I63" s="148">
        <f>SUMPRODUCT(($B63='Data Test'!$C$16:$C$75)*($D$51='Data Test'!$D$16:$D$75)*('Data Test'!H$16:H$75))</f>
        <v>95</v>
      </c>
      <c r="J63" s="149">
        <f t="shared" si="20"/>
        <v>0.86896551724137927</v>
      </c>
      <c r="K63" s="149">
        <f t="shared" si="21"/>
        <v>0.90625</v>
      </c>
      <c r="L63" s="149">
        <f t="shared" si="22"/>
        <v>0.98371777476255085</v>
      </c>
    </row>
    <row r="64" spans="2:12" s="132" customFormat="1" x14ac:dyDescent="0.2">
      <c r="B64" s="150">
        <f t="shared" si="19"/>
        <v>40046</v>
      </c>
      <c r="C64" s="18">
        <f t="shared" si="19"/>
        <v>34</v>
      </c>
      <c r="D64" s="151">
        <f t="shared" si="23"/>
        <v>800</v>
      </c>
      <c r="E64" s="151">
        <f>D64</f>
        <v>800</v>
      </c>
      <c r="F64" s="151">
        <f>SUMPRODUCT(($B64='Data Test'!$C$16:$C$75)*($D$51='Data Test'!$D$16:$D$75)*('Data Test'!E$16:E$75))</f>
        <v>798</v>
      </c>
      <c r="G64" s="151">
        <f>SUMPRODUCT(($B64='Data Test'!$C$16:$C$75)*($D$51='Data Test'!$D$16:$D$75)*('Data Test'!F$16:F$75))</f>
        <v>0</v>
      </c>
      <c r="H64" s="151">
        <f>SUMPRODUCT(($B64='Data Test'!$C$16:$C$75)*($D$51='Data Test'!$D$16:$D$75)*('Data Test'!G$16:G$75))</f>
        <v>694</v>
      </c>
      <c r="I64" s="151">
        <f>SUMPRODUCT(($B64='Data Test'!$C$16:$C$75)*($D$51='Data Test'!$D$16:$D$75)*('Data Test'!H$16:H$75))</f>
        <v>104</v>
      </c>
      <c r="J64" s="152">
        <f t="shared" si="20"/>
        <v>0.86967418546365916</v>
      </c>
      <c r="K64" s="152">
        <f t="shared" si="21"/>
        <v>0.99750000000000005</v>
      </c>
      <c r="L64" s="152">
        <f t="shared" si="22"/>
        <v>0.99750000000000005</v>
      </c>
    </row>
    <row r="65" spans="2:12" s="132" customFormat="1" x14ac:dyDescent="0.2"/>
    <row r="66" spans="2:12" s="132" customFormat="1" x14ac:dyDescent="0.2">
      <c r="D66" s="141" t="str">
        <f>'Data Test'!$B$9</f>
        <v>Software Module 5</v>
      </c>
      <c r="E66" s="143"/>
      <c r="F66" s="143"/>
      <c r="G66" s="143"/>
      <c r="H66" s="143"/>
      <c r="I66" s="143"/>
      <c r="J66" s="143"/>
      <c r="K66" s="143"/>
      <c r="L66" s="153"/>
    </row>
    <row r="67" spans="2:12" s="132" customFormat="1" ht="38.25" x14ac:dyDescent="0.2">
      <c r="B67" s="13" t="str">
        <f>B$7</f>
        <v>Day</v>
      </c>
      <c r="C67" s="13" t="str">
        <f>C$7</f>
        <v>Week</v>
      </c>
      <c r="D67" s="13" t="str">
        <f t="shared" ref="D67:L67" si="24">D$7</f>
        <v># TCs planned total</v>
      </c>
      <c r="E67" s="13" t="str">
        <f t="shared" si="24"/>
        <v># TCs planned actual</v>
      </c>
      <c r="F67" s="13" t="str">
        <f t="shared" si="24"/>
        <v>#TCs finished</v>
      </c>
      <c r="G67" s="13" t="str">
        <f t="shared" si="24"/>
        <v>#TCs not completed</v>
      </c>
      <c r="H67" s="13" t="str">
        <f t="shared" si="24"/>
        <v>#TCs passed</v>
      </c>
      <c r="I67" s="13" t="str">
        <f t="shared" si="24"/>
        <v>#TCs failed</v>
      </c>
      <c r="J67" s="13" t="str">
        <f t="shared" si="24"/>
        <v>Success rate</v>
      </c>
      <c r="K67" s="13" t="str">
        <f t="shared" si="24"/>
        <v>Completion rate</v>
      </c>
      <c r="L67" s="13" t="str">
        <f t="shared" si="24"/>
        <v>Actual in % of plan</v>
      </c>
    </row>
    <row r="68" spans="2:12" s="132" customFormat="1" x14ac:dyDescent="0.2">
      <c r="B68" s="144">
        <f t="shared" ref="B68:C79" si="25">B53</f>
        <v>39969</v>
      </c>
      <c r="C68" s="15">
        <f t="shared" si="25"/>
        <v>23</v>
      </c>
      <c r="D68" s="145">
        <f>VLOOKUP($D$66,'Data Test'!$B$5:$D$9,3,FALSE)</f>
        <v>400</v>
      </c>
      <c r="E68" s="145">
        <f>ROUNDUP(D68/'Control General'!$C$16,0)</f>
        <v>34</v>
      </c>
      <c r="F68" s="145">
        <f>SUMPRODUCT(($B68='Data Test'!$C$16:$C$75)*($D$66='Data Test'!$D$16:$D$75)*('Data Test'!E$16:E$75))</f>
        <v>37</v>
      </c>
      <c r="G68" s="145">
        <f>SUMPRODUCT(($B68='Data Test'!$C$16:$C$75)*($D$66='Data Test'!$D$16:$D$75)*('Data Test'!F$16:F$75))</f>
        <v>2</v>
      </c>
      <c r="H68" s="145">
        <f>SUMPRODUCT(($B68='Data Test'!$C$16:$C$75)*($D$66='Data Test'!$D$16:$D$75)*('Data Test'!G$16:G$75))</f>
        <v>30</v>
      </c>
      <c r="I68" s="145">
        <f>SUMPRODUCT(($B68='Data Test'!$C$16:$C$75)*($D$66='Data Test'!$D$16:$D$75)*('Data Test'!H$16:H$75))</f>
        <v>7</v>
      </c>
      <c r="J68" s="146">
        <f>IF(F68&gt;0,H68/F68,0)</f>
        <v>0.81081081081081086</v>
      </c>
      <c r="K68" s="146">
        <f>F68/D68</f>
        <v>9.2499999999999999E-2</v>
      </c>
      <c r="L68" s="146">
        <f>F68/E68</f>
        <v>1.088235294117647</v>
      </c>
    </row>
    <row r="69" spans="2:12" s="132" customFormat="1" x14ac:dyDescent="0.2">
      <c r="B69" s="147">
        <f t="shared" si="25"/>
        <v>39976</v>
      </c>
      <c r="C69" s="20">
        <f t="shared" si="25"/>
        <v>24</v>
      </c>
      <c r="D69" s="148">
        <f>D68</f>
        <v>400</v>
      </c>
      <c r="E69" s="148">
        <f>E68+ROUNDUP(D69/'Control General'!$C$16,0)</f>
        <v>68</v>
      </c>
      <c r="F69" s="148">
        <f>SUMPRODUCT(($B69='Data Test'!$C$16:$C$75)*($D$66='Data Test'!$D$16:$D$75)*('Data Test'!E$16:E$75))</f>
        <v>68</v>
      </c>
      <c r="G69" s="148">
        <f>SUMPRODUCT(($B69='Data Test'!$C$16:$C$75)*($D$66='Data Test'!$D$16:$D$75)*('Data Test'!F$16:F$75))</f>
        <v>1</v>
      </c>
      <c r="H69" s="148">
        <f>SUMPRODUCT(($B69='Data Test'!$C$16:$C$75)*($D$66='Data Test'!$D$16:$D$75)*('Data Test'!G$16:G$75))</f>
        <v>59</v>
      </c>
      <c r="I69" s="148">
        <f>SUMPRODUCT(($B69='Data Test'!$C$16:$C$75)*($D$66='Data Test'!$D$16:$D$75)*('Data Test'!H$16:H$75))</f>
        <v>9</v>
      </c>
      <c r="J69" s="149">
        <f t="shared" ref="J69:J79" si="26">IF(F69&gt;0,H69/F69,0)</f>
        <v>0.86764705882352944</v>
      </c>
      <c r="K69" s="149">
        <f t="shared" ref="K69:K79" si="27">F69/D69</f>
        <v>0.17</v>
      </c>
      <c r="L69" s="149">
        <f t="shared" ref="L69:L79" si="28">F69/E69</f>
        <v>1</v>
      </c>
    </row>
    <row r="70" spans="2:12" s="132" customFormat="1" x14ac:dyDescent="0.2">
      <c r="B70" s="147">
        <f t="shared" si="25"/>
        <v>39983</v>
      </c>
      <c r="C70" s="20">
        <f t="shared" si="25"/>
        <v>25</v>
      </c>
      <c r="D70" s="148">
        <f t="shared" ref="D70:D79" si="29">D69</f>
        <v>400</v>
      </c>
      <c r="E70" s="148">
        <f>E69+ROUNDUP(D70/'Control General'!$C$16,0)</f>
        <v>102</v>
      </c>
      <c r="F70" s="148">
        <f>SUMPRODUCT(($B70='Data Test'!$C$16:$C$75)*($D$66='Data Test'!$D$16:$D$75)*('Data Test'!E$16:E$75))</f>
        <v>98</v>
      </c>
      <c r="G70" s="148">
        <f>SUMPRODUCT(($B70='Data Test'!$C$16:$C$75)*($D$66='Data Test'!$D$16:$D$75)*('Data Test'!F$16:F$75))</f>
        <v>0</v>
      </c>
      <c r="H70" s="148">
        <f>SUMPRODUCT(($B70='Data Test'!$C$16:$C$75)*($D$66='Data Test'!$D$16:$D$75)*('Data Test'!G$16:G$75))</f>
        <v>86</v>
      </c>
      <c r="I70" s="148">
        <f>SUMPRODUCT(($B70='Data Test'!$C$16:$C$75)*($D$66='Data Test'!$D$16:$D$75)*('Data Test'!H$16:H$75))</f>
        <v>12</v>
      </c>
      <c r="J70" s="149">
        <f t="shared" si="26"/>
        <v>0.87755102040816324</v>
      </c>
      <c r="K70" s="149">
        <f t="shared" si="27"/>
        <v>0.245</v>
      </c>
      <c r="L70" s="149">
        <f t="shared" si="28"/>
        <v>0.96078431372549022</v>
      </c>
    </row>
    <row r="71" spans="2:12" s="132" customFormat="1" x14ac:dyDescent="0.2">
      <c r="B71" s="147">
        <f t="shared" si="25"/>
        <v>39990</v>
      </c>
      <c r="C71" s="20">
        <f t="shared" si="25"/>
        <v>26</v>
      </c>
      <c r="D71" s="148">
        <f t="shared" si="29"/>
        <v>400</v>
      </c>
      <c r="E71" s="148">
        <f>E70+ROUNDUP(D71/'Control General'!$C$16,0)</f>
        <v>136</v>
      </c>
      <c r="F71" s="148">
        <f>SUMPRODUCT(($B71='Data Test'!$C$16:$C$75)*($D$66='Data Test'!$D$16:$D$75)*('Data Test'!E$16:E$75))</f>
        <v>125</v>
      </c>
      <c r="G71" s="148">
        <f>SUMPRODUCT(($B71='Data Test'!$C$16:$C$75)*($D$66='Data Test'!$D$16:$D$75)*('Data Test'!F$16:F$75))</f>
        <v>4</v>
      </c>
      <c r="H71" s="148">
        <f>SUMPRODUCT(($B71='Data Test'!$C$16:$C$75)*($D$66='Data Test'!$D$16:$D$75)*('Data Test'!G$16:G$75))</f>
        <v>104</v>
      </c>
      <c r="I71" s="148">
        <f>SUMPRODUCT(($B71='Data Test'!$C$16:$C$75)*($D$66='Data Test'!$D$16:$D$75)*('Data Test'!H$16:H$75))</f>
        <v>21</v>
      </c>
      <c r="J71" s="149">
        <f t="shared" si="26"/>
        <v>0.83199999999999996</v>
      </c>
      <c r="K71" s="149">
        <f t="shared" si="27"/>
        <v>0.3125</v>
      </c>
      <c r="L71" s="149">
        <f t="shared" si="28"/>
        <v>0.91911764705882348</v>
      </c>
    </row>
    <row r="72" spans="2:12" s="132" customFormat="1" x14ac:dyDescent="0.2">
      <c r="B72" s="147">
        <f t="shared" si="25"/>
        <v>39997</v>
      </c>
      <c r="C72" s="20">
        <f t="shared" si="25"/>
        <v>27</v>
      </c>
      <c r="D72" s="148">
        <f t="shared" si="29"/>
        <v>400</v>
      </c>
      <c r="E72" s="148">
        <f>E71+ROUNDUP(D72/'Control General'!$C$16,0)</f>
        <v>170</v>
      </c>
      <c r="F72" s="148">
        <f>SUMPRODUCT(($B72='Data Test'!$C$16:$C$75)*($D$66='Data Test'!$D$16:$D$75)*('Data Test'!E$16:E$75))</f>
        <v>156</v>
      </c>
      <c r="G72" s="148">
        <f>SUMPRODUCT(($B72='Data Test'!$C$16:$C$75)*($D$66='Data Test'!$D$16:$D$75)*('Data Test'!F$16:F$75))</f>
        <v>8</v>
      </c>
      <c r="H72" s="148">
        <f>SUMPRODUCT(($B72='Data Test'!$C$16:$C$75)*($D$66='Data Test'!$D$16:$D$75)*('Data Test'!G$16:G$75))</f>
        <v>133</v>
      </c>
      <c r="I72" s="148">
        <f>SUMPRODUCT(($B72='Data Test'!$C$16:$C$75)*($D$66='Data Test'!$D$16:$D$75)*('Data Test'!H$16:H$75))</f>
        <v>23</v>
      </c>
      <c r="J72" s="149">
        <f t="shared" si="26"/>
        <v>0.85256410256410253</v>
      </c>
      <c r="K72" s="149">
        <f t="shared" si="27"/>
        <v>0.39</v>
      </c>
      <c r="L72" s="149">
        <f t="shared" si="28"/>
        <v>0.91764705882352937</v>
      </c>
    </row>
    <row r="73" spans="2:12" s="132" customFormat="1" x14ac:dyDescent="0.2">
      <c r="B73" s="147">
        <f t="shared" si="25"/>
        <v>40004</v>
      </c>
      <c r="C73" s="20">
        <f t="shared" si="25"/>
        <v>28</v>
      </c>
      <c r="D73" s="148">
        <f t="shared" si="29"/>
        <v>400</v>
      </c>
      <c r="E73" s="148">
        <f>E72+ROUNDUP(D73/'Control General'!$C$16,0)</f>
        <v>204</v>
      </c>
      <c r="F73" s="148">
        <f>SUMPRODUCT(($B73='Data Test'!$C$16:$C$75)*($D$66='Data Test'!$D$16:$D$75)*('Data Test'!E$16:E$75))</f>
        <v>189</v>
      </c>
      <c r="G73" s="148">
        <f>SUMPRODUCT(($B73='Data Test'!$C$16:$C$75)*($D$66='Data Test'!$D$16:$D$75)*('Data Test'!F$16:F$75))</f>
        <v>15</v>
      </c>
      <c r="H73" s="148">
        <f>SUMPRODUCT(($B73='Data Test'!$C$16:$C$75)*($D$66='Data Test'!$D$16:$D$75)*('Data Test'!G$16:G$75))</f>
        <v>164</v>
      </c>
      <c r="I73" s="148">
        <f>SUMPRODUCT(($B73='Data Test'!$C$16:$C$75)*($D$66='Data Test'!$D$16:$D$75)*('Data Test'!H$16:H$75))</f>
        <v>25</v>
      </c>
      <c r="J73" s="149">
        <f t="shared" si="26"/>
        <v>0.86772486772486768</v>
      </c>
      <c r="K73" s="149">
        <f t="shared" si="27"/>
        <v>0.47249999999999998</v>
      </c>
      <c r="L73" s="149">
        <f t="shared" si="28"/>
        <v>0.92647058823529416</v>
      </c>
    </row>
    <row r="74" spans="2:12" s="132" customFormat="1" x14ac:dyDescent="0.2">
      <c r="B74" s="147">
        <f t="shared" si="25"/>
        <v>40011</v>
      </c>
      <c r="C74" s="20">
        <f t="shared" si="25"/>
        <v>29</v>
      </c>
      <c r="D74" s="148">
        <f t="shared" si="29"/>
        <v>400</v>
      </c>
      <c r="E74" s="148">
        <f>E73+ROUNDUP(D74/'Control General'!$C$16,0)</f>
        <v>238</v>
      </c>
      <c r="F74" s="148">
        <f>SUMPRODUCT(($B74='Data Test'!$C$16:$C$75)*($D$66='Data Test'!$D$16:$D$75)*('Data Test'!E$16:E$75))</f>
        <v>223</v>
      </c>
      <c r="G74" s="148">
        <f>SUMPRODUCT(($B74='Data Test'!$C$16:$C$75)*($D$66='Data Test'!$D$16:$D$75)*('Data Test'!F$16:F$75))</f>
        <v>22</v>
      </c>
      <c r="H74" s="148">
        <f>SUMPRODUCT(($B74='Data Test'!$C$16:$C$75)*($D$66='Data Test'!$D$16:$D$75)*('Data Test'!G$16:G$75))</f>
        <v>192</v>
      </c>
      <c r="I74" s="148">
        <f>SUMPRODUCT(($B74='Data Test'!$C$16:$C$75)*($D$66='Data Test'!$D$16:$D$75)*('Data Test'!H$16:H$75))</f>
        <v>31</v>
      </c>
      <c r="J74" s="149">
        <f t="shared" si="26"/>
        <v>0.86098654708520184</v>
      </c>
      <c r="K74" s="149">
        <f t="shared" si="27"/>
        <v>0.5575</v>
      </c>
      <c r="L74" s="149">
        <f t="shared" si="28"/>
        <v>0.93697478991596639</v>
      </c>
    </row>
    <row r="75" spans="2:12" s="132" customFormat="1" x14ac:dyDescent="0.2">
      <c r="B75" s="147">
        <f t="shared" si="25"/>
        <v>40018</v>
      </c>
      <c r="C75" s="20">
        <f t="shared" si="25"/>
        <v>30</v>
      </c>
      <c r="D75" s="148">
        <f t="shared" si="29"/>
        <v>400</v>
      </c>
      <c r="E75" s="148">
        <f>E74+ROUNDUP(D75/'Control General'!$C$16,0)</f>
        <v>272</v>
      </c>
      <c r="F75" s="148">
        <f>SUMPRODUCT(($B75='Data Test'!$C$16:$C$75)*($D$66='Data Test'!$D$16:$D$75)*('Data Test'!E$16:E$75))</f>
        <v>252</v>
      </c>
      <c r="G75" s="148">
        <f>SUMPRODUCT(($B75='Data Test'!$C$16:$C$75)*($D$66='Data Test'!$D$16:$D$75)*('Data Test'!F$16:F$75))</f>
        <v>0</v>
      </c>
      <c r="H75" s="148">
        <f>SUMPRODUCT(($B75='Data Test'!$C$16:$C$75)*($D$66='Data Test'!$D$16:$D$75)*('Data Test'!G$16:G$75))</f>
        <v>215</v>
      </c>
      <c r="I75" s="148">
        <f>SUMPRODUCT(($B75='Data Test'!$C$16:$C$75)*($D$66='Data Test'!$D$16:$D$75)*('Data Test'!H$16:H$75))</f>
        <v>37</v>
      </c>
      <c r="J75" s="149">
        <f t="shared" si="26"/>
        <v>0.85317460317460314</v>
      </c>
      <c r="K75" s="149">
        <f t="shared" si="27"/>
        <v>0.63</v>
      </c>
      <c r="L75" s="149">
        <f t="shared" si="28"/>
        <v>0.92647058823529416</v>
      </c>
    </row>
    <row r="76" spans="2:12" s="132" customFormat="1" x14ac:dyDescent="0.2">
      <c r="B76" s="147">
        <f t="shared" si="25"/>
        <v>40025</v>
      </c>
      <c r="C76" s="20">
        <f t="shared" si="25"/>
        <v>31</v>
      </c>
      <c r="D76" s="148">
        <f t="shared" si="29"/>
        <v>400</v>
      </c>
      <c r="E76" s="148">
        <f>E75+ROUNDUP(D76/'Control General'!$C$16,0)</f>
        <v>306</v>
      </c>
      <c r="F76" s="148">
        <f>SUMPRODUCT(($B76='Data Test'!$C$16:$C$75)*($D$66='Data Test'!$D$16:$D$75)*('Data Test'!E$16:E$75))</f>
        <v>280</v>
      </c>
      <c r="G76" s="148">
        <f>SUMPRODUCT(($B76='Data Test'!$C$16:$C$75)*($D$66='Data Test'!$D$16:$D$75)*('Data Test'!F$16:F$75))</f>
        <v>3</v>
      </c>
      <c r="H76" s="148">
        <f>SUMPRODUCT(($B76='Data Test'!$C$16:$C$75)*($D$66='Data Test'!$D$16:$D$75)*('Data Test'!G$16:G$75))</f>
        <v>238</v>
      </c>
      <c r="I76" s="148">
        <f>SUMPRODUCT(($B76='Data Test'!$C$16:$C$75)*($D$66='Data Test'!$D$16:$D$75)*('Data Test'!H$16:H$75))</f>
        <v>42</v>
      </c>
      <c r="J76" s="149">
        <f t="shared" si="26"/>
        <v>0.85</v>
      </c>
      <c r="K76" s="149">
        <f t="shared" si="27"/>
        <v>0.7</v>
      </c>
      <c r="L76" s="149">
        <f t="shared" si="28"/>
        <v>0.91503267973856206</v>
      </c>
    </row>
    <row r="77" spans="2:12" s="132" customFormat="1" x14ac:dyDescent="0.2">
      <c r="B77" s="147">
        <f t="shared" si="25"/>
        <v>40032</v>
      </c>
      <c r="C77" s="20">
        <f t="shared" si="25"/>
        <v>32</v>
      </c>
      <c r="D77" s="148">
        <f t="shared" si="29"/>
        <v>400</v>
      </c>
      <c r="E77" s="148">
        <f>E76+ROUNDUP(D77/'Control General'!$C$16,0)</f>
        <v>340</v>
      </c>
      <c r="F77" s="148">
        <f>SUMPRODUCT(($B77='Data Test'!$C$16:$C$75)*($D$66='Data Test'!$D$16:$D$75)*('Data Test'!E$16:E$75))</f>
        <v>314</v>
      </c>
      <c r="G77" s="148">
        <f>SUMPRODUCT(($B77='Data Test'!$C$16:$C$75)*($D$66='Data Test'!$D$16:$D$75)*('Data Test'!F$16:F$75))</f>
        <v>31</v>
      </c>
      <c r="H77" s="148">
        <f>SUMPRODUCT(($B77='Data Test'!$C$16:$C$75)*($D$66='Data Test'!$D$16:$D$75)*('Data Test'!G$16:G$75))</f>
        <v>265</v>
      </c>
      <c r="I77" s="148">
        <f>SUMPRODUCT(($B77='Data Test'!$C$16:$C$75)*($D$66='Data Test'!$D$16:$D$75)*('Data Test'!H$16:H$75))</f>
        <v>49</v>
      </c>
      <c r="J77" s="149">
        <f t="shared" si="26"/>
        <v>0.8439490445859873</v>
      </c>
      <c r="K77" s="149">
        <f t="shared" si="27"/>
        <v>0.78500000000000003</v>
      </c>
      <c r="L77" s="149">
        <f t="shared" si="28"/>
        <v>0.92352941176470593</v>
      </c>
    </row>
    <row r="78" spans="2:12" s="132" customFormat="1" x14ac:dyDescent="0.2">
      <c r="B78" s="147">
        <f t="shared" si="25"/>
        <v>40039</v>
      </c>
      <c r="C78" s="20">
        <f t="shared" si="25"/>
        <v>33</v>
      </c>
      <c r="D78" s="148">
        <f t="shared" si="29"/>
        <v>400</v>
      </c>
      <c r="E78" s="148">
        <f>E77+ROUNDUP(D78/'Control General'!$C$16,0)</f>
        <v>374</v>
      </c>
      <c r="F78" s="148">
        <f>SUMPRODUCT(($B78='Data Test'!$C$16:$C$75)*($D$66='Data Test'!$D$16:$D$75)*('Data Test'!E$16:E$75))</f>
        <v>343</v>
      </c>
      <c r="G78" s="148">
        <f>SUMPRODUCT(($B78='Data Test'!$C$16:$C$75)*($D$66='Data Test'!$D$16:$D$75)*('Data Test'!F$16:F$75))</f>
        <v>24</v>
      </c>
      <c r="H78" s="148">
        <f>SUMPRODUCT(($B78='Data Test'!$C$16:$C$75)*($D$66='Data Test'!$D$16:$D$75)*('Data Test'!G$16:G$75))</f>
        <v>289</v>
      </c>
      <c r="I78" s="148">
        <f>SUMPRODUCT(($B78='Data Test'!$C$16:$C$75)*($D$66='Data Test'!$D$16:$D$75)*('Data Test'!H$16:H$75))</f>
        <v>54</v>
      </c>
      <c r="J78" s="149">
        <f t="shared" si="26"/>
        <v>0.8425655976676385</v>
      </c>
      <c r="K78" s="149">
        <f t="shared" si="27"/>
        <v>0.85750000000000004</v>
      </c>
      <c r="L78" s="149">
        <f t="shared" si="28"/>
        <v>0.91711229946524064</v>
      </c>
    </row>
    <row r="79" spans="2:12" s="132" customFormat="1" x14ac:dyDescent="0.2">
      <c r="B79" s="150">
        <f t="shared" si="25"/>
        <v>40046</v>
      </c>
      <c r="C79" s="18">
        <f t="shared" si="25"/>
        <v>34</v>
      </c>
      <c r="D79" s="151">
        <f t="shared" si="29"/>
        <v>400</v>
      </c>
      <c r="E79" s="151">
        <f>D79</f>
        <v>400</v>
      </c>
      <c r="F79" s="151">
        <f>SUMPRODUCT(($B79='Data Test'!$C$16:$C$75)*($D$66='Data Test'!$D$16:$D$75)*('Data Test'!E$16:E$75))</f>
        <v>400</v>
      </c>
      <c r="G79" s="151">
        <f>SUMPRODUCT(($B79='Data Test'!$C$16:$C$75)*($D$66='Data Test'!$D$16:$D$75)*('Data Test'!F$16:F$75))</f>
        <v>0</v>
      </c>
      <c r="H79" s="151">
        <f>SUMPRODUCT(($B79='Data Test'!$C$16:$C$75)*($D$66='Data Test'!$D$16:$D$75)*('Data Test'!G$16:G$75))</f>
        <v>338</v>
      </c>
      <c r="I79" s="151">
        <f>SUMPRODUCT(($B79='Data Test'!$C$16:$C$75)*($D$66='Data Test'!$D$16:$D$75)*('Data Test'!H$16:H$75))</f>
        <v>62</v>
      </c>
      <c r="J79" s="152">
        <f t="shared" si="26"/>
        <v>0.84499999999999997</v>
      </c>
      <c r="K79" s="152">
        <f t="shared" si="27"/>
        <v>1</v>
      </c>
      <c r="L79" s="152">
        <f t="shared" si="28"/>
        <v>1</v>
      </c>
    </row>
    <row r="80" spans="2:12" s="132" customFormat="1" x14ac:dyDescent="0.2"/>
    <row r="81" spans="2:12" s="132" customFormat="1" x14ac:dyDescent="0.2">
      <c r="D81" s="141" t="s">
        <v>6</v>
      </c>
      <c r="E81" s="143"/>
      <c r="F81" s="143"/>
      <c r="G81" s="143"/>
      <c r="H81" s="143"/>
      <c r="I81" s="143"/>
      <c r="J81" s="143"/>
      <c r="K81" s="143"/>
      <c r="L81" s="153"/>
    </row>
    <row r="82" spans="2:12" s="132" customFormat="1" ht="38.25" x14ac:dyDescent="0.2">
      <c r="B82" s="13" t="str">
        <f>B$7</f>
        <v>Day</v>
      </c>
      <c r="C82" s="13" t="str">
        <f>C$7</f>
        <v>Week</v>
      </c>
      <c r="D82" s="13" t="str">
        <f t="shared" ref="D82:L82" si="30">D$7</f>
        <v># TCs planned total</v>
      </c>
      <c r="E82" s="13" t="str">
        <f t="shared" si="30"/>
        <v># TCs planned actual</v>
      </c>
      <c r="F82" s="13" t="str">
        <f t="shared" si="30"/>
        <v>#TCs finished</v>
      </c>
      <c r="G82" s="13" t="str">
        <f t="shared" si="30"/>
        <v>#TCs not completed</v>
      </c>
      <c r="H82" s="13" t="str">
        <f t="shared" si="30"/>
        <v>#TCs passed</v>
      </c>
      <c r="I82" s="13" t="str">
        <f t="shared" si="30"/>
        <v>#TCs failed</v>
      </c>
      <c r="J82" s="13" t="str">
        <f t="shared" si="30"/>
        <v>Success rate</v>
      </c>
      <c r="K82" s="13" t="str">
        <f t="shared" si="30"/>
        <v>Completion rate</v>
      </c>
      <c r="L82" s="13" t="str">
        <f t="shared" si="30"/>
        <v>Actual in % of plan</v>
      </c>
    </row>
    <row r="83" spans="2:12" s="132" customFormat="1" x14ac:dyDescent="0.2">
      <c r="B83" s="144">
        <f t="shared" ref="B83:C94" si="31">B68</f>
        <v>39969</v>
      </c>
      <c r="C83" s="15">
        <f t="shared" si="31"/>
        <v>23</v>
      </c>
      <c r="D83" s="145">
        <f t="shared" ref="D83:I83" si="32">D8+D23+D38+D53+D68</f>
        <v>2500</v>
      </c>
      <c r="E83" s="145">
        <f t="shared" si="32"/>
        <v>210</v>
      </c>
      <c r="F83" s="145">
        <f t="shared" si="32"/>
        <v>191</v>
      </c>
      <c r="G83" s="145">
        <f t="shared" si="32"/>
        <v>7</v>
      </c>
      <c r="H83" s="145">
        <f t="shared" si="32"/>
        <v>169</v>
      </c>
      <c r="I83" s="145">
        <f t="shared" si="32"/>
        <v>22</v>
      </c>
      <c r="J83" s="146">
        <f>IF(F83&gt;0,H83/F83,0)</f>
        <v>0.88481675392670156</v>
      </c>
      <c r="K83" s="146">
        <f>F83/D83</f>
        <v>7.6399999999999996E-2</v>
      </c>
      <c r="L83" s="146">
        <f>F83/E83</f>
        <v>0.90952380952380951</v>
      </c>
    </row>
    <row r="84" spans="2:12" s="132" customFormat="1" x14ac:dyDescent="0.2">
      <c r="B84" s="147">
        <f t="shared" si="31"/>
        <v>39976</v>
      </c>
      <c r="C84" s="20">
        <f t="shared" si="31"/>
        <v>24</v>
      </c>
      <c r="D84" s="148">
        <f>D83</f>
        <v>2500</v>
      </c>
      <c r="E84" s="148">
        <f t="shared" ref="E84:I94" si="33">E9+E24+E39+E54+E69</f>
        <v>420</v>
      </c>
      <c r="F84" s="148">
        <f t="shared" si="33"/>
        <v>415</v>
      </c>
      <c r="G84" s="148">
        <f t="shared" si="33"/>
        <v>24</v>
      </c>
      <c r="H84" s="148">
        <f t="shared" si="33"/>
        <v>377</v>
      </c>
      <c r="I84" s="148">
        <f t="shared" si="33"/>
        <v>38</v>
      </c>
      <c r="J84" s="149">
        <f t="shared" ref="J84:J94" si="34">IF(F84&gt;0,H84/F84,0)</f>
        <v>0.90843373493975899</v>
      </c>
      <c r="K84" s="149">
        <f t="shared" ref="K84:K94" si="35">F84/D84</f>
        <v>0.16600000000000001</v>
      </c>
      <c r="L84" s="149">
        <f t="shared" ref="L84:L94" si="36">F84/E84</f>
        <v>0.98809523809523814</v>
      </c>
    </row>
    <row r="85" spans="2:12" s="132" customFormat="1" x14ac:dyDescent="0.2">
      <c r="B85" s="147">
        <f t="shared" si="31"/>
        <v>39983</v>
      </c>
      <c r="C85" s="20">
        <f t="shared" si="31"/>
        <v>25</v>
      </c>
      <c r="D85" s="148">
        <f t="shared" ref="D85:D94" si="37">D84</f>
        <v>2500</v>
      </c>
      <c r="E85" s="148">
        <f t="shared" si="33"/>
        <v>630</v>
      </c>
      <c r="F85" s="148">
        <f t="shared" si="33"/>
        <v>624</v>
      </c>
      <c r="G85" s="148">
        <f t="shared" si="33"/>
        <v>28</v>
      </c>
      <c r="H85" s="148">
        <f t="shared" si="33"/>
        <v>550</v>
      </c>
      <c r="I85" s="148">
        <f t="shared" si="33"/>
        <v>74</v>
      </c>
      <c r="J85" s="149">
        <f t="shared" si="34"/>
        <v>0.88141025641025639</v>
      </c>
      <c r="K85" s="149">
        <f t="shared" si="35"/>
        <v>0.24959999999999999</v>
      </c>
      <c r="L85" s="149">
        <f t="shared" si="36"/>
        <v>0.99047619047619051</v>
      </c>
    </row>
    <row r="86" spans="2:12" s="132" customFormat="1" x14ac:dyDescent="0.2">
      <c r="B86" s="147">
        <f t="shared" si="31"/>
        <v>39990</v>
      </c>
      <c r="C86" s="20">
        <f t="shared" si="31"/>
        <v>26</v>
      </c>
      <c r="D86" s="148">
        <f t="shared" si="37"/>
        <v>2500</v>
      </c>
      <c r="E86" s="148">
        <f t="shared" si="33"/>
        <v>840</v>
      </c>
      <c r="F86" s="148">
        <f t="shared" si="33"/>
        <v>808</v>
      </c>
      <c r="G86" s="148">
        <f t="shared" si="33"/>
        <v>46</v>
      </c>
      <c r="H86" s="148">
        <f t="shared" si="33"/>
        <v>710</v>
      </c>
      <c r="I86" s="148">
        <f t="shared" si="33"/>
        <v>98</v>
      </c>
      <c r="J86" s="149">
        <f t="shared" si="34"/>
        <v>0.87871287128712872</v>
      </c>
      <c r="K86" s="149">
        <f t="shared" si="35"/>
        <v>0.32319999999999999</v>
      </c>
      <c r="L86" s="149">
        <f t="shared" si="36"/>
        <v>0.96190476190476193</v>
      </c>
    </row>
    <row r="87" spans="2:12" s="132" customFormat="1" x14ac:dyDescent="0.2">
      <c r="B87" s="147">
        <f t="shared" si="31"/>
        <v>39997</v>
      </c>
      <c r="C87" s="20">
        <f t="shared" si="31"/>
        <v>27</v>
      </c>
      <c r="D87" s="148">
        <f t="shared" si="37"/>
        <v>2500</v>
      </c>
      <c r="E87" s="148">
        <f t="shared" si="33"/>
        <v>1050</v>
      </c>
      <c r="F87" s="148">
        <f t="shared" si="33"/>
        <v>1001</v>
      </c>
      <c r="G87" s="148">
        <f t="shared" si="33"/>
        <v>35</v>
      </c>
      <c r="H87" s="148">
        <f t="shared" si="33"/>
        <v>893</v>
      </c>
      <c r="I87" s="148">
        <f t="shared" si="33"/>
        <v>108</v>
      </c>
      <c r="J87" s="149">
        <f t="shared" si="34"/>
        <v>0.8921078921078921</v>
      </c>
      <c r="K87" s="149">
        <f t="shared" si="35"/>
        <v>0.40039999999999998</v>
      </c>
      <c r="L87" s="149">
        <f t="shared" si="36"/>
        <v>0.95333333333333337</v>
      </c>
    </row>
    <row r="88" spans="2:12" s="132" customFormat="1" x14ac:dyDescent="0.2">
      <c r="B88" s="147">
        <f t="shared" si="31"/>
        <v>40004</v>
      </c>
      <c r="C88" s="20">
        <f t="shared" si="31"/>
        <v>28</v>
      </c>
      <c r="D88" s="148">
        <f t="shared" si="37"/>
        <v>2500</v>
      </c>
      <c r="E88" s="148">
        <f t="shared" si="33"/>
        <v>1260</v>
      </c>
      <c r="F88" s="148">
        <f t="shared" si="33"/>
        <v>1214</v>
      </c>
      <c r="G88" s="148">
        <f t="shared" si="33"/>
        <v>67</v>
      </c>
      <c r="H88" s="148">
        <f t="shared" si="33"/>
        <v>1078</v>
      </c>
      <c r="I88" s="148">
        <f t="shared" si="33"/>
        <v>136</v>
      </c>
      <c r="J88" s="149">
        <f t="shared" si="34"/>
        <v>0.88797364085667219</v>
      </c>
      <c r="K88" s="149">
        <f t="shared" si="35"/>
        <v>0.48559999999999998</v>
      </c>
      <c r="L88" s="149">
        <f t="shared" si="36"/>
        <v>0.96349206349206351</v>
      </c>
    </row>
    <row r="89" spans="2:12" s="132" customFormat="1" x14ac:dyDescent="0.2">
      <c r="B89" s="147">
        <f t="shared" si="31"/>
        <v>40011</v>
      </c>
      <c r="C89" s="20">
        <f t="shared" si="31"/>
        <v>29</v>
      </c>
      <c r="D89" s="148">
        <f t="shared" si="37"/>
        <v>2500</v>
      </c>
      <c r="E89" s="148">
        <f t="shared" si="33"/>
        <v>1470</v>
      </c>
      <c r="F89" s="148">
        <f t="shared" si="33"/>
        <v>1412</v>
      </c>
      <c r="G89" s="148">
        <f t="shared" si="33"/>
        <v>46</v>
      </c>
      <c r="H89" s="148">
        <f t="shared" si="33"/>
        <v>1259</v>
      </c>
      <c r="I89" s="148">
        <f t="shared" si="33"/>
        <v>153</v>
      </c>
      <c r="J89" s="149">
        <f t="shared" si="34"/>
        <v>0.89164305949008493</v>
      </c>
      <c r="K89" s="149">
        <f t="shared" si="35"/>
        <v>0.56479999999999997</v>
      </c>
      <c r="L89" s="149">
        <f t="shared" si="36"/>
        <v>0.96054421768707487</v>
      </c>
    </row>
    <row r="90" spans="2:12" s="132" customFormat="1" x14ac:dyDescent="0.2">
      <c r="B90" s="147">
        <f t="shared" si="31"/>
        <v>40018</v>
      </c>
      <c r="C90" s="20">
        <f t="shared" si="31"/>
        <v>30</v>
      </c>
      <c r="D90" s="148">
        <f t="shared" si="37"/>
        <v>2500</v>
      </c>
      <c r="E90" s="148">
        <f t="shared" si="33"/>
        <v>1680</v>
      </c>
      <c r="F90" s="148">
        <f t="shared" si="33"/>
        <v>1632</v>
      </c>
      <c r="G90" s="148">
        <f t="shared" si="33"/>
        <v>78</v>
      </c>
      <c r="H90" s="148">
        <f t="shared" si="33"/>
        <v>1436</v>
      </c>
      <c r="I90" s="148">
        <f t="shared" si="33"/>
        <v>196</v>
      </c>
      <c r="J90" s="149">
        <f t="shared" si="34"/>
        <v>0.87990196078431371</v>
      </c>
      <c r="K90" s="149">
        <f t="shared" si="35"/>
        <v>0.65280000000000005</v>
      </c>
      <c r="L90" s="149">
        <f t="shared" si="36"/>
        <v>0.97142857142857142</v>
      </c>
    </row>
    <row r="91" spans="2:12" s="132" customFormat="1" x14ac:dyDescent="0.2">
      <c r="B91" s="147">
        <f t="shared" si="31"/>
        <v>40025</v>
      </c>
      <c r="C91" s="20">
        <f t="shared" si="31"/>
        <v>31</v>
      </c>
      <c r="D91" s="148">
        <f t="shared" si="37"/>
        <v>2500</v>
      </c>
      <c r="E91" s="148">
        <f t="shared" si="33"/>
        <v>1890</v>
      </c>
      <c r="F91" s="148">
        <f t="shared" si="33"/>
        <v>1811</v>
      </c>
      <c r="G91" s="148">
        <f t="shared" si="33"/>
        <v>96</v>
      </c>
      <c r="H91" s="148">
        <f t="shared" si="33"/>
        <v>1600</v>
      </c>
      <c r="I91" s="148">
        <f t="shared" si="33"/>
        <v>211</v>
      </c>
      <c r="J91" s="149">
        <f t="shared" si="34"/>
        <v>0.88348978464936501</v>
      </c>
      <c r="K91" s="149">
        <f t="shared" si="35"/>
        <v>0.72440000000000004</v>
      </c>
      <c r="L91" s="149">
        <f t="shared" si="36"/>
        <v>0.95820105820105816</v>
      </c>
    </row>
    <row r="92" spans="2:12" s="132" customFormat="1" x14ac:dyDescent="0.2">
      <c r="B92" s="147">
        <f t="shared" si="31"/>
        <v>40032</v>
      </c>
      <c r="C92" s="20">
        <f t="shared" si="31"/>
        <v>32</v>
      </c>
      <c r="D92" s="148">
        <f t="shared" si="37"/>
        <v>2500</v>
      </c>
      <c r="E92" s="148">
        <f t="shared" si="33"/>
        <v>2100</v>
      </c>
      <c r="F92" s="148">
        <f t="shared" si="33"/>
        <v>2002</v>
      </c>
      <c r="G92" s="148">
        <f t="shared" si="33"/>
        <v>95</v>
      </c>
      <c r="H92" s="148">
        <f t="shared" si="33"/>
        <v>1772</v>
      </c>
      <c r="I92" s="148">
        <f t="shared" si="33"/>
        <v>230</v>
      </c>
      <c r="J92" s="149">
        <f t="shared" si="34"/>
        <v>0.88511488511488512</v>
      </c>
      <c r="K92" s="149">
        <f t="shared" si="35"/>
        <v>0.80079999999999996</v>
      </c>
      <c r="L92" s="149">
        <f t="shared" si="36"/>
        <v>0.95333333333333337</v>
      </c>
    </row>
    <row r="93" spans="2:12" s="132" customFormat="1" x14ac:dyDescent="0.2">
      <c r="B93" s="147">
        <f t="shared" si="31"/>
        <v>40039</v>
      </c>
      <c r="C93" s="20">
        <f t="shared" si="31"/>
        <v>33</v>
      </c>
      <c r="D93" s="148">
        <f t="shared" si="37"/>
        <v>2500</v>
      </c>
      <c r="E93" s="148">
        <f t="shared" si="33"/>
        <v>2310</v>
      </c>
      <c r="F93" s="148">
        <f t="shared" si="33"/>
        <v>2216</v>
      </c>
      <c r="G93" s="148">
        <f t="shared" si="33"/>
        <v>127</v>
      </c>
      <c r="H93" s="148">
        <f t="shared" si="33"/>
        <v>1958</v>
      </c>
      <c r="I93" s="148">
        <f t="shared" si="33"/>
        <v>258</v>
      </c>
      <c r="J93" s="149">
        <f t="shared" si="34"/>
        <v>0.88357400722021662</v>
      </c>
      <c r="K93" s="149">
        <f t="shared" si="35"/>
        <v>0.88639999999999997</v>
      </c>
      <c r="L93" s="149">
        <f t="shared" si="36"/>
        <v>0.95930735930735933</v>
      </c>
    </row>
    <row r="94" spans="2:12" s="132" customFormat="1" x14ac:dyDescent="0.2">
      <c r="B94" s="150">
        <f t="shared" si="31"/>
        <v>40046</v>
      </c>
      <c r="C94" s="18">
        <f t="shared" si="31"/>
        <v>34</v>
      </c>
      <c r="D94" s="151">
        <f t="shared" si="37"/>
        <v>2500</v>
      </c>
      <c r="E94" s="151">
        <f t="shared" si="33"/>
        <v>2500</v>
      </c>
      <c r="F94" s="151">
        <f t="shared" si="33"/>
        <v>2492</v>
      </c>
      <c r="G94" s="151">
        <f t="shared" si="33"/>
        <v>0</v>
      </c>
      <c r="H94" s="151">
        <f t="shared" si="33"/>
        <v>2208</v>
      </c>
      <c r="I94" s="151">
        <f t="shared" si="33"/>
        <v>284</v>
      </c>
      <c r="J94" s="152">
        <f t="shared" si="34"/>
        <v>0.8860353130016051</v>
      </c>
      <c r="K94" s="152">
        <f t="shared" si="35"/>
        <v>0.99680000000000002</v>
      </c>
      <c r="L94" s="152">
        <f t="shared" si="36"/>
        <v>0.99680000000000002</v>
      </c>
    </row>
    <row r="95" spans="2:12" s="132" customFormat="1" x14ac:dyDescent="0.2"/>
    <row r="96" spans="2:12" s="132" customFormat="1" ht="20.100000000000001" customHeight="1" x14ac:dyDescent="0.2">
      <c r="B96" s="138" t="s">
        <v>84</v>
      </c>
      <c r="C96" s="139"/>
      <c r="D96" s="139"/>
      <c r="E96" s="139"/>
      <c r="F96" s="139"/>
      <c r="G96" s="139"/>
      <c r="H96" s="139"/>
      <c r="I96" s="139"/>
      <c r="J96" s="139"/>
      <c r="K96" s="139"/>
      <c r="L96" s="139"/>
    </row>
    <row r="97" spans="2:12" s="132" customFormat="1" x14ac:dyDescent="0.2">
      <c r="L97" s="140"/>
    </row>
    <row r="98" spans="2:12" s="132" customFormat="1" ht="25.5" customHeight="1" x14ac:dyDescent="0.2">
      <c r="C98" s="292" t="s">
        <v>46</v>
      </c>
      <c r="D98" s="292" t="s">
        <v>80</v>
      </c>
      <c r="E98" s="294" t="s">
        <v>47</v>
      </c>
      <c r="F98" s="295"/>
      <c r="G98" s="295"/>
      <c r="H98" s="295"/>
      <c r="I98" s="296"/>
      <c r="J98" s="154" t="s">
        <v>85</v>
      </c>
      <c r="K98" s="155" t="s">
        <v>48</v>
      </c>
      <c r="L98" s="155" t="s">
        <v>83</v>
      </c>
    </row>
    <row r="99" spans="2:12" s="132" customFormat="1" ht="25.5" x14ac:dyDescent="0.2">
      <c r="C99" s="293"/>
      <c r="D99" s="293"/>
      <c r="E99" s="156" t="s">
        <v>49</v>
      </c>
      <c r="F99" s="156" t="s">
        <v>50</v>
      </c>
      <c r="G99" s="156" t="s">
        <v>51</v>
      </c>
      <c r="H99" s="156" t="s">
        <v>52</v>
      </c>
      <c r="I99" s="156" t="s">
        <v>53</v>
      </c>
      <c r="J99" s="157"/>
      <c r="K99" s="158"/>
      <c r="L99" s="158"/>
    </row>
    <row r="100" spans="2:12" s="132" customFormat="1" x14ac:dyDescent="0.2">
      <c r="B100" s="159" t="str">
        <f>'Data Test'!$B$5</f>
        <v>Software Module 1</v>
      </c>
      <c r="C100" s="160">
        <f>IF('Control General'!$C$17,INDEX('Control Test'!D$8:D$19,'Control General'!$C$15,1),0)</f>
        <v>400</v>
      </c>
      <c r="D100" s="160">
        <f>IF('Control General'!$C$17,INDEX('Control Test'!E$8:E$19,'Control General'!$C$15,1),0)</f>
        <v>204</v>
      </c>
      <c r="E100" s="160">
        <f t="shared" ref="E100:E105" si="38">SUM(F100:G100)</f>
        <v>209</v>
      </c>
      <c r="F100" s="160">
        <f>IF('Control General'!$C$17,INDEX('Control Test'!G$8:G$19,'Control General'!$C$15,1),0)</f>
        <v>17</v>
      </c>
      <c r="G100" s="160">
        <f>IF('Control General'!$C$17,INDEX('Control Test'!F$8:F$19,'Control General'!$C$15,1),0)</f>
        <v>192</v>
      </c>
      <c r="H100" s="160">
        <f>IF('Control General'!$C$17,INDEX('Control Test'!H$8:H$19,'Control General'!$C$15,1),0)</f>
        <v>170</v>
      </c>
      <c r="I100" s="160">
        <f>IF('Control General'!$C$17,INDEX('Control Test'!I$8:I$19,'Control General'!$C$15,1),0)</f>
        <v>22</v>
      </c>
      <c r="J100" s="161">
        <f>IF('Control General'!$C$17,INDEX('Control Test'!J$8:J$19,'Control General'!$C$15,1),0)</f>
        <v>0.88541666666666663</v>
      </c>
      <c r="K100" s="161">
        <f>IF('Control General'!$C$17,INDEX('Control Test'!K$8:K$19,'Control General'!$C$15,1),0)</f>
        <v>0.48</v>
      </c>
      <c r="L100" s="161">
        <f>IF('Control General'!$C$17,INDEX('Control Test'!L$8:L$19,'Control General'!$C$15,1),0)</f>
        <v>0.94117647058823528</v>
      </c>
    </row>
    <row r="101" spans="2:12" s="132" customFormat="1" x14ac:dyDescent="0.2">
      <c r="B101" s="162" t="str">
        <f>'Data Test'!$B$6</f>
        <v>Software Module 2</v>
      </c>
      <c r="C101" s="163">
        <f>IF('Control General'!$C$17,INDEX('Control Test'!D$23:D$34,'Control General'!$C$15,1),0)</f>
        <v>300</v>
      </c>
      <c r="D101" s="163">
        <f>IF('Control General'!$C$17,INDEX('Control Test'!E$23:E$34,'Control General'!$C$15,1),0)</f>
        <v>150</v>
      </c>
      <c r="E101" s="163">
        <f t="shared" si="38"/>
        <v>153</v>
      </c>
      <c r="F101" s="163">
        <f>IF('Control General'!$C$17,INDEX('Control Test'!G$23:G$34,'Control General'!$C$15,1),0)</f>
        <v>9</v>
      </c>
      <c r="G101" s="163">
        <f>IF('Control General'!$C$17,INDEX('Control Test'!F$23:F$34,'Control General'!$C$15,1),0)</f>
        <v>144</v>
      </c>
      <c r="H101" s="163">
        <f>IF('Control General'!$C$17,INDEX('Control Test'!H$23:H$34,'Control General'!$C$15,1),0)</f>
        <v>126</v>
      </c>
      <c r="I101" s="163">
        <f>IF('Control General'!$C$17,INDEX('Control Test'!I$23:I$34,'Control General'!$C$15,1),0)</f>
        <v>18</v>
      </c>
      <c r="J101" s="164">
        <f>IF('Control General'!$C$17,INDEX('Control Test'!J$23:J$34,'Control General'!$C$15,1),0)</f>
        <v>0.875</v>
      </c>
      <c r="K101" s="164">
        <f>IF('Control General'!$C$17,INDEX('Control Test'!K$23:K$34,'Control General'!$C$15,1),0)</f>
        <v>0.48</v>
      </c>
      <c r="L101" s="164">
        <f>IF('Control General'!$C$17,INDEX('Control Test'!L$23:L$34,'Control General'!$C$15,1),0)</f>
        <v>0.96</v>
      </c>
    </row>
    <row r="102" spans="2:12" s="132" customFormat="1" x14ac:dyDescent="0.2">
      <c r="B102" s="162" t="str">
        <f>'Data Test'!$B$7</f>
        <v>Software Module 3</v>
      </c>
      <c r="C102" s="163">
        <f>IF('Control General'!$C$17,INDEX('Control Test'!D$38:D$49,'Control General'!$C$15,1),0)</f>
        <v>600</v>
      </c>
      <c r="D102" s="163">
        <f>IF('Control General'!$C$17,INDEX('Control Test'!E$38:E$49,'Control General'!$C$15,1),0)</f>
        <v>300</v>
      </c>
      <c r="E102" s="163">
        <f t="shared" si="38"/>
        <v>298</v>
      </c>
      <c r="F102" s="163">
        <f>IF('Control General'!$C$17,INDEX('Control Test'!G$38:G$49,'Control General'!$C$15,1),0)</f>
        <v>22</v>
      </c>
      <c r="G102" s="163">
        <f>IF('Control General'!$C$17,INDEX('Control Test'!F$38:F$49,'Control General'!$C$15,1),0)</f>
        <v>276</v>
      </c>
      <c r="H102" s="163">
        <f>IF('Control General'!$C$17,INDEX('Control Test'!H$38:H$49,'Control General'!$C$15,1),0)</f>
        <v>254</v>
      </c>
      <c r="I102" s="163">
        <f>IF('Control General'!$C$17,INDEX('Control Test'!I$38:I$49,'Control General'!$C$15,1),0)</f>
        <v>22</v>
      </c>
      <c r="J102" s="164">
        <f>IF('Control General'!$C$17,INDEX('Control Test'!J$38:J$49,'Control General'!$C$15,1),0)</f>
        <v>0.92028985507246375</v>
      </c>
      <c r="K102" s="164">
        <f>IF('Control General'!$C$17,INDEX('Control Test'!K$38:K$49,'Control General'!$C$15,1),0)</f>
        <v>0.46</v>
      </c>
      <c r="L102" s="164">
        <f>IF('Control General'!$C$17,INDEX('Control Test'!L$38:L$49,'Control General'!$C$15,1),0)</f>
        <v>0.92</v>
      </c>
    </row>
    <row r="103" spans="2:12" s="132" customFormat="1" x14ac:dyDescent="0.2">
      <c r="B103" s="162" t="str">
        <f>'Data Test'!$B$8</f>
        <v>Software Module 4</v>
      </c>
      <c r="C103" s="163">
        <f>IF('Control General'!$C$17,INDEX('Control Test'!D$53:D$64,'Control General'!$C$15,1),0)</f>
        <v>800</v>
      </c>
      <c r="D103" s="163">
        <f>IF('Control General'!$C$17,INDEX('Control Test'!E$53:E$64,'Control General'!$C$15,1),0)</f>
        <v>402</v>
      </c>
      <c r="E103" s="163">
        <f t="shared" si="38"/>
        <v>417</v>
      </c>
      <c r="F103" s="163">
        <f>IF('Control General'!$C$17,INDEX('Control Test'!G$53:G$64,'Control General'!$C$15,1),0)</f>
        <v>4</v>
      </c>
      <c r="G103" s="163">
        <f>IF('Control General'!$C$17,INDEX('Control Test'!F$53:F$64,'Control General'!$C$15,1),0)</f>
        <v>413</v>
      </c>
      <c r="H103" s="163">
        <f>IF('Control General'!$C$17,INDEX('Control Test'!H$53:H$64,'Control General'!$C$15,1),0)</f>
        <v>364</v>
      </c>
      <c r="I103" s="163">
        <f>IF('Control General'!$C$17,INDEX('Control Test'!I$53:I$64,'Control General'!$C$15,1),0)</f>
        <v>49</v>
      </c>
      <c r="J103" s="164">
        <f>IF('Control General'!$C$17,INDEX('Control Test'!J$53:J$64,'Control General'!$C$15,1),0)</f>
        <v>0.88135593220338981</v>
      </c>
      <c r="K103" s="164">
        <f>IF('Control General'!$C$17,INDEX('Control Test'!K$53:K$64,'Control General'!$C$15,1),0)</f>
        <v>0.51624999999999999</v>
      </c>
      <c r="L103" s="164">
        <f>IF('Control General'!$C$17,INDEX('Control Test'!L$53:L$64,'Control General'!$C$15,1),0)</f>
        <v>1.027363184079602</v>
      </c>
    </row>
    <row r="104" spans="2:12" s="132" customFormat="1" x14ac:dyDescent="0.2">
      <c r="B104" s="165" t="str">
        <f>'Data Test'!$B$9</f>
        <v>Software Module 5</v>
      </c>
      <c r="C104" s="166">
        <f>IF('Control General'!$C$17,INDEX('Control Test'!D$68:D$79,'Control General'!$C$15,1),0)</f>
        <v>400</v>
      </c>
      <c r="D104" s="166">
        <f>IF('Control General'!$C$17,INDEX('Control Test'!E$68:E$79,'Control General'!$C$15,1),0)</f>
        <v>204</v>
      </c>
      <c r="E104" s="166">
        <f t="shared" si="38"/>
        <v>204</v>
      </c>
      <c r="F104" s="166">
        <f>IF('Control General'!$C$17,INDEX('Control Test'!G$68:G$79,'Control General'!$C$15,1),0)</f>
        <v>15</v>
      </c>
      <c r="G104" s="166">
        <f>IF('Control General'!$C$17,INDEX('Control Test'!F$68:F$79,'Control General'!$C$15,1),0)</f>
        <v>189</v>
      </c>
      <c r="H104" s="166">
        <f>IF('Control General'!$C$17,INDEX('Control Test'!H$68:H$79,'Control General'!$C$15,1),0)</f>
        <v>164</v>
      </c>
      <c r="I104" s="166">
        <f>IF('Control General'!$C$17,INDEX('Control Test'!I$68:I$79,'Control General'!$C$15,1),0)</f>
        <v>25</v>
      </c>
      <c r="J104" s="167">
        <f>IF('Control General'!$C$17,INDEX('Control Test'!J$68:J$79,'Control General'!$C$15,1),0)</f>
        <v>0.86772486772486768</v>
      </c>
      <c r="K104" s="167">
        <f>IF('Control General'!$C$17,INDEX('Control Test'!K$68:K$79,'Control General'!$C$15,1),0)</f>
        <v>0.47249999999999998</v>
      </c>
      <c r="L104" s="167">
        <f>IF('Control General'!$C$17,INDEX('Control Test'!L$68:L$79,'Control General'!$C$15,1),0)</f>
        <v>0.92647058823529416</v>
      </c>
    </row>
    <row r="105" spans="2:12" s="132" customFormat="1" x14ac:dyDescent="0.2">
      <c r="B105" s="168" t="s">
        <v>6</v>
      </c>
      <c r="C105" s="169">
        <f>IF('Control General'!$C$17,INDEX('Control Test'!D$83:D$94,'Control General'!$C$15,1),0)</f>
        <v>2500</v>
      </c>
      <c r="D105" s="169">
        <f>IF('Control General'!$C$17,INDEX('Control Test'!E$83:E$94,'Control General'!$C$15,1),0)</f>
        <v>1260</v>
      </c>
      <c r="E105" s="169">
        <f t="shared" si="38"/>
        <v>1281</v>
      </c>
      <c r="F105" s="169">
        <f>IF('Control General'!$C$17,INDEX('Control Test'!G$83:G$94,'Control General'!$C$15,1),0)</f>
        <v>67</v>
      </c>
      <c r="G105" s="169">
        <f>IF('Control General'!$C$17,INDEX('Control Test'!F$83:F$94,'Control General'!$C$15,1),0)</f>
        <v>1214</v>
      </c>
      <c r="H105" s="169">
        <f>IF('Control General'!$C$17,INDEX('Control Test'!H$83:H$94,'Control General'!$C$15,1),0)</f>
        <v>1078</v>
      </c>
      <c r="I105" s="169">
        <f>IF('Control General'!$C$17,INDEX('Control Test'!I$83:I$94,'Control General'!$C$15,1),0)</f>
        <v>136</v>
      </c>
      <c r="J105" s="170">
        <f>IF('Control General'!$C$17,INDEX('Control Test'!J$83:J$94,'Control General'!$C$15,1),0)</f>
        <v>0.88797364085667219</v>
      </c>
      <c r="K105" s="170">
        <f>IF('Control General'!$C$17,INDEX('Control Test'!K$83:K$94,'Control General'!$C$15,1),0)</f>
        <v>0.48559999999999998</v>
      </c>
      <c r="L105" s="170">
        <f>IF('Control General'!$C$17,INDEX('Control Test'!L$83:L$94,'Control General'!$C$15,1),0)</f>
        <v>0.96349206349206351</v>
      </c>
    </row>
    <row r="106" spans="2:12" s="132" customFormat="1" x14ac:dyDescent="0.2"/>
    <row r="107" spans="2:12" s="132" customFormat="1" ht="20.100000000000001" customHeight="1" x14ac:dyDescent="0.2">
      <c r="B107" s="138" t="s">
        <v>86</v>
      </c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</row>
    <row r="108" spans="2:12" s="132" customFormat="1" x14ac:dyDescent="0.2"/>
    <row r="109" spans="2:12" s="132" customFormat="1" x14ac:dyDescent="0.2">
      <c r="C109" s="13" t="s">
        <v>87</v>
      </c>
      <c r="D109" s="13" t="s">
        <v>88</v>
      </c>
      <c r="E109" s="13" t="s">
        <v>89</v>
      </c>
      <c r="F109" s="13" t="s">
        <v>90</v>
      </c>
      <c r="G109" s="13" t="s">
        <v>91</v>
      </c>
    </row>
    <row r="110" spans="2:12" s="132" customFormat="1" x14ac:dyDescent="0.2">
      <c r="B110" s="159" t="str">
        <f>'Data Test'!$B$5</f>
        <v>Software Module 1</v>
      </c>
      <c r="C110" s="171">
        <f>IF('Control General'!$C$17,J100,0)</f>
        <v>0.88541666666666663</v>
      </c>
      <c r="D110" s="171"/>
      <c r="E110" s="171">
        <f>'Data Test'!$D$11</f>
        <v>0.87</v>
      </c>
      <c r="F110" s="171">
        <v>1</v>
      </c>
      <c r="G110" s="171">
        <v>0</v>
      </c>
    </row>
    <row r="111" spans="2:12" s="132" customFormat="1" x14ac:dyDescent="0.2">
      <c r="B111" s="162" t="str">
        <f>'Data Test'!$B$6</f>
        <v>Software Module 2</v>
      </c>
      <c r="C111" s="172">
        <f>IF('Control General'!$C$17,J101,0)</f>
        <v>0.875</v>
      </c>
      <c r="D111" s="172"/>
      <c r="E111" s="172">
        <f>'Data Test'!$D$11</f>
        <v>0.87</v>
      </c>
      <c r="F111" s="172">
        <v>1</v>
      </c>
      <c r="G111" s="172">
        <v>0</v>
      </c>
    </row>
    <row r="112" spans="2:12" s="132" customFormat="1" x14ac:dyDescent="0.2">
      <c r="B112" s="162" t="str">
        <f>'Data Test'!$B$7</f>
        <v>Software Module 3</v>
      </c>
      <c r="C112" s="172">
        <f>IF('Control General'!$C$17,J102,0)</f>
        <v>0.92028985507246375</v>
      </c>
      <c r="D112" s="172"/>
      <c r="E112" s="172">
        <f>'Data Test'!$D$11</f>
        <v>0.87</v>
      </c>
      <c r="F112" s="172">
        <v>1</v>
      </c>
      <c r="G112" s="172">
        <v>0</v>
      </c>
    </row>
    <row r="113" spans="2:12" s="132" customFormat="1" x14ac:dyDescent="0.2">
      <c r="B113" s="162" t="str">
        <f>'Data Test'!$B$8</f>
        <v>Software Module 4</v>
      </c>
      <c r="C113" s="172">
        <f>IF('Control General'!$C$17,J103,0)</f>
        <v>0.88135593220338981</v>
      </c>
      <c r="D113" s="172"/>
      <c r="E113" s="172">
        <f>'Data Test'!$D$11</f>
        <v>0.87</v>
      </c>
      <c r="F113" s="172">
        <v>1</v>
      </c>
      <c r="G113" s="172">
        <v>0</v>
      </c>
    </row>
    <row r="114" spans="2:12" s="132" customFormat="1" x14ac:dyDescent="0.2">
      <c r="B114" s="165" t="str">
        <f>'Data Test'!$B$9</f>
        <v>Software Module 5</v>
      </c>
      <c r="C114" s="173">
        <f>IF('Control General'!$C$17,J104,0)</f>
        <v>0.86772486772486768</v>
      </c>
      <c r="D114" s="173"/>
      <c r="E114" s="173">
        <f>'Data Test'!$D$11</f>
        <v>0.87</v>
      </c>
      <c r="F114" s="173">
        <v>1</v>
      </c>
      <c r="G114" s="173">
        <v>0</v>
      </c>
    </row>
    <row r="115" spans="2:12" s="132" customFormat="1" x14ac:dyDescent="0.2">
      <c r="B115" s="168" t="s">
        <v>6</v>
      </c>
      <c r="C115" s="174">
        <f>IF('Control General'!$C$17,J105,0)</f>
        <v>0.88797364085667219</v>
      </c>
      <c r="D115" s="174">
        <v>1</v>
      </c>
      <c r="E115" s="174">
        <f>'Data Test'!$D$11</f>
        <v>0.87</v>
      </c>
      <c r="F115" s="174">
        <v>1</v>
      </c>
      <c r="G115" s="174">
        <v>1</v>
      </c>
    </row>
    <row r="116" spans="2:12" s="132" customFormat="1" x14ac:dyDescent="0.2"/>
    <row r="117" spans="2:12" s="132" customFormat="1" ht="20.100000000000001" customHeight="1" x14ac:dyDescent="0.2">
      <c r="B117" s="138" t="s">
        <v>92</v>
      </c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</row>
    <row r="118" spans="2:12" s="132" customFormat="1" x14ac:dyDescent="0.2"/>
    <row r="119" spans="2:12" s="132" customFormat="1" x14ac:dyDescent="0.2">
      <c r="C119" s="13" t="s">
        <v>87</v>
      </c>
      <c r="D119" s="13" t="s">
        <v>88</v>
      </c>
      <c r="E119" s="13" t="s">
        <v>89</v>
      </c>
      <c r="F119" s="13" t="s">
        <v>90</v>
      </c>
      <c r="G119" s="13" t="s">
        <v>91</v>
      </c>
    </row>
    <row r="120" spans="2:12" s="132" customFormat="1" x14ac:dyDescent="0.2">
      <c r="B120" s="159" t="str">
        <f>'Data Test'!$B$5</f>
        <v>Software Module 1</v>
      </c>
      <c r="C120" s="171">
        <f>IF('Control General'!$C$17,L100,0)</f>
        <v>0.94117647058823528</v>
      </c>
      <c r="D120" s="171"/>
      <c r="E120" s="171">
        <v>1</v>
      </c>
      <c r="F120" s="171">
        <f>IF('Control General'!$C$17,$D$125,0)</f>
        <v>1.027363184079602</v>
      </c>
      <c r="G120" s="171">
        <v>0</v>
      </c>
    </row>
    <row r="121" spans="2:12" s="132" customFormat="1" x14ac:dyDescent="0.2">
      <c r="B121" s="162" t="str">
        <f>'Data Test'!$B$6</f>
        <v>Software Module 2</v>
      </c>
      <c r="C121" s="172">
        <f>IF('Control General'!$C$17,L101,0)</f>
        <v>0.96</v>
      </c>
      <c r="D121" s="172"/>
      <c r="E121" s="172">
        <v>1</v>
      </c>
      <c r="F121" s="172">
        <f>IF('Control General'!$C$17,$D$125,0)</f>
        <v>1.027363184079602</v>
      </c>
      <c r="G121" s="172">
        <v>0</v>
      </c>
    </row>
    <row r="122" spans="2:12" s="132" customFormat="1" x14ac:dyDescent="0.2">
      <c r="B122" s="162" t="str">
        <f>'Data Test'!$B$7</f>
        <v>Software Module 3</v>
      </c>
      <c r="C122" s="172">
        <f>IF('Control General'!$C$17,L102,0)</f>
        <v>0.92</v>
      </c>
      <c r="D122" s="172"/>
      <c r="E122" s="172">
        <v>1</v>
      </c>
      <c r="F122" s="172">
        <f>IF('Control General'!$C$17,$D$125,0)</f>
        <v>1.027363184079602</v>
      </c>
      <c r="G122" s="172">
        <v>0</v>
      </c>
    </row>
    <row r="123" spans="2:12" s="132" customFormat="1" x14ac:dyDescent="0.2">
      <c r="B123" s="162" t="str">
        <f>'Data Test'!$B$8</f>
        <v>Software Module 4</v>
      </c>
      <c r="C123" s="172">
        <f>IF('Control General'!$C$17,L103,0)</f>
        <v>1.027363184079602</v>
      </c>
      <c r="D123" s="172"/>
      <c r="E123" s="172">
        <v>1</v>
      </c>
      <c r="F123" s="172">
        <f>IF('Control General'!$C$17,$D$125,0)</f>
        <v>1.027363184079602</v>
      </c>
      <c r="G123" s="172">
        <v>0</v>
      </c>
    </row>
    <row r="124" spans="2:12" s="132" customFormat="1" x14ac:dyDescent="0.2">
      <c r="B124" s="165" t="str">
        <f>'Data Test'!$B$9</f>
        <v>Software Module 5</v>
      </c>
      <c r="C124" s="175">
        <f>IF('Control General'!$C$17,L104,0)</f>
        <v>0.92647058823529416</v>
      </c>
      <c r="D124" s="175"/>
      <c r="E124" s="175">
        <v>1</v>
      </c>
      <c r="F124" s="175">
        <f>IF('Control General'!$C$17,$D$125,0)</f>
        <v>1.027363184079602</v>
      </c>
      <c r="G124" s="175">
        <v>0</v>
      </c>
    </row>
    <row r="125" spans="2:12" s="132" customFormat="1" x14ac:dyDescent="0.2">
      <c r="B125" s="168" t="s">
        <v>6</v>
      </c>
      <c r="C125" s="174">
        <f>IF('Control General'!$C$17,L105,0)</f>
        <v>0.96349206349206351</v>
      </c>
      <c r="D125" s="174">
        <f>MAX(C120:C125,1)</f>
        <v>1.027363184079602</v>
      </c>
      <c r="E125" s="174">
        <v>1</v>
      </c>
      <c r="F125" s="174">
        <f>IF('Control General'!$C$17,$D$125,0)</f>
        <v>1.027363184079602</v>
      </c>
      <c r="G125" s="174">
        <v>1</v>
      </c>
    </row>
    <row r="126" spans="2:12" s="132" customFormat="1" x14ac:dyDescent="0.2"/>
    <row r="127" spans="2:12" s="132" customFormat="1" ht="20.100000000000001" customHeight="1" x14ac:dyDescent="0.2">
      <c r="B127" s="138" t="s">
        <v>93</v>
      </c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</row>
    <row r="128" spans="2:12" s="132" customFormat="1" x14ac:dyDescent="0.2"/>
    <row r="129" spans="2:12" s="132" customFormat="1" ht="25.5" x14ac:dyDescent="0.2">
      <c r="B129" s="13" t="str">
        <f>C82</f>
        <v>Week</v>
      </c>
      <c r="C129" s="13" t="s">
        <v>94</v>
      </c>
      <c r="D129" s="13" t="str">
        <f>F82</f>
        <v>#TCs finished</v>
      </c>
      <c r="E129" s="13" t="s">
        <v>90</v>
      </c>
    </row>
    <row r="130" spans="2:12" s="132" customFormat="1" x14ac:dyDescent="0.2">
      <c r="B130" s="176">
        <f>C83</f>
        <v>23</v>
      </c>
      <c r="C130" s="177">
        <f>IF(AND('Control General'!$C$17,$B130&lt;=myReportWeek),E83,0)</f>
        <v>210</v>
      </c>
      <c r="D130" s="177">
        <f>IF(AND('Control General'!$C$17,$B130&lt;=myReportWeek),F83,0)</f>
        <v>191</v>
      </c>
      <c r="E130" s="178"/>
    </row>
    <row r="131" spans="2:12" s="132" customFormat="1" x14ac:dyDescent="0.2">
      <c r="B131" s="179">
        <f t="shared" ref="B131:B141" si="39">C84</f>
        <v>24</v>
      </c>
      <c r="C131" s="180">
        <f>IF(AND('Control General'!$C$17,$B131&lt;=myReportWeek),E84,0)</f>
        <v>420</v>
      </c>
      <c r="D131" s="180">
        <f>IF(AND('Control General'!$C$17,$B131&lt;=myReportWeek),F84,0)</f>
        <v>415</v>
      </c>
      <c r="E131" s="180"/>
    </row>
    <row r="132" spans="2:12" s="132" customFormat="1" x14ac:dyDescent="0.2">
      <c r="B132" s="179">
        <f t="shared" si="39"/>
        <v>25</v>
      </c>
      <c r="C132" s="180">
        <f>IF(AND('Control General'!$C$17,$B132&lt;=myReportWeek),E85,0)</f>
        <v>630</v>
      </c>
      <c r="D132" s="180">
        <f>IF(AND('Control General'!$C$17,$B132&lt;=myReportWeek),F85,0)</f>
        <v>624</v>
      </c>
      <c r="E132" s="180"/>
    </row>
    <row r="133" spans="2:12" s="132" customFormat="1" x14ac:dyDescent="0.2">
      <c r="B133" s="179">
        <f t="shared" si="39"/>
        <v>26</v>
      </c>
      <c r="C133" s="180">
        <f>IF(AND('Control General'!$C$17,$B133&lt;=myReportWeek),E86,0)</f>
        <v>840</v>
      </c>
      <c r="D133" s="180">
        <f>IF(AND('Control General'!$C$17,$B133&lt;=myReportWeek),F86,0)</f>
        <v>808</v>
      </c>
      <c r="E133" s="180"/>
    </row>
    <row r="134" spans="2:12" s="132" customFormat="1" x14ac:dyDescent="0.2">
      <c r="B134" s="179">
        <f t="shared" si="39"/>
        <v>27</v>
      </c>
      <c r="C134" s="180">
        <f>IF(AND('Control General'!$C$17,$B134&lt;=myReportWeek),E87,0)</f>
        <v>1050</v>
      </c>
      <c r="D134" s="180">
        <f>IF(AND('Control General'!$C$17,$B134&lt;=myReportWeek),F87,0)</f>
        <v>1001</v>
      </c>
      <c r="E134" s="180"/>
    </row>
    <row r="135" spans="2:12" s="132" customFormat="1" x14ac:dyDescent="0.2">
      <c r="B135" s="179">
        <f t="shared" si="39"/>
        <v>28</v>
      </c>
      <c r="C135" s="180">
        <f>IF(AND('Control General'!$C$17,$B135&lt;=myReportWeek),E88,0)</f>
        <v>1260</v>
      </c>
      <c r="D135" s="180">
        <f>IF(AND('Control General'!$C$17,$B135&lt;=myReportWeek),F88,0)</f>
        <v>1214</v>
      </c>
      <c r="E135" s="180"/>
    </row>
    <row r="136" spans="2:12" s="132" customFormat="1" x14ac:dyDescent="0.2">
      <c r="B136" s="179">
        <f t="shared" si="39"/>
        <v>29</v>
      </c>
      <c r="C136" s="180">
        <f>IF(AND('Control General'!$C$17,$B136&lt;=myReportWeek),E89,0)</f>
        <v>0</v>
      </c>
      <c r="D136" s="180">
        <f>IF(AND('Control General'!$C$17,$B136&lt;=myReportWeek),F89,0)</f>
        <v>0</v>
      </c>
      <c r="E136" s="180"/>
    </row>
    <row r="137" spans="2:12" s="132" customFormat="1" x14ac:dyDescent="0.2">
      <c r="B137" s="179">
        <f t="shared" si="39"/>
        <v>30</v>
      </c>
      <c r="C137" s="180">
        <f>IF(AND('Control General'!$C$17,$B137&lt;=myReportWeek),E90,0)</f>
        <v>0</v>
      </c>
      <c r="D137" s="180">
        <f>IF(AND('Control General'!$C$17,$B137&lt;=myReportWeek),F90,0)</f>
        <v>0</v>
      </c>
      <c r="E137" s="180"/>
    </row>
    <row r="138" spans="2:12" s="132" customFormat="1" x14ac:dyDescent="0.2">
      <c r="B138" s="179">
        <f t="shared" si="39"/>
        <v>31</v>
      </c>
      <c r="C138" s="180">
        <f>IF(AND('Control General'!$C$17,$B138&lt;=myReportWeek),E91,0)</f>
        <v>0</v>
      </c>
      <c r="D138" s="180">
        <f>IF(AND('Control General'!$C$17,$B138&lt;=myReportWeek),F91,0)</f>
        <v>0</v>
      </c>
      <c r="E138" s="180"/>
    </row>
    <row r="139" spans="2:12" s="132" customFormat="1" x14ac:dyDescent="0.2">
      <c r="B139" s="179">
        <f t="shared" si="39"/>
        <v>32</v>
      </c>
      <c r="C139" s="180">
        <f>IF(AND('Control General'!$C$17,$B139&lt;=myReportWeek),E92,0)</f>
        <v>0</v>
      </c>
      <c r="D139" s="180">
        <f>IF(AND('Control General'!$C$17,$B139&lt;=myReportWeek),F92,0)</f>
        <v>0</v>
      </c>
      <c r="E139" s="180"/>
    </row>
    <row r="140" spans="2:12" s="132" customFormat="1" x14ac:dyDescent="0.2">
      <c r="B140" s="179">
        <f t="shared" si="39"/>
        <v>33</v>
      </c>
      <c r="C140" s="180">
        <f>IF(AND('Control General'!$C$17,$B140&lt;=myReportWeek),E93,0)</f>
        <v>0</v>
      </c>
      <c r="D140" s="180">
        <f>IF(AND('Control General'!$C$17,$B140&lt;=myReportWeek),F93,0)</f>
        <v>0</v>
      </c>
      <c r="E140" s="180"/>
    </row>
    <row r="141" spans="2:12" s="132" customFormat="1" x14ac:dyDescent="0.2">
      <c r="B141" s="181">
        <f t="shared" si="39"/>
        <v>34</v>
      </c>
      <c r="C141" s="182">
        <f>IF(AND('Control General'!$C$17,$B141&lt;=myReportWeek),E94,0)</f>
        <v>0</v>
      </c>
      <c r="D141" s="182">
        <f>IF(AND('Control General'!$C$17,$B141&lt;=myReportWeek),F94,0)</f>
        <v>0</v>
      </c>
      <c r="E141" s="182">
        <f>MAX(C130:D141)</f>
        <v>1260</v>
      </c>
    </row>
    <row r="142" spans="2:12" s="132" customFormat="1" x14ac:dyDescent="0.2"/>
    <row r="143" spans="2:12" s="132" customFormat="1" ht="20.100000000000001" customHeight="1" x14ac:dyDescent="0.2">
      <c r="B143" s="138" t="s">
        <v>95</v>
      </c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</row>
    <row r="144" spans="2:12" s="132" customFormat="1" x14ac:dyDescent="0.2"/>
    <row r="145" spans="2:6" s="132" customFormat="1" ht="25.5" x14ac:dyDescent="0.2">
      <c r="B145" s="13" t="str">
        <f>C82</f>
        <v>Week</v>
      </c>
      <c r="C145" s="13" t="str">
        <f>H82</f>
        <v>#TCs passed</v>
      </c>
      <c r="D145" s="13" t="s">
        <v>96</v>
      </c>
      <c r="E145" s="13" t="s">
        <v>97</v>
      </c>
      <c r="F145" s="13" t="s">
        <v>90</v>
      </c>
    </row>
    <row r="146" spans="2:6" s="132" customFormat="1" x14ac:dyDescent="0.2">
      <c r="B146" s="176">
        <f>C83</f>
        <v>23</v>
      </c>
      <c r="C146" s="177">
        <f>IF(AND('Control General'!$C$17,$B146&lt;=myReportWeek),H83,0)</f>
        <v>169</v>
      </c>
      <c r="D146" s="178">
        <v>1</v>
      </c>
      <c r="E146" s="177">
        <f>IF('Control General'!$C$17,ROUND('Data Test'!$D$11*E83,0),0)</f>
        <v>183</v>
      </c>
      <c r="F146" s="177"/>
    </row>
    <row r="147" spans="2:6" s="132" customFormat="1" x14ac:dyDescent="0.2">
      <c r="B147" s="179">
        <f t="shared" ref="B147:B157" si="40">C84</f>
        <v>24</v>
      </c>
      <c r="C147" s="180">
        <f>IF(AND('Control General'!$C$17,$B147&lt;=myReportWeek),H84,0)</f>
        <v>377</v>
      </c>
      <c r="D147" s="180">
        <v>2</v>
      </c>
      <c r="E147" s="180">
        <f>IF('Control General'!$C$17,ROUND('Data Test'!$D$11*E84,0),0)</f>
        <v>365</v>
      </c>
      <c r="F147" s="180"/>
    </row>
    <row r="148" spans="2:6" s="132" customFormat="1" x14ac:dyDescent="0.2">
      <c r="B148" s="179">
        <f t="shared" si="40"/>
        <v>25</v>
      </c>
      <c r="C148" s="180">
        <f>IF(AND('Control General'!$C$17,$B148&lt;=myReportWeek),H85,0)</f>
        <v>550</v>
      </c>
      <c r="D148" s="180">
        <v>3</v>
      </c>
      <c r="E148" s="180">
        <f>IF('Control General'!$C$17,ROUND('Data Test'!$D$11*E85,0),0)</f>
        <v>548</v>
      </c>
      <c r="F148" s="180"/>
    </row>
    <row r="149" spans="2:6" s="132" customFormat="1" x14ac:dyDescent="0.2">
      <c r="B149" s="179">
        <f t="shared" si="40"/>
        <v>26</v>
      </c>
      <c r="C149" s="180">
        <f>IF(AND('Control General'!$C$17,$B149&lt;=myReportWeek),H86,0)</f>
        <v>710</v>
      </c>
      <c r="D149" s="180">
        <v>4</v>
      </c>
      <c r="E149" s="180">
        <f>IF('Control General'!$C$17,ROUND('Data Test'!$D$11*E86,0),0)</f>
        <v>731</v>
      </c>
      <c r="F149" s="180"/>
    </row>
    <row r="150" spans="2:6" s="132" customFormat="1" x14ac:dyDescent="0.2">
      <c r="B150" s="179">
        <f t="shared" si="40"/>
        <v>27</v>
      </c>
      <c r="C150" s="180">
        <f>IF(AND('Control General'!$C$17,$B150&lt;=myReportWeek),H87,0)</f>
        <v>893</v>
      </c>
      <c r="D150" s="180">
        <v>5</v>
      </c>
      <c r="E150" s="180">
        <f>IF('Control General'!$C$17,ROUND('Data Test'!$D$11*E87,0),0)</f>
        <v>914</v>
      </c>
      <c r="F150" s="180"/>
    </row>
    <row r="151" spans="2:6" s="132" customFormat="1" x14ac:dyDescent="0.2">
      <c r="B151" s="179">
        <f t="shared" si="40"/>
        <v>28</v>
      </c>
      <c r="C151" s="180">
        <f>IF(AND('Control General'!$C$17,$B151&lt;=myReportWeek),H88,0)</f>
        <v>1078</v>
      </c>
      <c r="D151" s="180">
        <v>6</v>
      </c>
      <c r="E151" s="180">
        <f>IF('Control General'!$C$17,ROUND('Data Test'!$D$11*E88,0),0)</f>
        <v>1096</v>
      </c>
      <c r="F151" s="180"/>
    </row>
    <row r="152" spans="2:6" s="132" customFormat="1" x14ac:dyDescent="0.2">
      <c r="B152" s="179">
        <f t="shared" si="40"/>
        <v>29</v>
      </c>
      <c r="C152" s="180">
        <f>IF(AND('Control General'!$C$17,$B152&lt;=myReportWeek),H89,0)</f>
        <v>0</v>
      </c>
      <c r="D152" s="180">
        <v>7</v>
      </c>
      <c r="E152" s="180">
        <f>IF('Control General'!$C$17,ROUND('Data Test'!$D$11*E89,0),0)</f>
        <v>1279</v>
      </c>
      <c r="F152" s="180"/>
    </row>
    <row r="153" spans="2:6" s="132" customFormat="1" x14ac:dyDescent="0.2">
      <c r="B153" s="179">
        <f t="shared" si="40"/>
        <v>30</v>
      </c>
      <c r="C153" s="180">
        <f>IF(AND('Control General'!$C$17,$B153&lt;=myReportWeek),H90,0)</f>
        <v>0</v>
      </c>
      <c r="D153" s="180">
        <v>8</v>
      </c>
      <c r="E153" s="180">
        <f>IF('Control General'!$C$17,ROUND('Data Test'!$D$11*E90,0),0)</f>
        <v>1462</v>
      </c>
      <c r="F153" s="180"/>
    </row>
    <row r="154" spans="2:6" s="132" customFormat="1" x14ac:dyDescent="0.2">
      <c r="B154" s="179">
        <f t="shared" si="40"/>
        <v>31</v>
      </c>
      <c r="C154" s="180">
        <f>IF(AND('Control General'!$C$17,$B154&lt;=myReportWeek),H91,0)</f>
        <v>0</v>
      </c>
      <c r="D154" s="180">
        <v>9</v>
      </c>
      <c r="E154" s="180">
        <f>IF('Control General'!$C$17,ROUND('Data Test'!$D$11*E91,0),0)</f>
        <v>1644</v>
      </c>
      <c r="F154" s="180"/>
    </row>
    <row r="155" spans="2:6" s="132" customFormat="1" x14ac:dyDescent="0.2">
      <c r="B155" s="179">
        <f t="shared" si="40"/>
        <v>32</v>
      </c>
      <c r="C155" s="180">
        <f>IF(AND('Control General'!$C$17,$B155&lt;=myReportWeek),H92,0)</f>
        <v>0</v>
      </c>
      <c r="D155" s="180">
        <v>10</v>
      </c>
      <c r="E155" s="180">
        <f>IF('Control General'!$C$17,ROUND('Data Test'!$D$11*E92,0),0)</f>
        <v>1827</v>
      </c>
      <c r="F155" s="180"/>
    </row>
    <row r="156" spans="2:6" s="132" customFormat="1" x14ac:dyDescent="0.2">
      <c r="B156" s="179">
        <f t="shared" si="40"/>
        <v>33</v>
      </c>
      <c r="C156" s="180">
        <f>IF(AND('Control General'!$C$17,$B156&lt;=myReportWeek),H93,0)</f>
        <v>0</v>
      </c>
      <c r="D156" s="180">
        <v>11</v>
      </c>
      <c r="E156" s="180">
        <f>IF('Control General'!$C$17,ROUND('Data Test'!$D$11*E93,0),0)</f>
        <v>2010</v>
      </c>
      <c r="F156" s="180"/>
    </row>
    <row r="157" spans="2:6" s="132" customFormat="1" x14ac:dyDescent="0.2">
      <c r="B157" s="181">
        <f t="shared" si="40"/>
        <v>34</v>
      </c>
      <c r="C157" s="182">
        <f>IF(AND('Control General'!$C$17,$B157&lt;=myReportWeek),H94,0)</f>
        <v>0</v>
      </c>
      <c r="D157" s="182">
        <v>12</v>
      </c>
      <c r="E157" s="182">
        <f>IF('Control General'!$C$17,ROUND('Data Test'!$D$11*E94,0),0)</f>
        <v>2175</v>
      </c>
      <c r="F157" s="182">
        <f>MAX(C146:C157,E146:E157)</f>
        <v>2175</v>
      </c>
    </row>
  </sheetData>
  <mergeCells count="3">
    <mergeCell ref="C98:C99"/>
    <mergeCell ref="D98:D99"/>
    <mergeCell ref="E98:I98"/>
  </mergeCells>
  <phoneticPr fontId="18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66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tabColor indexed="8"/>
    <pageSetUpPr fitToPage="1"/>
  </sheetPr>
  <dimension ref="B1:P84"/>
  <sheetViews>
    <sheetView showGridLines="0" zoomScaleNormal="70" zoomScaleSheetLayoutView="55" workbookViewId="0"/>
  </sheetViews>
  <sheetFormatPr defaultColWidth="12.7109375" defaultRowHeight="12.75" x14ac:dyDescent="0.2"/>
  <cols>
    <col min="1" max="1" width="1.7109375" customWidth="1"/>
    <col min="2" max="9" width="15.7109375" customWidth="1"/>
    <col min="10" max="10" width="1.7109375" customWidth="1"/>
    <col min="11" max="16" width="15.7109375" customWidth="1"/>
    <col min="17" max="17" width="1.7109375" customWidth="1"/>
  </cols>
  <sheetData>
    <row r="1" spans="2:16" s="132" customFormat="1" x14ac:dyDescent="0.2"/>
    <row r="2" spans="2:16" s="132" customFormat="1" ht="30" customHeight="1" thickBot="1" x14ac:dyDescent="0.25">
      <c r="B2" s="133" t="s">
        <v>174</v>
      </c>
      <c r="C2" s="134"/>
      <c r="D2" s="134"/>
      <c r="E2" s="134"/>
      <c r="F2" s="134"/>
      <c r="G2" s="134"/>
      <c r="H2" s="134"/>
      <c r="I2" s="134"/>
      <c r="J2" s="135"/>
      <c r="K2" s="135"/>
      <c r="L2" s="135"/>
      <c r="M2" s="135"/>
      <c r="N2" s="135"/>
      <c r="O2" s="135"/>
      <c r="P2" s="135"/>
    </row>
    <row r="3" spans="2:16" s="132" customFormat="1" ht="12.75" customHeight="1" x14ac:dyDescent="0.2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</row>
    <row r="4" spans="2:16" s="132" customFormat="1" ht="20.100000000000001" customHeight="1" x14ac:dyDescent="0.2">
      <c r="B4" s="138" t="s">
        <v>78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s="132" customFormat="1" x14ac:dyDescent="0.2">
      <c r="K5" s="137"/>
      <c r="L5" s="216"/>
      <c r="M5" s="142"/>
      <c r="N5" s="142"/>
      <c r="O5" s="142"/>
      <c r="P5" s="142"/>
    </row>
    <row r="6" spans="2:16" s="132" customFormat="1" x14ac:dyDescent="0.2">
      <c r="D6" s="141" t="s">
        <v>175</v>
      </c>
      <c r="E6" s="143"/>
      <c r="F6" s="142"/>
      <c r="G6" s="143"/>
      <c r="H6" s="143"/>
      <c r="I6" s="153"/>
      <c r="J6" s="217"/>
      <c r="K6" s="141" t="s">
        <v>176</v>
      </c>
      <c r="L6" s="143"/>
      <c r="M6" s="143"/>
      <c r="N6" s="143"/>
      <c r="O6" s="143"/>
      <c r="P6" s="153"/>
    </row>
    <row r="7" spans="2:16" s="132" customFormat="1" ht="38.25" x14ac:dyDescent="0.2">
      <c r="B7" s="12" t="s">
        <v>177</v>
      </c>
      <c r="C7" s="12" t="s">
        <v>3</v>
      </c>
      <c r="D7" s="77" t="s">
        <v>178</v>
      </c>
      <c r="E7" s="77" t="s">
        <v>179</v>
      </c>
      <c r="F7" s="77" t="s">
        <v>180</v>
      </c>
      <c r="G7" s="77" t="s">
        <v>181</v>
      </c>
      <c r="H7" s="77" t="s">
        <v>116</v>
      </c>
      <c r="I7" s="77" t="s">
        <v>117</v>
      </c>
      <c r="J7" s="137"/>
      <c r="K7" s="13" t="s">
        <v>121</v>
      </c>
      <c r="L7" s="13" t="s">
        <v>124</v>
      </c>
      <c r="M7" s="13" t="s">
        <v>131</v>
      </c>
      <c r="N7" s="13" t="s">
        <v>139</v>
      </c>
      <c r="O7" s="13" t="s">
        <v>119</v>
      </c>
      <c r="P7" s="13" t="s">
        <v>127</v>
      </c>
    </row>
    <row r="8" spans="2:16" s="132" customFormat="1" x14ac:dyDescent="0.2"/>
    <row r="9" spans="2:16" s="132" customFormat="1" x14ac:dyDescent="0.2">
      <c r="B9" s="218">
        <f>'Control Defects'!C36+4</f>
        <v>39822</v>
      </c>
      <c r="C9" s="219">
        <f>ROUNDDOWN((B9-DATE(YEAR(B9+MOD(8-WEEKDAY(B9),7)-3),1,1)-3+MOD(WEEKDAY(DATE(YEAR(B9+MOD(8-WEEKDAY(B9),7)-3),1,1))+1,7))/7+1,0)</f>
        <v>2</v>
      </c>
      <c r="D9" s="145">
        <f t="array" ref="D9">SUM(($B9&gt;='Data CRs'!E$6:E$65)*('Data CRs'!E$6:E$65&gt;0))</f>
        <v>0</v>
      </c>
      <c r="E9" s="145">
        <f>D9-F9-H9-I9</f>
        <v>0</v>
      </c>
      <c r="F9" s="145">
        <f t="array" ref="F9">SUM(($B9&gt;='Data CRs'!F$6:F$65)*('Data CRs'!F$6:F$65&gt;0))</f>
        <v>0</v>
      </c>
      <c r="G9" s="145">
        <f t="array" ref="G9">SUM(($B9&gt;='Data CRs'!G$6:G$65)*('Data CRs'!G$6:G$65&gt;0))</f>
        <v>0</v>
      </c>
      <c r="H9" s="145">
        <f t="array" ref="H9">SUM(($B9&gt;='Data CRs'!H$6:H$65)*('Data CRs'!H$6:H$65&gt;0))</f>
        <v>0</v>
      </c>
      <c r="I9" s="145">
        <f t="array" ref="I9">SUM(($B9&gt;='Data CRs'!I$6:I$65)*('Data CRs'!I$6:I$65&gt;0))</f>
        <v>0</v>
      </c>
      <c r="J9" s="137"/>
      <c r="K9" s="145">
        <f t="array" ref="K9">SUM(($B9&gt;='Data CRs'!$E$6:$E$65)*(K$7='Data CRs'!$D$6:$D$65))</f>
        <v>0</v>
      </c>
      <c r="L9" s="145">
        <f t="array" ref="L9">SUM(($B9&gt;='Data CRs'!$E$6:$E$65)*(L$7='Data CRs'!$D$6:$D$65))</f>
        <v>0</v>
      </c>
      <c r="M9" s="145">
        <f t="array" ref="M9">SUM(($B9&gt;='Data CRs'!$E$6:$E$65)*(M$7='Data CRs'!$D$6:$D$65))</f>
        <v>0</v>
      </c>
      <c r="N9" s="145">
        <f t="array" ref="N9">SUM(($B9&gt;='Data CRs'!$E$6:$E$65)*(N$7='Data CRs'!$D$6:$D$65))</f>
        <v>0</v>
      </c>
      <c r="O9" s="145">
        <f t="array" ref="O9">SUM(($B9&gt;='Data CRs'!$E$6:$E$65)*(O$7='Data CRs'!$D$6:$D$65))</f>
        <v>0</v>
      </c>
      <c r="P9" s="145">
        <f t="array" ref="P9">SUM(($B9&gt;='Data CRs'!$E$6:$E$65)*(P$7='Data CRs'!$D$6:$D$65))</f>
        <v>0</v>
      </c>
    </row>
    <row r="10" spans="2:16" s="132" customFormat="1" x14ac:dyDescent="0.2">
      <c r="B10" s="220">
        <f>B9+7</f>
        <v>39829</v>
      </c>
      <c r="C10" s="221">
        <f t="shared" ref="C10:C60" si="0">ROUNDDOWN((B10-DATE(YEAR(B10+MOD(8-WEEKDAY(B10),7)-3),1,1)-3+MOD(WEEKDAY(DATE(YEAR(B10+MOD(8-WEEKDAY(B10),7)-3),1,1))+1,7))/7+1,0)</f>
        <v>3</v>
      </c>
      <c r="D10" s="148">
        <f t="array" ref="D10">SUM(($B10&gt;='Data CRs'!E$6:E$65)*('Data CRs'!E$6:E$65&gt;0))</f>
        <v>0</v>
      </c>
      <c r="E10" s="148">
        <f t="shared" ref="E10:E60" si="1">D10-F10-H10-I10</f>
        <v>0</v>
      </c>
      <c r="F10" s="148">
        <f t="array" ref="F10">SUM(($B10&gt;='Data CRs'!F$6:F$65)*('Data CRs'!F$6:F$65&gt;0))</f>
        <v>0</v>
      </c>
      <c r="G10" s="148">
        <f t="array" ref="G10">SUM(($B10&gt;='Data CRs'!G$6:G$65)*('Data CRs'!G$6:G$65&gt;0))</f>
        <v>0</v>
      </c>
      <c r="H10" s="148">
        <f t="array" ref="H10">SUM(($B10&gt;='Data CRs'!H$6:H$65)*('Data CRs'!H$6:H$65&gt;0))</f>
        <v>0</v>
      </c>
      <c r="I10" s="148">
        <f t="array" ref="I10">SUM(($B10&gt;='Data CRs'!I$6:I$65)*('Data CRs'!I$6:I$65&gt;0))</f>
        <v>0</v>
      </c>
      <c r="J10" s="137"/>
      <c r="K10" s="148">
        <f t="array" ref="K10">SUM(($B10&gt;='Data CRs'!$E$6:$E$65)*(K$7='Data CRs'!$D$6:$D$65))</f>
        <v>0</v>
      </c>
      <c r="L10" s="148">
        <f t="array" ref="L10">SUM(($B10&gt;='Data CRs'!$E$6:$E$65)*(L$7='Data CRs'!$D$6:$D$65))</f>
        <v>0</v>
      </c>
      <c r="M10" s="148">
        <f t="array" ref="M10">SUM(($B10&gt;='Data CRs'!$E$6:$E$65)*(M$7='Data CRs'!$D$6:$D$65))</f>
        <v>0</v>
      </c>
      <c r="N10" s="148">
        <f t="array" ref="N10">SUM(($B10&gt;='Data CRs'!$E$6:$E$65)*(N$7='Data CRs'!$D$6:$D$65))</f>
        <v>0</v>
      </c>
      <c r="O10" s="148">
        <f t="array" ref="O10">SUM(($B10&gt;='Data CRs'!$E$6:$E$65)*(O$7='Data CRs'!$D$6:$D$65))</f>
        <v>0</v>
      </c>
      <c r="P10" s="148">
        <f t="array" ref="P10">SUM(($B10&gt;='Data CRs'!$E$6:$E$65)*(P$7='Data CRs'!$D$6:$D$65))</f>
        <v>0</v>
      </c>
    </row>
    <row r="11" spans="2:16" s="132" customFormat="1" x14ac:dyDescent="0.2">
      <c r="B11" s="220">
        <f t="shared" ref="B11:B60" si="2">B10+7</f>
        <v>39836</v>
      </c>
      <c r="C11" s="221">
        <f t="shared" si="0"/>
        <v>4</v>
      </c>
      <c r="D11" s="148">
        <f t="array" ref="D11">SUM(($B11&gt;='Data CRs'!E$6:E$65)*('Data CRs'!E$6:E$65&gt;0))</f>
        <v>0</v>
      </c>
      <c r="E11" s="148">
        <f t="shared" si="1"/>
        <v>0</v>
      </c>
      <c r="F11" s="148">
        <f t="array" ref="F11">SUM(($B11&gt;='Data CRs'!F$6:F$65)*('Data CRs'!F$6:F$65&gt;0))</f>
        <v>0</v>
      </c>
      <c r="G11" s="148">
        <f t="array" ref="G11">SUM(($B11&gt;='Data CRs'!G$6:G$65)*('Data CRs'!G$6:G$65&gt;0))</f>
        <v>0</v>
      </c>
      <c r="H11" s="148">
        <f t="array" ref="H11">SUM(($B11&gt;='Data CRs'!H$6:H$65)*('Data CRs'!H$6:H$65&gt;0))</f>
        <v>0</v>
      </c>
      <c r="I11" s="148">
        <f t="array" ref="I11">SUM(($B11&gt;='Data CRs'!I$6:I$65)*('Data CRs'!I$6:I$65&gt;0))</f>
        <v>0</v>
      </c>
      <c r="J11" s="137"/>
      <c r="K11" s="148">
        <f t="array" ref="K11">SUM(($B11&gt;='Data CRs'!$E$6:$E$65)*(K$7='Data CRs'!$D$6:$D$65))</f>
        <v>0</v>
      </c>
      <c r="L11" s="148">
        <f t="array" ref="L11">SUM(($B11&gt;='Data CRs'!$E$6:$E$65)*(L$7='Data CRs'!$D$6:$D$65))</f>
        <v>0</v>
      </c>
      <c r="M11" s="148">
        <f t="array" ref="M11">SUM(($B11&gt;='Data CRs'!$E$6:$E$65)*(M$7='Data CRs'!$D$6:$D$65))</f>
        <v>0</v>
      </c>
      <c r="N11" s="148">
        <f t="array" ref="N11">SUM(($B11&gt;='Data CRs'!$E$6:$E$65)*(N$7='Data CRs'!$D$6:$D$65))</f>
        <v>0</v>
      </c>
      <c r="O11" s="148">
        <f t="array" ref="O11">SUM(($B11&gt;='Data CRs'!$E$6:$E$65)*(O$7='Data CRs'!$D$6:$D$65))</f>
        <v>0</v>
      </c>
      <c r="P11" s="148">
        <f t="array" ref="P11">SUM(($B11&gt;='Data CRs'!$E$6:$E$65)*(P$7='Data CRs'!$D$6:$D$65))</f>
        <v>0</v>
      </c>
    </row>
    <row r="12" spans="2:16" s="132" customFormat="1" x14ac:dyDescent="0.2">
      <c r="B12" s="220">
        <f t="shared" si="2"/>
        <v>39843</v>
      </c>
      <c r="C12" s="221">
        <f t="shared" si="0"/>
        <v>5</v>
      </c>
      <c r="D12" s="148">
        <f t="array" ref="D12">SUM(($B12&gt;='Data CRs'!E$6:E$65)*('Data CRs'!E$6:E$65&gt;0))</f>
        <v>0</v>
      </c>
      <c r="E12" s="148">
        <f t="shared" si="1"/>
        <v>0</v>
      </c>
      <c r="F12" s="148">
        <f t="array" ref="F12">SUM(($B12&gt;='Data CRs'!F$6:F$65)*('Data CRs'!F$6:F$65&gt;0))</f>
        <v>0</v>
      </c>
      <c r="G12" s="148">
        <f t="array" ref="G12">SUM(($B12&gt;='Data CRs'!G$6:G$65)*('Data CRs'!G$6:G$65&gt;0))</f>
        <v>0</v>
      </c>
      <c r="H12" s="148">
        <f t="array" ref="H12">SUM(($B12&gt;='Data CRs'!H$6:H$65)*('Data CRs'!H$6:H$65&gt;0))</f>
        <v>0</v>
      </c>
      <c r="I12" s="148">
        <f t="array" ref="I12">SUM(($B12&gt;='Data CRs'!I$6:I$65)*('Data CRs'!I$6:I$65&gt;0))</f>
        <v>0</v>
      </c>
      <c r="J12" s="137"/>
      <c r="K12" s="148">
        <f t="array" ref="K12">SUM(($B12&gt;='Data CRs'!$E$6:$E$65)*(K$7='Data CRs'!$D$6:$D$65))</f>
        <v>0</v>
      </c>
      <c r="L12" s="148">
        <f t="array" ref="L12">SUM(($B12&gt;='Data CRs'!$E$6:$E$65)*(L$7='Data CRs'!$D$6:$D$65))</f>
        <v>0</v>
      </c>
      <c r="M12" s="148">
        <f t="array" ref="M12">SUM(($B12&gt;='Data CRs'!$E$6:$E$65)*(M$7='Data CRs'!$D$6:$D$65))</f>
        <v>0</v>
      </c>
      <c r="N12" s="148">
        <f t="array" ref="N12">SUM(($B12&gt;='Data CRs'!$E$6:$E$65)*(N$7='Data CRs'!$D$6:$D$65))</f>
        <v>0</v>
      </c>
      <c r="O12" s="148">
        <f t="array" ref="O12">SUM(($B12&gt;='Data CRs'!$E$6:$E$65)*(O$7='Data CRs'!$D$6:$D$65))</f>
        <v>0</v>
      </c>
      <c r="P12" s="148">
        <f t="array" ref="P12">SUM(($B12&gt;='Data CRs'!$E$6:$E$65)*(P$7='Data CRs'!$D$6:$D$65))</f>
        <v>0</v>
      </c>
    </row>
    <row r="13" spans="2:16" s="132" customFormat="1" x14ac:dyDescent="0.2">
      <c r="B13" s="220">
        <f t="shared" si="2"/>
        <v>39850</v>
      </c>
      <c r="C13" s="221">
        <f t="shared" si="0"/>
        <v>6</v>
      </c>
      <c r="D13" s="148">
        <f t="array" ref="D13">SUM(($B13&gt;='Data CRs'!E$6:E$65)*('Data CRs'!E$6:E$65&gt;0))</f>
        <v>1</v>
      </c>
      <c r="E13" s="148">
        <f t="shared" si="1"/>
        <v>1</v>
      </c>
      <c r="F13" s="148">
        <f t="array" ref="F13">SUM(($B13&gt;='Data CRs'!F$6:F$65)*('Data CRs'!F$6:F$65&gt;0))</f>
        <v>0</v>
      </c>
      <c r="G13" s="148">
        <f t="array" ref="G13">SUM(($B13&gt;='Data CRs'!G$6:G$65)*('Data CRs'!G$6:G$65&gt;0))</f>
        <v>0</v>
      </c>
      <c r="H13" s="148">
        <f t="array" ref="H13">SUM(($B13&gt;='Data CRs'!H$6:H$65)*('Data CRs'!H$6:H$65&gt;0))</f>
        <v>0</v>
      </c>
      <c r="I13" s="148">
        <f t="array" ref="I13">SUM(($B13&gt;='Data CRs'!I$6:I$65)*('Data CRs'!I$6:I$65&gt;0))</f>
        <v>0</v>
      </c>
      <c r="J13" s="137"/>
      <c r="K13" s="148">
        <f t="array" ref="K13">SUM(($B13&gt;='Data CRs'!$E$6:$E$65)*(K$7='Data CRs'!$D$6:$D$65))</f>
        <v>0</v>
      </c>
      <c r="L13" s="148">
        <f t="array" ref="L13">SUM(($B13&gt;='Data CRs'!$E$6:$E$65)*(L$7='Data CRs'!$D$6:$D$65))</f>
        <v>0</v>
      </c>
      <c r="M13" s="148">
        <f t="array" ref="M13">SUM(($B13&gt;='Data CRs'!$E$6:$E$65)*(M$7='Data CRs'!$D$6:$D$65))</f>
        <v>0</v>
      </c>
      <c r="N13" s="148">
        <f t="array" ref="N13">SUM(($B13&gt;='Data CRs'!$E$6:$E$65)*(N$7='Data CRs'!$D$6:$D$65))</f>
        <v>0</v>
      </c>
      <c r="O13" s="148">
        <f t="array" ref="O13">SUM(($B13&gt;='Data CRs'!$E$6:$E$65)*(O$7='Data CRs'!$D$6:$D$65))</f>
        <v>1</v>
      </c>
      <c r="P13" s="148">
        <f t="array" ref="P13">SUM(($B13&gt;='Data CRs'!$E$6:$E$65)*(P$7='Data CRs'!$D$6:$D$65))</f>
        <v>0</v>
      </c>
    </row>
    <row r="14" spans="2:16" s="132" customFormat="1" x14ac:dyDescent="0.2">
      <c r="B14" s="220">
        <f t="shared" si="2"/>
        <v>39857</v>
      </c>
      <c r="C14" s="221">
        <f t="shared" si="0"/>
        <v>7</v>
      </c>
      <c r="D14" s="148">
        <f t="array" ref="D14">SUM(($B14&gt;='Data CRs'!E$6:E$65)*('Data CRs'!E$6:E$65&gt;0))</f>
        <v>2</v>
      </c>
      <c r="E14" s="148">
        <f t="shared" si="1"/>
        <v>1</v>
      </c>
      <c r="F14" s="148">
        <f t="array" ref="F14">SUM(($B14&gt;='Data CRs'!F$6:F$65)*('Data CRs'!F$6:F$65&gt;0))</f>
        <v>1</v>
      </c>
      <c r="G14" s="148">
        <f t="array" ref="G14">SUM(($B14&gt;='Data CRs'!G$6:G$65)*('Data CRs'!G$6:G$65&gt;0))</f>
        <v>0</v>
      </c>
      <c r="H14" s="148">
        <f t="array" ref="H14">SUM(($B14&gt;='Data CRs'!H$6:H$65)*('Data CRs'!H$6:H$65&gt;0))</f>
        <v>0</v>
      </c>
      <c r="I14" s="148">
        <f t="array" ref="I14">SUM(($B14&gt;='Data CRs'!I$6:I$65)*('Data CRs'!I$6:I$65&gt;0))</f>
        <v>0</v>
      </c>
      <c r="J14" s="137"/>
      <c r="K14" s="148">
        <f t="array" ref="K14">SUM(($B14&gt;='Data CRs'!$E$6:$E$65)*(K$7='Data CRs'!$D$6:$D$65))</f>
        <v>1</v>
      </c>
      <c r="L14" s="148">
        <f t="array" ref="L14">SUM(($B14&gt;='Data CRs'!$E$6:$E$65)*(L$7='Data CRs'!$D$6:$D$65))</f>
        <v>0</v>
      </c>
      <c r="M14" s="148">
        <f t="array" ref="M14">SUM(($B14&gt;='Data CRs'!$E$6:$E$65)*(M$7='Data CRs'!$D$6:$D$65))</f>
        <v>0</v>
      </c>
      <c r="N14" s="148">
        <f t="array" ref="N14">SUM(($B14&gt;='Data CRs'!$E$6:$E$65)*(N$7='Data CRs'!$D$6:$D$65))</f>
        <v>0</v>
      </c>
      <c r="O14" s="148">
        <f t="array" ref="O14">SUM(($B14&gt;='Data CRs'!$E$6:$E$65)*(O$7='Data CRs'!$D$6:$D$65))</f>
        <v>1</v>
      </c>
      <c r="P14" s="148">
        <f t="array" ref="P14">SUM(($B14&gt;='Data CRs'!$E$6:$E$65)*(P$7='Data CRs'!$D$6:$D$65))</f>
        <v>0</v>
      </c>
    </row>
    <row r="15" spans="2:16" s="132" customFormat="1" x14ac:dyDescent="0.2">
      <c r="B15" s="220">
        <f t="shared" si="2"/>
        <v>39864</v>
      </c>
      <c r="C15" s="221">
        <f t="shared" si="0"/>
        <v>8</v>
      </c>
      <c r="D15" s="148">
        <f t="array" ref="D15">SUM(($B15&gt;='Data CRs'!E$6:E$65)*('Data CRs'!E$6:E$65&gt;0))</f>
        <v>3</v>
      </c>
      <c r="E15" s="148">
        <f t="shared" si="1"/>
        <v>1</v>
      </c>
      <c r="F15" s="148">
        <f t="array" ref="F15">SUM(($B15&gt;='Data CRs'!F$6:F$65)*('Data CRs'!F$6:F$65&gt;0))</f>
        <v>2</v>
      </c>
      <c r="G15" s="148">
        <f t="array" ref="G15">SUM(($B15&gt;='Data CRs'!G$6:G$65)*('Data CRs'!G$6:G$65&gt;0))</f>
        <v>0</v>
      </c>
      <c r="H15" s="148">
        <f t="array" ref="H15">SUM(($B15&gt;='Data CRs'!H$6:H$65)*('Data CRs'!H$6:H$65&gt;0))</f>
        <v>0</v>
      </c>
      <c r="I15" s="148">
        <f t="array" ref="I15">SUM(($B15&gt;='Data CRs'!I$6:I$65)*('Data CRs'!I$6:I$65&gt;0))</f>
        <v>0</v>
      </c>
      <c r="J15" s="137"/>
      <c r="K15" s="148">
        <f t="array" ref="K15">SUM(($B15&gt;='Data CRs'!$E$6:$E$65)*(K$7='Data CRs'!$D$6:$D$65))</f>
        <v>2</v>
      </c>
      <c r="L15" s="148">
        <f t="array" ref="L15">SUM(($B15&gt;='Data CRs'!$E$6:$E$65)*(L$7='Data CRs'!$D$6:$D$65))</f>
        <v>0</v>
      </c>
      <c r="M15" s="148">
        <f t="array" ref="M15">SUM(($B15&gt;='Data CRs'!$E$6:$E$65)*(M$7='Data CRs'!$D$6:$D$65))</f>
        <v>0</v>
      </c>
      <c r="N15" s="148">
        <f t="array" ref="N15">SUM(($B15&gt;='Data CRs'!$E$6:$E$65)*(N$7='Data CRs'!$D$6:$D$65))</f>
        <v>0</v>
      </c>
      <c r="O15" s="148">
        <f t="array" ref="O15">SUM(($B15&gt;='Data CRs'!$E$6:$E$65)*(O$7='Data CRs'!$D$6:$D$65))</f>
        <v>1</v>
      </c>
      <c r="P15" s="148">
        <f t="array" ref="P15">SUM(($B15&gt;='Data CRs'!$E$6:$E$65)*(P$7='Data CRs'!$D$6:$D$65))</f>
        <v>0</v>
      </c>
    </row>
    <row r="16" spans="2:16" s="132" customFormat="1" x14ac:dyDescent="0.2">
      <c r="B16" s="220">
        <f t="shared" si="2"/>
        <v>39871</v>
      </c>
      <c r="C16" s="221">
        <f t="shared" si="0"/>
        <v>9</v>
      </c>
      <c r="D16" s="148">
        <f t="array" ref="D16">SUM(($B16&gt;='Data CRs'!E$6:E$65)*('Data CRs'!E$6:E$65&gt;0))</f>
        <v>3</v>
      </c>
      <c r="E16" s="148">
        <f t="shared" si="1"/>
        <v>1</v>
      </c>
      <c r="F16" s="148">
        <f t="array" ref="F16">SUM(($B16&gt;='Data CRs'!F$6:F$65)*('Data CRs'!F$6:F$65&gt;0))</f>
        <v>2</v>
      </c>
      <c r="G16" s="148">
        <f t="array" ref="G16">SUM(($B16&gt;='Data CRs'!G$6:G$65)*('Data CRs'!G$6:G$65&gt;0))</f>
        <v>0</v>
      </c>
      <c r="H16" s="148">
        <f t="array" ref="H16">SUM(($B16&gt;='Data CRs'!H$6:H$65)*('Data CRs'!H$6:H$65&gt;0))</f>
        <v>0</v>
      </c>
      <c r="I16" s="148">
        <f t="array" ref="I16">SUM(($B16&gt;='Data CRs'!I$6:I$65)*('Data CRs'!I$6:I$65&gt;0))</f>
        <v>0</v>
      </c>
      <c r="J16" s="137"/>
      <c r="K16" s="148">
        <f t="array" ref="K16">SUM(($B16&gt;='Data CRs'!$E$6:$E$65)*(K$7='Data CRs'!$D$6:$D$65))</f>
        <v>2</v>
      </c>
      <c r="L16" s="148">
        <f t="array" ref="L16">SUM(($B16&gt;='Data CRs'!$E$6:$E$65)*(L$7='Data CRs'!$D$6:$D$65))</f>
        <v>0</v>
      </c>
      <c r="M16" s="148">
        <f t="array" ref="M16">SUM(($B16&gt;='Data CRs'!$E$6:$E$65)*(M$7='Data CRs'!$D$6:$D$65))</f>
        <v>0</v>
      </c>
      <c r="N16" s="148">
        <f t="array" ref="N16">SUM(($B16&gt;='Data CRs'!$E$6:$E$65)*(N$7='Data CRs'!$D$6:$D$65))</f>
        <v>0</v>
      </c>
      <c r="O16" s="148">
        <f t="array" ref="O16">SUM(($B16&gt;='Data CRs'!$E$6:$E$65)*(O$7='Data CRs'!$D$6:$D$65))</f>
        <v>1</v>
      </c>
      <c r="P16" s="148">
        <f t="array" ref="P16">SUM(($B16&gt;='Data CRs'!$E$6:$E$65)*(P$7='Data CRs'!$D$6:$D$65))</f>
        <v>0</v>
      </c>
    </row>
    <row r="17" spans="2:16" s="132" customFormat="1" x14ac:dyDescent="0.2">
      <c r="B17" s="220">
        <f t="shared" si="2"/>
        <v>39878</v>
      </c>
      <c r="C17" s="221">
        <f t="shared" si="0"/>
        <v>10</v>
      </c>
      <c r="D17" s="148">
        <f t="array" ref="D17">SUM(($B17&gt;='Data CRs'!E$6:E$65)*('Data CRs'!E$6:E$65&gt;0))</f>
        <v>5</v>
      </c>
      <c r="E17" s="148">
        <f t="shared" si="1"/>
        <v>2</v>
      </c>
      <c r="F17" s="148">
        <f t="array" ref="F17">SUM(($B17&gt;='Data CRs'!F$6:F$65)*('Data CRs'!F$6:F$65&gt;0))</f>
        <v>3</v>
      </c>
      <c r="G17" s="148">
        <f t="array" ref="G17">SUM(($B17&gt;='Data CRs'!G$6:G$65)*('Data CRs'!G$6:G$65&gt;0))</f>
        <v>2</v>
      </c>
      <c r="H17" s="148">
        <f t="array" ref="H17">SUM(($B17&gt;='Data CRs'!H$6:H$65)*('Data CRs'!H$6:H$65&gt;0))</f>
        <v>0</v>
      </c>
      <c r="I17" s="148">
        <f t="array" ref="I17">SUM(($B17&gt;='Data CRs'!I$6:I$65)*('Data CRs'!I$6:I$65&gt;0))</f>
        <v>0</v>
      </c>
      <c r="J17" s="137"/>
      <c r="K17" s="148">
        <f t="array" ref="K17">SUM(($B17&gt;='Data CRs'!$E$6:$E$65)*(K$7='Data CRs'!$D$6:$D$65))</f>
        <v>3</v>
      </c>
      <c r="L17" s="148">
        <f t="array" ref="L17">SUM(($B17&gt;='Data CRs'!$E$6:$E$65)*(L$7='Data CRs'!$D$6:$D$65))</f>
        <v>1</v>
      </c>
      <c r="M17" s="148">
        <f t="array" ref="M17">SUM(($B17&gt;='Data CRs'!$E$6:$E$65)*(M$7='Data CRs'!$D$6:$D$65))</f>
        <v>0</v>
      </c>
      <c r="N17" s="148">
        <f t="array" ref="N17">SUM(($B17&gt;='Data CRs'!$E$6:$E$65)*(N$7='Data CRs'!$D$6:$D$65))</f>
        <v>0</v>
      </c>
      <c r="O17" s="148">
        <f t="array" ref="O17">SUM(($B17&gt;='Data CRs'!$E$6:$E$65)*(O$7='Data CRs'!$D$6:$D$65))</f>
        <v>1</v>
      </c>
      <c r="P17" s="148">
        <f t="array" ref="P17">SUM(($B17&gt;='Data CRs'!$E$6:$E$65)*(P$7='Data CRs'!$D$6:$D$65))</f>
        <v>0</v>
      </c>
    </row>
    <row r="18" spans="2:16" s="132" customFormat="1" x14ac:dyDescent="0.2">
      <c r="B18" s="220">
        <f t="shared" si="2"/>
        <v>39885</v>
      </c>
      <c r="C18" s="221">
        <f t="shared" si="0"/>
        <v>11</v>
      </c>
      <c r="D18" s="148">
        <f t="array" ref="D18">SUM(($B18&gt;='Data CRs'!E$6:E$65)*('Data CRs'!E$6:E$65&gt;0))</f>
        <v>5</v>
      </c>
      <c r="E18" s="148">
        <f t="shared" si="1"/>
        <v>1</v>
      </c>
      <c r="F18" s="148">
        <f t="array" ref="F18">SUM(($B18&gt;='Data CRs'!F$6:F$65)*('Data CRs'!F$6:F$65&gt;0))</f>
        <v>3</v>
      </c>
      <c r="G18" s="148">
        <f t="array" ref="G18">SUM(($B18&gt;='Data CRs'!G$6:G$65)*('Data CRs'!G$6:G$65&gt;0))</f>
        <v>2</v>
      </c>
      <c r="H18" s="148">
        <f t="array" ref="H18">SUM(($B18&gt;='Data CRs'!H$6:H$65)*('Data CRs'!H$6:H$65&gt;0))</f>
        <v>1</v>
      </c>
      <c r="I18" s="148">
        <f t="array" ref="I18">SUM(($B18&gt;='Data CRs'!I$6:I$65)*('Data CRs'!I$6:I$65&gt;0))</f>
        <v>0</v>
      </c>
      <c r="J18" s="137"/>
      <c r="K18" s="148">
        <f t="array" ref="K18">SUM(($B18&gt;='Data CRs'!$E$6:$E$65)*(K$7='Data CRs'!$D$6:$D$65))</f>
        <v>3</v>
      </c>
      <c r="L18" s="148">
        <f t="array" ref="L18">SUM(($B18&gt;='Data CRs'!$E$6:$E$65)*(L$7='Data CRs'!$D$6:$D$65))</f>
        <v>1</v>
      </c>
      <c r="M18" s="148">
        <f t="array" ref="M18">SUM(($B18&gt;='Data CRs'!$E$6:$E$65)*(M$7='Data CRs'!$D$6:$D$65))</f>
        <v>0</v>
      </c>
      <c r="N18" s="148">
        <f t="array" ref="N18">SUM(($B18&gt;='Data CRs'!$E$6:$E$65)*(N$7='Data CRs'!$D$6:$D$65))</f>
        <v>0</v>
      </c>
      <c r="O18" s="148">
        <f t="array" ref="O18">SUM(($B18&gt;='Data CRs'!$E$6:$E$65)*(O$7='Data CRs'!$D$6:$D$65))</f>
        <v>1</v>
      </c>
      <c r="P18" s="148">
        <f t="array" ref="P18">SUM(($B18&gt;='Data CRs'!$E$6:$E$65)*(P$7='Data CRs'!$D$6:$D$65))</f>
        <v>0</v>
      </c>
    </row>
    <row r="19" spans="2:16" s="132" customFormat="1" x14ac:dyDescent="0.2">
      <c r="B19" s="220">
        <f t="shared" si="2"/>
        <v>39892</v>
      </c>
      <c r="C19" s="221">
        <f t="shared" si="0"/>
        <v>12</v>
      </c>
      <c r="D19" s="148">
        <f t="array" ref="D19">SUM(($B19&gt;='Data CRs'!E$6:E$65)*('Data CRs'!E$6:E$65&gt;0))</f>
        <v>7</v>
      </c>
      <c r="E19" s="148">
        <f t="shared" si="1"/>
        <v>1</v>
      </c>
      <c r="F19" s="148">
        <f t="array" ref="F19">SUM(($B19&gt;='Data CRs'!F$6:F$65)*('Data CRs'!F$6:F$65&gt;0))</f>
        <v>5</v>
      </c>
      <c r="G19" s="148">
        <f t="array" ref="G19">SUM(($B19&gt;='Data CRs'!G$6:G$65)*('Data CRs'!G$6:G$65&gt;0))</f>
        <v>3</v>
      </c>
      <c r="H19" s="148">
        <f t="array" ref="H19">SUM(($B19&gt;='Data CRs'!H$6:H$65)*('Data CRs'!H$6:H$65&gt;0))</f>
        <v>1</v>
      </c>
      <c r="I19" s="148">
        <f t="array" ref="I19">SUM(($B19&gt;='Data CRs'!I$6:I$65)*('Data CRs'!I$6:I$65&gt;0))</f>
        <v>0</v>
      </c>
      <c r="J19" s="137"/>
      <c r="K19" s="148">
        <f t="array" ref="K19">SUM(($B19&gt;='Data CRs'!$E$6:$E$65)*(K$7='Data CRs'!$D$6:$D$65))</f>
        <v>3</v>
      </c>
      <c r="L19" s="148">
        <f t="array" ref="L19">SUM(($B19&gt;='Data CRs'!$E$6:$E$65)*(L$7='Data CRs'!$D$6:$D$65))</f>
        <v>1</v>
      </c>
      <c r="M19" s="148">
        <f t="array" ref="M19">SUM(($B19&gt;='Data CRs'!$E$6:$E$65)*(M$7='Data CRs'!$D$6:$D$65))</f>
        <v>0</v>
      </c>
      <c r="N19" s="148">
        <f t="array" ref="N19">SUM(($B19&gt;='Data CRs'!$E$6:$E$65)*(N$7='Data CRs'!$D$6:$D$65))</f>
        <v>0</v>
      </c>
      <c r="O19" s="148">
        <f t="array" ref="O19">SUM(($B19&gt;='Data CRs'!$E$6:$E$65)*(O$7='Data CRs'!$D$6:$D$65))</f>
        <v>1</v>
      </c>
      <c r="P19" s="148">
        <f t="array" ref="P19">SUM(($B19&gt;='Data CRs'!$E$6:$E$65)*(P$7='Data CRs'!$D$6:$D$65))</f>
        <v>2</v>
      </c>
    </row>
    <row r="20" spans="2:16" s="132" customFormat="1" x14ac:dyDescent="0.2">
      <c r="B20" s="220">
        <f t="shared" si="2"/>
        <v>39899</v>
      </c>
      <c r="C20" s="221">
        <f t="shared" si="0"/>
        <v>13</v>
      </c>
      <c r="D20" s="148">
        <f t="array" ref="D20">SUM(($B20&gt;='Data CRs'!E$6:E$65)*('Data CRs'!E$6:E$65&gt;0))</f>
        <v>8</v>
      </c>
      <c r="E20" s="148">
        <f t="shared" si="1"/>
        <v>1</v>
      </c>
      <c r="F20" s="148">
        <f t="array" ref="F20">SUM(($B20&gt;='Data CRs'!F$6:F$65)*('Data CRs'!F$6:F$65&gt;0))</f>
        <v>6</v>
      </c>
      <c r="G20" s="148">
        <f t="array" ref="G20">SUM(($B20&gt;='Data CRs'!G$6:G$65)*('Data CRs'!G$6:G$65&gt;0))</f>
        <v>3</v>
      </c>
      <c r="H20" s="148">
        <f t="array" ref="H20">SUM(($B20&gt;='Data CRs'!H$6:H$65)*('Data CRs'!H$6:H$65&gt;0))</f>
        <v>1</v>
      </c>
      <c r="I20" s="148">
        <f t="array" ref="I20">SUM(($B20&gt;='Data CRs'!I$6:I$65)*('Data CRs'!I$6:I$65&gt;0))</f>
        <v>0</v>
      </c>
      <c r="J20" s="137"/>
      <c r="K20" s="148">
        <f t="array" ref="K20">SUM(($B20&gt;='Data CRs'!$E$6:$E$65)*(K$7='Data CRs'!$D$6:$D$65))</f>
        <v>3</v>
      </c>
      <c r="L20" s="148">
        <f t="array" ref="L20">SUM(($B20&gt;='Data CRs'!$E$6:$E$65)*(L$7='Data CRs'!$D$6:$D$65))</f>
        <v>1</v>
      </c>
      <c r="M20" s="148">
        <f t="array" ref="M20">SUM(($B20&gt;='Data CRs'!$E$6:$E$65)*(M$7='Data CRs'!$D$6:$D$65))</f>
        <v>0</v>
      </c>
      <c r="N20" s="148">
        <f t="array" ref="N20">SUM(($B20&gt;='Data CRs'!$E$6:$E$65)*(N$7='Data CRs'!$D$6:$D$65))</f>
        <v>0</v>
      </c>
      <c r="O20" s="148">
        <f t="array" ref="O20">SUM(($B20&gt;='Data CRs'!$E$6:$E$65)*(O$7='Data CRs'!$D$6:$D$65))</f>
        <v>1</v>
      </c>
      <c r="P20" s="148">
        <f t="array" ref="P20">SUM(($B20&gt;='Data CRs'!$E$6:$E$65)*(P$7='Data CRs'!$D$6:$D$65))</f>
        <v>3</v>
      </c>
    </row>
    <row r="21" spans="2:16" s="132" customFormat="1" x14ac:dyDescent="0.2">
      <c r="B21" s="220">
        <f t="shared" si="2"/>
        <v>39906</v>
      </c>
      <c r="C21" s="221">
        <f t="shared" si="0"/>
        <v>14</v>
      </c>
      <c r="D21" s="148">
        <f t="array" ref="D21">SUM(($B21&gt;='Data CRs'!E$6:E$65)*('Data CRs'!E$6:E$65&gt;0))</f>
        <v>9</v>
      </c>
      <c r="E21" s="148">
        <f t="shared" si="1"/>
        <v>0</v>
      </c>
      <c r="F21" s="148">
        <f t="array" ref="F21">SUM(($B21&gt;='Data CRs'!F$6:F$65)*('Data CRs'!F$6:F$65&gt;0))</f>
        <v>7</v>
      </c>
      <c r="G21" s="148">
        <f t="array" ref="G21">SUM(($B21&gt;='Data CRs'!G$6:G$65)*('Data CRs'!G$6:G$65&gt;0))</f>
        <v>3</v>
      </c>
      <c r="H21" s="148">
        <f t="array" ref="H21">SUM(($B21&gt;='Data CRs'!H$6:H$65)*('Data CRs'!H$6:H$65&gt;0))</f>
        <v>2</v>
      </c>
      <c r="I21" s="148">
        <f t="array" ref="I21">SUM(($B21&gt;='Data CRs'!I$6:I$65)*('Data CRs'!I$6:I$65&gt;0))</f>
        <v>0</v>
      </c>
      <c r="J21" s="137"/>
      <c r="K21" s="148">
        <f t="array" ref="K21">SUM(($B21&gt;='Data CRs'!$E$6:$E$65)*(K$7='Data CRs'!$D$6:$D$65))</f>
        <v>3</v>
      </c>
      <c r="L21" s="148">
        <f t="array" ref="L21">SUM(($B21&gt;='Data CRs'!$E$6:$E$65)*(L$7='Data CRs'!$D$6:$D$65))</f>
        <v>1</v>
      </c>
      <c r="M21" s="148">
        <f t="array" ref="M21">SUM(($B21&gt;='Data CRs'!$E$6:$E$65)*(M$7='Data CRs'!$D$6:$D$65))</f>
        <v>1</v>
      </c>
      <c r="N21" s="148">
        <f t="array" ref="N21">SUM(($B21&gt;='Data CRs'!$E$6:$E$65)*(N$7='Data CRs'!$D$6:$D$65))</f>
        <v>0</v>
      </c>
      <c r="O21" s="148">
        <f t="array" ref="O21">SUM(($B21&gt;='Data CRs'!$E$6:$E$65)*(O$7='Data CRs'!$D$6:$D$65))</f>
        <v>1</v>
      </c>
      <c r="P21" s="148">
        <f t="array" ref="P21">SUM(($B21&gt;='Data CRs'!$E$6:$E$65)*(P$7='Data CRs'!$D$6:$D$65))</f>
        <v>3</v>
      </c>
    </row>
    <row r="22" spans="2:16" s="132" customFormat="1" x14ac:dyDescent="0.2">
      <c r="B22" s="220">
        <f t="shared" si="2"/>
        <v>39913</v>
      </c>
      <c r="C22" s="221">
        <f t="shared" si="0"/>
        <v>15</v>
      </c>
      <c r="D22" s="148">
        <f t="array" ref="D22">SUM(($B22&gt;='Data CRs'!E$6:E$65)*('Data CRs'!E$6:E$65&gt;0))</f>
        <v>10</v>
      </c>
      <c r="E22" s="148">
        <f t="shared" si="1"/>
        <v>1</v>
      </c>
      <c r="F22" s="148">
        <f t="array" ref="F22">SUM(($B22&gt;='Data CRs'!F$6:F$65)*('Data CRs'!F$6:F$65&gt;0))</f>
        <v>7</v>
      </c>
      <c r="G22" s="148">
        <f t="array" ref="G22">SUM(($B22&gt;='Data CRs'!G$6:G$65)*('Data CRs'!G$6:G$65&gt;0))</f>
        <v>6</v>
      </c>
      <c r="H22" s="148">
        <f t="array" ref="H22">SUM(($B22&gt;='Data CRs'!H$6:H$65)*('Data CRs'!H$6:H$65&gt;0))</f>
        <v>2</v>
      </c>
      <c r="I22" s="148">
        <f t="array" ref="I22">SUM(($B22&gt;='Data CRs'!I$6:I$65)*('Data CRs'!I$6:I$65&gt;0))</f>
        <v>0</v>
      </c>
      <c r="J22" s="137"/>
      <c r="K22" s="148">
        <f t="array" ref="K22">SUM(($B22&gt;='Data CRs'!$E$6:$E$65)*(K$7='Data CRs'!$D$6:$D$65))</f>
        <v>3</v>
      </c>
      <c r="L22" s="148">
        <f t="array" ref="L22">SUM(($B22&gt;='Data CRs'!$E$6:$E$65)*(L$7='Data CRs'!$D$6:$D$65))</f>
        <v>2</v>
      </c>
      <c r="M22" s="148">
        <f t="array" ref="M22">SUM(($B22&gt;='Data CRs'!$E$6:$E$65)*(M$7='Data CRs'!$D$6:$D$65))</f>
        <v>1</v>
      </c>
      <c r="N22" s="148">
        <f t="array" ref="N22">SUM(($B22&gt;='Data CRs'!$E$6:$E$65)*(N$7='Data CRs'!$D$6:$D$65))</f>
        <v>0</v>
      </c>
      <c r="O22" s="148">
        <f t="array" ref="O22">SUM(($B22&gt;='Data CRs'!$E$6:$E$65)*(O$7='Data CRs'!$D$6:$D$65))</f>
        <v>1</v>
      </c>
      <c r="P22" s="148">
        <f t="array" ref="P22">SUM(($B22&gt;='Data CRs'!$E$6:$E$65)*(P$7='Data CRs'!$D$6:$D$65))</f>
        <v>3</v>
      </c>
    </row>
    <row r="23" spans="2:16" s="132" customFormat="1" x14ac:dyDescent="0.2">
      <c r="B23" s="220">
        <f t="shared" si="2"/>
        <v>39920</v>
      </c>
      <c r="C23" s="221">
        <f t="shared" si="0"/>
        <v>16</v>
      </c>
      <c r="D23" s="148">
        <f t="array" ref="D23">SUM(($B23&gt;='Data CRs'!E$6:E$65)*('Data CRs'!E$6:E$65&gt;0))</f>
        <v>13</v>
      </c>
      <c r="E23" s="148">
        <f t="shared" si="1"/>
        <v>2</v>
      </c>
      <c r="F23" s="148">
        <f t="array" ref="F23">SUM(($B23&gt;='Data CRs'!F$6:F$65)*('Data CRs'!F$6:F$65&gt;0))</f>
        <v>9</v>
      </c>
      <c r="G23" s="148">
        <f t="array" ref="G23">SUM(($B23&gt;='Data CRs'!G$6:G$65)*('Data CRs'!G$6:G$65&gt;0))</f>
        <v>7</v>
      </c>
      <c r="H23" s="148">
        <f t="array" ref="H23">SUM(($B23&gt;='Data CRs'!H$6:H$65)*('Data CRs'!H$6:H$65&gt;0))</f>
        <v>2</v>
      </c>
      <c r="I23" s="148">
        <f t="array" ref="I23">SUM(($B23&gt;='Data CRs'!I$6:I$65)*('Data CRs'!I$6:I$65&gt;0))</f>
        <v>0</v>
      </c>
      <c r="J23" s="137"/>
      <c r="K23" s="148">
        <f t="array" ref="K23">SUM(($B23&gt;='Data CRs'!$E$6:$E$65)*(K$7='Data CRs'!$D$6:$D$65))</f>
        <v>4</v>
      </c>
      <c r="L23" s="148">
        <f t="array" ref="L23">SUM(($B23&gt;='Data CRs'!$E$6:$E$65)*(L$7='Data CRs'!$D$6:$D$65))</f>
        <v>3</v>
      </c>
      <c r="M23" s="148">
        <f t="array" ref="M23">SUM(($B23&gt;='Data CRs'!$E$6:$E$65)*(M$7='Data CRs'!$D$6:$D$65))</f>
        <v>1</v>
      </c>
      <c r="N23" s="148">
        <f t="array" ref="N23">SUM(($B23&gt;='Data CRs'!$E$6:$E$65)*(N$7='Data CRs'!$D$6:$D$65))</f>
        <v>0</v>
      </c>
      <c r="O23" s="148">
        <f t="array" ref="O23">SUM(($B23&gt;='Data CRs'!$E$6:$E$65)*(O$7='Data CRs'!$D$6:$D$65))</f>
        <v>2</v>
      </c>
      <c r="P23" s="148">
        <f t="array" ref="P23">SUM(($B23&gt;='Data CRs'!$E$6:$E$65)*(P$7='Data CRs'!$D$6:$D$65))</f>
        <v>3</v>
      </c>
    </row>
    <row r="24" spans="2:16" s="132" customFormat="1" x14ac:dyDescent="0.2">
      <c r="B24" s="220">
        <f t="shared" si="2"/>
        <v>39927</v>
      </c>
      <c r="C24" s="221">
        <f t="shared" si="0"/>
        <v>17</v>
      </c>
      <c r="D24" s="148">
        <f t="array" ref="D24">SUM(($B24&gt;='Data CRs'!E$6:E$65)*('Data CRs'!E$6:E$65&gt;0))</f>
        <v>15</v>
      </c>
      <c r="E24" s="148">
        <f t="shared" si="1"/>
        <v>1</v>
      </c>
      <c r="F24" s="148">
        <f t="array" ref="F24">SUM(($B24&gt;='Data CRs'!F$6:F$65)*('Data CRs'!F$6:F$65&gt;0))</f>
        <v>11</v>
      </c>
      <c r="G24" s="148">
        <f t="array" ref="G24">SUM(($B24&gt;='Data CRs'!G$6:G$65)*('Data CRs'!G$6:G$65&gt;0))</f>
        <v>7</v>
      </c>
      <c r="H24" s="148">
        <f t="array" ref="H24">SUM(($B24&gt;='Data CRs'!H$6:H$65)*('Data CRs'!H$6:H$65&gt;0))</f>
        <v>2</v>
      </c>
      <c r="I24" s="148">
        <f t="array" ref="I24">SUM(($B24&gt;='Data CRs'!I$6:I$65)*('Data CRs'!I$6:I$65&gt;0))</f>
        <v>1</v>
      </c>
      <c r="J24" s="137"/>
      <c r="K24" s="148">
        <f t="array" ref="K24">SUM(($B24&gt;='Data CRs'!$E$6:$E$65)*(K$7='Data CRs'!$D$6:$D$65))</f>
        <v>4</v>
      </c>
      <c r="L24" s="148">
        <f t="array" ref="L24">SUM(($B24&gt;='Data CRs'!$E$6:$E$65)*(L$7='Data CRs'!$D$6:$D$65))</f>
        <v>5</v>
      </c>
      <c r="M24" s="148">
        <f t="array" ref="M24">SUM(($B24&gt;='Data CRs'!$E$6:$E$65)*(M$7='Data CRs'!$D$6:$D$65))</f>
        <v>1</v>
      </c>
      <c r="N24" s="148">
        <f t="array" ref="N24">SUM(($B24&gt;='Data CRs'!$E$6:$E$65)*(N$7='Data CRs'!$D$6:$D$65))</f>
        <v>0</v>
      </c>
      <c r="O24" s="148">
        <f t="array" ref="O24">SUM(($B24&gt;='Data CRs'!$E$6:$E$65)*(O$7='Data CRs'!$D$6:$D$65))</f>
        <v>2</v>
      </c>
      <c r="P24" s="148">
        <f t="array" ref="P24">SUM(($B24&gt;='Data CRs'!$E$6:$E$65)*(P$7='Data CRs'!$D$6:$D$65))</f>
        <v>3</v>
      </c>
    </row>
    <row r="25" spans="2:16" s="132" customFormat="1" x14ac:dyDescent="0.2">
      <c r="B25" s="220">
        <f t="shared" si="2"/>
        <v>39934</v>
      </c>
      <c r="C25" s="221">
        <f t="shared" si="0"/>
        <v>18</v>
      </c>
      <c r="D25" s="148">
        <f t="array" ref="D25">SUM(($B25&gt;='Data CRs'!E$6:E$65)*('Data CRs'!E$6:E$65&gt;0))</f>
        <v>17</v>
      </c>
      <c r="E25" s="148">
        <f t="shared" si="1"/>
        <v>2</v>
      </c>
      <c r="F25" s="148">
        <f t="array" ref="F25">SUM(($B25&gt;='Data CRs'!F$6:F$65)*('Data CRs'!F$6:F$65&gt;0))</f>
        <v>12</v>
      </c>
      <c r="G25" s="148">
        <f t="array" ref="G25">SUM(($B25&gt;='Data CRs'!G$6:G$65)*('Data CRs'!G$6:G$65&gt;0))</f>
        <v>9</v>
      </c>
      <c r="H25" s="148">
        <f t="array" ref="H25">SUM(($B25&gt;='Data CRs'!H$6:H$65)*('Data CRs'!H$6:H$65&gt;0))</f>
        <v>2</v>
      </c>
      <c r="I25" s="148">
        <f t="array" ref="I25">SUM(($B25&gt;='Data CRs'!I$6:I$65)*('Data CRs'!I$6:I$65&gt;0))</f>
        <v>1</v>
      </c>
      <c r="J25" s="137"/>
      <c r="K25" s="148">
        <f t="array" ref="K25">SUM(($B25&gt;='Data CRs'!$E$6:$E$65)*(K$7='Data CRs'!$D$6:$D$65))</f>
        <v>4</v>
      </c>
      <c r="L25" s="148">
        <f t="array" ref="L25">SUM(($B25&gt;='Data CRs'!$E$6:$E$65)*(L$7='Data CRs'!$D$6:$D$65))</f>
        <v>5</v>
      </c>
      <c r="M25" s="148">
        <f t="array" ref="M25">SUM(($B25&gt;='Data CRs'!$E$6:$E$65)*(M$7='Data CRs'!$D$6:$D$65))</f>
        <v>2</v>
      </c>
      <c r="N25" s="148">
        <f t="array" ref="N25">SUM(($B25&gt;='Data CRs'!$E$6:$E$65)*(N$7='Data CRs'!$D$6:$D$65))</f>
        <v>1</v>
      </c>
      <c r="O25" s="148">
        <f t="array" ref="O25">SUM(($B25&gt;='Data CRs'!$E$6:$E$65)*(O$7='Data CRs'!$D$6:$D$65))</f>
        <v>2</v>
      </c>
      <c r="P25" s="148">
        <f t="array" ref="P25">SUM(($B25&gt;='Data CRs'!$E$6:$E$65)*(P$7='Data CRs'!$D$6:$D$65))</f>
        <v>3</v>
      </c>
    </row>
    <row r="26" spans="2:16" s="132" customFormat="1" x14ac:dyDescent="0.2">
      <c r="B26" s="220">
        <f t="shared" si="2"/>
        <v>39941</v>
      </c>
      <c r="C26" s="221">
        <f t="shared" si="0"/>
        <v>19</v>
      </c>
      <c r="D26" s="148">
        <f t="array" ref="D26">SUM(($B26&gt;='Data CRs'!E$6:E$65)*('Data CRs'!E$6:E$65&gt;0))</f>
        <v>20</v>
      </c>
      <c r="E26" s="148">
        <f t="shared" si="1"/>
        <v>0</v>
      </c>
      <c r="F26" s="148">
        <f t="array" ref="F26">SUM(($B26&gt;='Data CRs'!F$6:F$65)*('Data CRs'!F$6:F$65&gt;0))</f>
        <v>16</v>
      </c>
      <c r="G26" s="148">
        <f t="array" ref="G26">SUM(($B26&gt;='Data CRs'!G$6:G$65)*('Data CRs'!G$6:G$65&gt;0))</f>
        <v>10</v>
      </c>
      <c r="H26" s="148">
        <f t="array" ref="H26">SUM(($B26&gt;='Data CRs'!H$6:H$65)*('Data CRs'!H$6:H$65&gt;0))</f>
        <v>2</v>
      </c>
      <c r="I26" s="148">
        <f t="array" ref="I26">SUM(($B26&gt;='Data CRs'!I$6:I$65)*('Data CRs'!I$6:I$65&gt;0))</f>
        <v>2</v>
      </c>
      <c r="J26" s="137"/>
      <c r="K26" s="148">
        <f t="array" ref="K26">SUM(($B26&gt;='Data CRs'!$E$6:$E$65)*(K$7='Data CRs'!$D$6:$D$65))</f>
        <v>5</v>
      </c>
      <c r="L26" s="148">
        <f t="array" ref="L26">SUM(($B26&gt;='Data CRs'!$E$6:$E$65)*(L$7='Data CRs'!$D$6:$D$65))</f>
        <v>5</v>
      </c>
      <c r="M26" s="148">
        <f t="array" ref="M26">SUM(($B26&gt;='Data CRs'!$E$6:$E$65)*(M$7='Data CRs'!$D$6:$D$65))</f>
        <v>3</v>
      </c>
      <c r="N26" s="148">
        <f t="array" ref="N26">SUM(($B26&gt;='Data CRs'!$E$6:$E$65)*(N$7='Data CRs'!$D$6:$D$65))</f>
        <v>2</v>
      </c>
      <c r="O26" s="148">
        <f t="array" ref="O26">SUM(($B26&gt;='Data CRs'!$E$6:$E$65)*(O$7='Data CRs'!$D$6:$D$65))</f>
        <v>2</v>
      </c>
      <c r="P26" s="148">
        <f t="array" ref="P26">SUM(($B26&gt;='Data CRs'!$E$6:$E$65)*(P$7='Data CRs'!$D$6:$D$65))</f>
        <v>3</v>
      </c>
    </row>
    <row r="27" spans="2:16" s="132" customFormat="1" x14ac:dyDescent="0.2">
      <c r="B27" s="220">
        <f t="shared" si="2"/>
        <v>39948</v>
      </c>
      <c r="C27" s="221">
        <f t="shared" si="0"/>
        <v>20</v>
      </c>
      <c r="D27" s="148">
        <f t="array" ref="D27">SUM(($B27&gt;='Data CRs'!E$6:E$65)*('Data CRs'!E$6:E$65&gt;0))</f>
        <v>20</v>
      </c>
      <c r="E27" s="148">
        <f t="shared" si="1"/>
        <v>0</v>
      </c>
      <c r="F27" s="148">
        <f t="array" ref="F27">SUM(($B27&gt;='Data CRs'!F$6:F$65)*('Data CRs'!F$6:F$65&gt;0))</f>
        <v>16</v>
      </c>
      <c r="G27" s="148">
        <f t="array" ref="G27">SUM(($B27&gt;='Data CRs'!G$6:G$65)*('Data CRs'!G$6:G$65&gt;0))</f>
        <v>13</v>
      </c>
      <c r="H27" s="148">
        <f t="array" ref="H27">SUM(($B27&gt;='Data CRs'!H$6:H$65)*('Data CRs'!H$6:H$65&gt;0))</f>
        <v>2</v>
      </c>
      <c r="I27" s="148">
        <f t="array" ref="I27">SUM(($B27&gt;='Data CRs'!I$6:I$65)*('Data CRs'!I$6:I$65&gt;0))</f>
        <v>2</v>
      </c>
      <c r="J27" s="137"/>
      <c r="K27" s="148">
        <f t="array" ref="K27">SUM(($B27&gt;='Data CRs'!$E$6:$E$65)*(K$7='Data CRs'!$D$6:$D$65))</f>
        <v>5</v>
      </c>
      <c r="L27" s="148">
        <f t="array" ref="L27">SUM(($B27&gt;='Data CRs'!$E$6:$E$65)*(L$7='Data CRs'!$D$6:$D$65))</f>
        <v>5</v>
      </c>
      <c r="M27" s="148">
        <f t="array" ref="M27">SUM(($B27&gt;='Data CRs'!$E$6:$E$65)*(M$7='Data CRs'!$D$6:$D$65))</f>
        <v>3</v>
      </c>
      <c r="N27" s="148">
        <f t="array" ref="N27">SUM(($B27&gt;='Data CRs'!$E$6:$E$65)*(N$7='Data CRs'!$D$6:$D$65))</f>
        <v>2</v>
      </c>
      <c r="O27" s="148">
        <f t="array" ref="O27">SUM(($B27&gt;='Data CRs'!$E$6:$E$65)*(O$7='Data CRs'!$D$6:$D$65))</f>
        <v>2</v>
      </c>
      <c r="P27" s="148">
        <f t="array" ref="P27">SUM(($B27&gt;='Data CRs'!$E$6:$E$65)*(P$7='Data CRs'!$D$6:$D$65))</f>
        <v>3</v>
      </c>
    </row>
    <row r="28" spans="2:16" s="132" customFormat="1" x14ac:dyDescent="0.2">
      <c r="B28" s="220">
        <f t="shared" si="2"/>
        <v>39955</v>
      </c>
      <c r="C28" s="221">
        <f t="shared" si="0"/>
        <v>21</v>
      </c>
      <c r="D28" s="148">
        <f t="array" ref="D28">SUM(($B28&gt;='Data CRs'!E$6:E$65)*('Data CRs'!E$6:E$65&gt;0))</f>
        <v>23</v>
      </c>
      <c r="E28" s="148">
        <f t="shared" si="1"/>
        <v>3</v>
      </c>
      <c r="F28" s="148">
        <f t="array" ref="F28">SUM(($B28&gt;='Data CRs'!F$6:F$65)*('Data CRs'!F$6:F$65&gt;0))</f>
        <v>16</v>
      </c>
      <c r="G28" s="148">
        <f t="array" ref="G28">SUM(($B28&gt;='Data CRs'!G$6:G$65)*('Data CRs'!G$6:G$65&gt;0))</f>
        <v>15</v>
      </c>
      <c r="H28" s="148">
        <f t="array" ref="H28">SUM(($B28&gt;='Data CRs'!H$6:H$65)*('Data CRs'!H$6:H$65&gt;0))</f>
        <v>2</v>
      </c>
      <c r="I28" s="148">
        <f t="array" ref="I28">SUM(($B28&gt;='Data CRs'!I$6:I$65)*('Data CRs'!I$6:I$65&gt;0))</f>
        <v>2</v>
      </c>
      <c r="J28" s="137"/>
      <c r="K28" s="148">
        <f t="array" ref="K28">SUM(($B28&gt;='Data CRs'!$E$6:$E$65)*(K$7='Data CRs'!$D$6:$D$65))</f>
        <v>5</v>
      </c>
      <c r="L28" s="148">
        <f t="array" ref="L28">SUM(($B28&gt;='Data CRs'!$E$6:$E$65)*(L$7='Data CRs'!$D$6:$D$65))</f>
        <v>5</v>
      </c>
      <c r="M28" s="148">
        <f t="array" ref="M28">SUM(($B28&gt;='Data CRs'!$E$6:$E$65)*(M$7='Data CRs'!$D$6:$D$65))</f>
        <v>3</v>
      </c>
      <c r="N28" s="148">
        <f t="array" ref="N28">SUM(($B28&gt;='Data CRs'!$E$6:$E$65)*(N$7='Data CRs'!$D$6:$D$65))</f>
        <v>4</v>
      </c>
      <c r="O28" s="148">
        <f t="array" ref="O28">SUM(($B28&gt;='Data CRs'!$E$6:$E$65)*(O$7='Data CRs'!$D$6:$D$65))</f>
        <v>2</v>
      </c>
      <c r="P28" s="148">
        <f t="array" ref="P28">SUM(($B28&gt;='Data CRs'!$E$6:$E$65)*(P$7='Data CRs'!$D$6:$D$65))</f>
        <v>4</v>
      </c>
    </row>
    <row r="29" spans="2:16" s="132" customFormat="1" x14ac:dyDescent="0.2">
      <c r="B29" s="220">
        <f t="shared" si="2"/>
        <v>39962</v>
      </c>
      <c r="C29" s="221">
        <f t="shared" si="0"/>
        <v>22</v>
      </c>
      <c r="D29" s="148">
        <f t="array" ref="D29">SUM(($B29&gt;='Data CRs'!E$6:E$65)*('Data CRs'!E$6:E$65&gt;0))</f>
        <v>24</v>
      </c>
      <c r="E29" s="148">
        <f t="shared" si="1"/>
        <v>1</v>
      </c>
      <c r="F29" s="148">
        <f t="array" ref="F29">SUM(($B29&gt;='Data CRs'!F$6:F$65)*('Data CRs'!F$6:F$65&gt;0))</f>
        <v>18</v>
      </c>
      <c r="G29" s="148">
        <f t="array" ref="G29">SUM(($B29&gt;='Data CRs'!G$6:G$65)*('Data CRs'!G$6:G$65&gt;0))</f>
        <v>16</v>
      </c>
      <c r="H29" s="148">
        <f t="array" ref="H29">SUM(($B29&gt;='Data CRs'!H$6:H$65)*('Data CRs'!H$6:H$65&gt;0))</f>
        <v>3</v>
      </c>
      <c r="I29" s="148">
        <f t="array" ref="I29">SUM(($B29&gt;='Data CRs'!I$6:I$65)*('Data CRs'!I$6:I$65&gt;0))</f>
        <v>2</v>
      </c>
      <c r="J29" s="137"/>
      <c r="K29" s="148">
        <f t="array" ref="K29">SUM(($B29&gt;='Data CRs'!$E$6:$E$65)*(K$7='Data CRs'!$D$6:$D$65))</f>
        <v>5</v>
      </c>
      <c r="L29" s="148">
        <f t="array" ref="L29">SUM(($B29&gt;='Data CRs'!$E$6:$E$65)*(L$7='Data CRs'!$D$6:$D$65))</f>
        <v>5</v>
      </c>
      <c r="M29" s="148">
        <f t="array" ref="M29">SUM(($B29&gt;='Data CRs'!$E$6:$E$65)*(M$7='Data CRs'!$D$6:$D$65))</f>
        <v>3</v>
      </c>
      <c r="N29" s="148">
        <f t="array" ref="N29">SUM(($B29&gt;='Data CRs'!$E$6:$E$65)*(N$7='Data CRs'!$D$6:$D$65))</f>
        <v>4</v>
      </c>
      <c r="O29" s="148">
        <f t="array" ref="O29">SUM(($B29&gt;='Data CRs'!$E$6:$E$65)*(O$7='Data CRs'!$D$6:$D$65))</f>
        <v>3</v>
      </c>
      <c r="P29" s="148">
        <f t="array" ref="P29">SUM(($B29&gt;='Data CRs'!$E$6:$E$65)*(P$7='Data CRs'!$D$6:$D$65))</f>
        <v>4</v>
      </c>
    </row>
    <row r="30" spans="2:16" s="132" customFormat="1" x14ac:dyDescent="0.2">
      <c r="B30" s="220">
        <f t="shared" si="2"/>
        <v>39969</v>
      </c>
      <c r="C30" s="221">
        <f t="shared" si="0"/>
        <v>23</v>
      </c>
      <c r="D30" s="148">
        <f t="array" ref="D30">SUM(($B30&gt;='Data CRs'!E$6:E$65)*('Data CRs'!E$6:E$65&gt;0))</f>
        <v>25</v>
      </c>
      <c r="E30" s="148">
        <f t="shared" si="1"/>
        <v>1</v>
      </c>
      <c r="F30" s="148">
        <f t="array" ref="F30">SUM(($B30&gt;='Data CRs'!F$6:F$65)*('Data CRs'!F$6:F$65&gt;0))</f>
        <v>19</v>
      </c>
      <c r="G30" s="148">
        <f t="array" ref="G30">SUM(($B30&gt;='Data CRs'!G$6:G$65)*('Data CRs'!G$6:G$65&gt;0))</f>
        <v>17</v>
      </c>
      <c r="H30" s="148">
        <f t="array" ref="H30">SUM(($B30&gt;='Data CRs'!H$6:H$65)*('Data CRs'!H$6:H$65&gt;0))</f>
        <v>3</v>
      </c>
      <c r="I30" s="148">
        <f t="array" ref="I30">SUM(($B30&gt;='Data CRs'!I$6:I$65)*('Data CRs'!I$6:I$65&gt;0))</f>
        <v>2</v>
      </c>
      <c r="J30" s="137"/>
      <c r="K30" s="148">
        <f t="array" ref="K30">SUM(($B30&gt;='Data CRs'!$E$6:$E$65)*(K$7='Data CRs'!$D$6:$D$65))</f>
        <v>5</v>
      </c>
      <c r="L30" s="148">
        <f t="array" ref="L30">SUM(($B30&gt;='Data CRs'!$E$6:$E$65)*(L$7='Data CRs'!$D$6:$D$65))</f>
        <v>6</v>
      </c>
      <c r="M30" s="148">
        <f t="array" ref="M30">SUM(($B30&gt;='Data CRs'!$E$6:$E$65)*(M$7='Data CRs'!$D$6:$D$65))</f>
        <v>3</v>
      </c>
      <c r="N30" s="148">
        <f t="array" ref="N30">SUM(($B30&gt;='Data CRs'!$E$6:$E$65)*(N$7='Data CRs'!$D$6:$D$65))</f>
        <v>4</v>
      </c>
      <c r="O30" s="148">
        <f t="array" ref="O30">SUM(($B30&gt;='Data CRs'!$E$6:$E$65)*(O$7='Data CRs'!$D$6:$D$65))</f>
        <v>3</v>
      </c>
      <c r="P30" s="148">
        <f t="array" ref="P30">SUM(($B30&gt;='Data CRs'!$E$6:$E$65)*(P$7='Data CRs'!$D$6:$D$65))</f>
        <v>4</v>
      </c>
    </row>
    <row r="31" spans="2:16" s="132" customFormat="1" x14ac:dyDescent="0.2">
      <c r="B31" s="220">
        <f t="shared" si="2"/>
        <v>39976</v>
      </c>
      <c r="C31" s="221">
        <f t="shared" si="0"/>
        <v>24</v>
      </c>
      <c r="D31" s="148">
        <f t="array" ref="D31">SUM(($B31&gt;='Data CRs'!E$6:E$65)*('Data CRs'!E$6:E$65&gt;0))</f>
        <v>26</v>
      </c>
      <c r="E31" s="148">
        <f t="shared" si="1"/>
        <v>1</v>
      </c>
      <c r="F31" s="148">
        <f t="array" ref="F31">SUM(($B31&gt;='Data CRs'!F$6:F$65)*('Data CRs'!F$6:F$65&gt;0))</f>
        <v>19</v>
      </c>
      <c r="G31" s="148">
        <f t="array" ref="G31">SUM(($B31&gt;='Data CRs'!G$6:G$65)*('Data CRs'!G$6:G$65&gt;0))</f>
        <v>18</v>
      </c>
      <c r="H31" s="148">
        <f t="array" ref="H31">SUM(($B31&gt;='Data CRs'!H$6:H$65)*('Data CRs'!H$6:H$65&gt;0))</f>
        <v>3</v>
      </c>
      <c r="I31" s="148">
        <f t="array" ref="I31">SUM(($B31&gt;='Data CRs'!I$6:I$65)*('Data CRs'!I$6:I$65&gt;0))</f>
        <v>3</v>
      </c>
      <c r="J31" s="137"/>
      <c r="K31" s="148">
        <f t="array" ref="K31">SUM(($B31&gt;='Data CRs'!$E$6:$E$65)*(K$7='Data CRs'!$D$6:$D$65))</f>
        <v>5</v>
      </c>
      <c r="L31" s="148">
        <f t="array" ref="L31">SUM(($B31&gt;='Data CRs'!$E$6:$E$65)*(L$7='Data CRs'!$D$6:$D$65))</f>
        <v>6</v>
      </c>
      <c r="M31" s="148">
        <f t="array" ref="M31">SUM(($B31&gt;='Data CRs'!$E$6:$E$65)*(M$7='Data CRs'!$D$6:$D$65))</f>
        <v>3</v>
      </c>
      <c r="N31" s="148">
        <f t="array" ref="N31">SUM(($B31&gt;='Data CRs'!$E$6:$E$65)*(N$7='Data CRs'!$D$6:$D$65))</f>
        <v>5</v>
      </c>
      <c r="O31" s="148">
        <f t="array" ref="O31">SUM(($B31&gt;='Data CRs'!$E$6:$E$65)*(O$7='Data CRs'!$D$6:$D$65))</f>
        <v>3</v>
      </c>
      <c r="P31" s="148">
        <f t="array" ref="P31">SUM(($B31&gt;='Data CRs'!$E$6:$E$65)*(P$7='Data CRs'!$D$6:$D$65))</f>
        <v>4</v>
      </c>
    </row>
    <row r="32" spans="2:16" s="132" customFormat="1" x14ac:dyDescent="0.2">
      <c r="B32" s="220">
        <f t="shared" si="2"/>
        <v>39983</v>
      </c>
      <c r="C32" s="221">
        <f t="shared" si="0"/>
        <v>25</v>
      </c>
      <c r="D32" s="148">
        <f t="array" ref="D32">SUM(($B32&gt;='Data CRs'!E$6:E$65)*('Data CRs'!E$6:E$65&gt;0))</f>
        <v>28</v>
      </c>
      <c r="E32" s="148">
        <f t="shared" si="1"/>
        <v>2</v>
      </c>
      <c r="F32" s="148">
        <f t="array" ref="F32">SUM(($B32&gt;='Data CRs'!F$6:F$65)*('Data CRs'!F$6:F$65&gt;0))</f>
        <v>20</v>
      </c>
      <c r="G32" s="148">
        <f t="array" ref="G32">SUM(($B32&gt;='Data CRs'!G$6:G$65)*('Data CRs'!G$6:G$65&gt;0))</f>
        <v>19</v>
      </c>
      <c r="H32" s="148">
        <f t="array" ref="H32">SUM(($B32&gt;='Data CRs'!H$6:H$65)*('Data CRs'!H$6:H$65&gt;0))</f>
        <v>3</v>
      </c>
      <c r="I32" s="148">
        <f t="array" ref="I32">SUM(($B32&gt;='Data CRs'!I$6:I$65)*('Data CRs'!I$6:I$65&gt;0))</f>
        <v>3</v>
      </c>
      <c r="J32" s="137"/>
      <c r="K32" s="148">
        <f t="array" ref="K32">SUM(($B32&gt;='Data CRs'!$E$6:$E$65)*(K$7='Data CRs'!$D$6:$D$65))</f>
        <v>5</v>
      </c>
      <c r="L32" s="148">
        <f t="array" ref="L32">SUM(($B32&gt;='Data CRs'!$E$6:$E$65)*(L$7='Data CRs'!$D$6:$D$65))</f>
        <v>7</v>
      </c>
      <c r="M32" s="148">
        <f t="array" ref="M32">SUM(($B32&gt;='Data CRs'!$E$6:$E$65)*(M$7='Data CRs'!$D$6:$D$65))</f>
        <v>4</v>
      </c>
      <c r="N32" s="148">
        <f t="array" ref="N32">SUM(($B32&gt;='Data CRs'!$E$6:$E$65)*(N$7='Data CRs'!$D$6:$D$65))</f>
        <v>5</v>
      </c>
      <c r="O32" s="148">
        <f t="array" ref="O32">SUM(($B32&gt;='Data CRs'!$E$6:$E$65)*(O$7='Data CRs'!$D$6:$D$65))</f>
        <v>3</v>
      </c>
      <c r="P32" s="148">
        <f t="array" ref="P32">SUM(($B32&gt;='Data CRs'!$E$6:$E$65)*(P$7='Data CRs'!$D$6:$D$65))</f>
        <v>4</v>
      </c>
    </row>
    <row r="33" spans="2:16" s="132" customFormat="1" x14ac:dyDescent="0.2">
      <c r="B33" s="220">
        <f t="shared" si="2"/>
        <v>39990</v>
      </c>
      <c r="C33" s="221">
        <f t="shared" si="0"/>
        <v>26</v>
      </c>
      <c r="D33" s="148">
        <f t="array" ref="D33">SUM(($B33&gt;='Data CRs'!E$6:E$65)*('Data CRs'!E$6:E$65&gt;0))</f>
        <v>31</v>
      </c>
      <c r="E33" s="148">
        <f t="shared" si="1"/>
        <v>2</v>
      </c>
      <c r="F33" s="148">
        <f t="array" ref="F33">SUM(($B33&gt;='Data CRs'!F$6:F$65)*('Data CRs'!F$6:F$65&gt;0))</f>
        <v>22</v>
      </c>
      <c r="G33" s="148">
        <f t="array" ref="G33">SUM(($B33&gt;='Data CRs'!G$6:G$65)*('Data CRs'!G$6:G$65&gt;0))</f>
        <v>19</v>
      </c>
      <c r="H33" s="148">
        <f t="array" ref="H33">SUM(($B33&gt;='Data CRs'!H$6:H$65)*('Data CRs'!H$6:H$65&gt;0))</f>
        <v>4</v>
      </c>
      <c r="I33" s="148">
        <f t="array" ref="I33">SUM(($B33&gt;='Data CRs'!I$6:I$65)*('Data CRs'!I$6:I$65&gt;0))</f>
        <v>3</v>
      </c>
      <c r="J33" s="137"/>
      <c r="K33" s="148">
        <f t="array" ref="K33">SUM(($B33&gt;='Data CRs'!$E$6:$E$65)*(K$7='Data CRs'!$D$6:$D$65))</f>
        <v>5</v>
      </c>
      <c r="L33" s="148">
        <f t="array" ref="L33">SUM(($B33&gt;='Data CRs'!$E$6:$E$65)*(L$7='Data CRs'!$D$6:$D$65))</f>
        <v>7</v>
      </c>
      <c r="M33" s="148">
        <f t="array" ref="M33">SUM(($B33&gt;='Data CRs'!$E$6:$E$65)*(M$7='Data CRs'!$D$6:$D$65))</f>
        <v>6</v>
      </c>
      <c r="N33" s="148">
        <f t="array" ref="N33">SUM(($B33&gt;='Data CRs'!$E$6:$E$65)*(N$7='Data CRs'!$D$6:$D$65))</f>
        <v>5</v>
      </c>
      <c r="O33" s="148">
        <f t="array" ref="O33">SUM(($B33&gt;='Data CRs'!$E$6:$E$65)*(O$7='Data CRs'!$D$6:$D$65))</f>
        <v>3</v>
      </c>
      <c r="P33" s="148">
        <f t="array" ref="P33">SUM(($B33&gt;='Data CRs'!$E$6:$E$65)*(P$7='Data CRs'!$D$6:$D$65))</f>
        <v>5</v>
      </c>
    </row>
    <row r="34" spans="2:16" s="132" customFormat="1" x14ac:dyDescent="0.2">
      <c r="B34" s="220">
        <f t="shared" si="2"/>
        <v>39997</v>
      </c>
      <c r="C34" s="221">
        <f t="shared" si="0"/>
        <v>27</v>
      </c>
      <c r="D34" s="148">
        <f t="array" ref="D34">SUM(($B34&gt;='Data CRs'!E$6:E$65)*('Data CRs'!E$6:E$65&gt;0))</f>
        <v>32</v>
      </c>
      <c r="E34" s="148">
        <f t="shared" si="1"/>
        <v>1</v>
      </c>
      <c r="F34" s="148">
        <f t="array" ref="F34">SUM(($B34&gt;='Data CRs'!F$6:F$65)*('Data CRs'!F$6:F$65&gt;0))</f>
        <v>22</v>
      </c>
      <c r="G34" s="148">
        <f t="array" ref="G34">SUM(($B34&gt;='Data CRs'!G$6:G$65)*('Data CRs'!G$6:G$65&gt;0))</f>
        <v>19</v>
      </c>
      <c r="H34" s="148">
        <f t="array" ref="H34">SUM(($B34&gt;='Data CRs'!H$6:H$65)*('Data CRs'!H$6:H$65&gt;0))</f>
        <v>4</v>
      </c>
      <c r="I34" s="148">
        <f t="array" ref="I34">SUM(($B34&gt;='Data CRs'!I$6:I$65)*('Data CRs'!I$6:I$65&gt;0))</f>
        <v>5</v>
      </c>
      <c r="J34" s="137"/>
      <c r="K34" s="148">
        <f t="array" ref="K34">SUM(($B34&gt;='Data CRs'!$E$6:$E$65)*(K$7='Data CRs'!$D$6:$D$65))</f>
        <v>5</v>
      </c>
      <c r="L34" s="148">
        <f t="array" ref="L34">SUM(($B34&gt;='Data CRs'!$E$6:$E$65)*(L$7='Data CRs'!$D$6:$D$65))</f>
        <v>8</v>
      </c>
      <c r="M34" s="148">
        <f t="array" ref="M34">SUM(($B34&gt;='Data CRs'!$E$6:$E$65)*(M$7='Data CRs'!$D$6:$D$65))</f>
        <v>6</v>
      </c>
      <c r="N34" s="148">
        <f t="array" ref="N34">SUM(($B34&gt;='Data CRs'!$E$6:$E$65)*(N$7='Data CRs'!$D$6:$D$65))</f>
        <v>5</v>
      </c>
      <c r="O34" s="148">
        <f t="array" ref="O34">SUM(($B34&gt;='Data CRs'!$E$6:$E$65)*(O$7='Data CRs'!$D$6:$D$65))</f>
        <v>3</v>
      </c>
      <c r="P34" s="148">
        <f t="array" ref="P34">SUM(($B34&gt;='Data CRs'!$E$6:$E$65)*(P$7='Data CRs'!$D$6:$D$65))</f>
        <v>5</v>
      </c>
    </row>
    <row r="35" spans="2:16" s="132" customFormat="1" x14ac:dyDescent="0.2">
      <c r="B35" s="220">
        <f t="shared" si="2"/>
        <v>40004</v>
      </c>
      <c r="C35" s="221">
        <f t="shared" si="0"/>
        <v>28</v>
      </c>
      <c r="D35" s="148">
        <f t="array" ref="D35">SUM(($B35&gt;='Data CRs'!E$6:E$65)*('Data CRs'!E$6:E$65&gt;0))</f>
        <v>33</v>
      </c>
      <c r="E35" s="148">
        <f t="shared" si="1"/>
        <v>0</v>
      </c>
      <c r="F35" s="148">
        <f t="array" ref="F35">SUM(($B35&gt;='Data CRs'!F$6:F$65)*('Data CRs'!F$6:F$65&gt;0))</f>
        <v>24</v>
      </c>
      <c r="G35" s="148">
        <f t="array" ref="G35">SUM(($B35&gt;='Data CRs'!G$6:G$65)*('Data CRs'!G$6:G$65&gt;0))</f>
        <v>21</v>
      </c>
      <c r="H35" s="148">
        <f t="array" ref="H35">SUM(($B35&gt;='Data CRs'!H$6:H$65)*('Data CRs'!H$6:H$65&gt;0))</f>
        <v>4</v>
      </c>
      <c r="I35" s="148">
        <f t="array" ref="I35">SUM(($B35&gt;='Data CRs'!I$6:I$65)*('Data CRs'!I$6:I$65&gt;0))</f>
        <v>5</v>
      </c>
      <c r="J35" s="137"/>
      <c r="K35" s="148">
        <f t="array" ref="K35">SUM(($B35&gt;='Data CRs'!$E$6:$E$65)*(K$7='Data CRs'!$D$6:$D$65))</f>
        <v>5</v>
      </c>
      <c r="L35" s="148">
        <f t="array" ref="L35">SUM(($B35&gt;='Data CRs'!$E$6:$E$65)*(L$7='Data CRs'!$D$6:$D$65))</f>
        <v>9</v>
      </c>
      <c r="M35" s="148">
        <f t="array" ref="M35">SUM(($B35&gt;='Data CRs'!$E$6:$E$65)*(M$7='Data CRs'!$D$6:$D$65))</f>
        <v>6</v>
      </c>
      <c r="N35" s="148">
        <f t="array" ref="N35">SUM(($B35&gt;='Data CRs'!$E$6:$E$65)*(N$7='Data CRs'!$D$6:$D$65))</f>
        <v>5</v>
      </c>
      <c r="O35" s="148">
        <f t="array" ref="O35">SUM(($B35&gt;='Data CRs'!$E$6:$E$65)*(O$7='Data CRs'!$D$6:$D$65))</f>
        <v>3</v>
      </c>
      <c r="P35" s="148">
        <f t="array" ref="P35">SUM(($B35&gt;='Data CRs'!$E$6:$E$65)*(P$7='Data CRs'!$D$6:$D$65))</f>
        <v>5</v>
      </c>
    </row>
    <row r="36" spans="2:16" s="132" customFormat="1" x14ac:dyDescent="0.2">
      <c r="B36" s="220">
        <f t="shared" si="2"/>
        <v>40011</v>
      </c>
      <c r="C36" s="221">
        <f t="shared" si="0"/>
        <v>29</v>
      </c>
      <c r="D36" s="148">
        <f t="array" ref="D36">SUM(($B36&gt;='Data CRs'!E$6:E$65)*('Data CRs'!E$6:E$65&gt;0))</f>
        <v>34</v>
      </c>
      <c r="E36" s="148">
        <f t="shared" si="1"/>
        <v>1</v>
      </c>
      <c r="F36" s="148">
        <f t="array" ref="F36">SUM(($B36&gt;='Data CRs'!F$6:F$65)*('Data CRs'!F$6:F$65&gt;0))</f>
        <v>24</v>
      </c>
      <c r="G36" s="148">
        <f t="array" ref="G36">SUM(($B36&gt;='Data CRs'!G$6:G$65)*('Data CRs'!G$6:G$65&gt;0))</f>
        <v>22</v>
      </c>
      <c r="H36" s="148">
        <f t="array" ref="H36">SUM(($B36&gt;='Data CRs'!H$6:H$65)*('Data CRs'!H$6:H$65&gt;0))</f>
        <v>4</v>
      </c>
      <c r="I36" s="148">
        <f t="array" ref="I36">SUM(($B36&gt;='Data CRs'!I$6:I$65)*('Data CRs'!I$6:I$65&gt;0))</f>
        <v>5</v>
      </c>
      <c r="J36" s="137"/>
      <c r="K36" s="148">
        <f t="array" ref="K36">SUM(($B36&gt;='Data CRs'!$E$6:$E$65)*(K$7='Data CRs'!$D$6:$D$65))</f>
        <v>5</v>
      </c>
      <c r="L36" s="148">
        <f t="array" ref="L36">SUM(($B36&gt;='Data CRs'!$E$6:$E$65)*(L$7='Data CRs'!$D$6:$D$65))</f>
        <v>10</v>
      </c>
      <c r="M36" s="148">
        <f t="array" ref="M36">SUM(($B36&gt;='Data CRs'!$E$6:$E$65)*(M$7='Data CRs'!$D$6:$D$65))</f>
        <v>6</v>
      </c>
      <c r="N36" s="148">
        <f t="array" ref="N36">SUM(($B36&gt;='Data CRs'!$E$6:$E$65)*(N$7='Data CRs'!$D$6:$D$65))</f>
        <v>5</v>
      </c>
      <c r="O36" s="148">
        <f t="array" ref="O36">SUM(($B36&gt;='Data CRs'!$E$6:$E$65)*(O$7='Data CRs'!$D$6:$D$65))</f>
        <v>3</v>
      </c>
      <c r="P36" s="148">
        <f t="array" ref="P36">SUM(($B36&gt;='Data CRs'!$E$6:$E$65)*(P$7='Data CRs'!$D$6:$D$65))</f>
        <v>5</v>
      </c>
    </row>
    <row r="37" spans="2:16" s="132" customFormat="1" x14ac:dyDescent="0.2">
      <c r="B37" s="220">
        <f t="shared" si="2"/>
        <v>40018</v>
      </c>
      <c r="C37" s="221">
        <f t="shared" si="0"/>
        <v>30</v>
      </c>
      <c r="D37" s="148">
        <f t="array" ref="D37">SUM(($B37&gt;='Data CRs'!E$6:E$65)*('Data CRs'!E$6:E$65&gt;0))</f>
        <v>36</v>
      </c>
      <c r="E37" s="148">
        <f t="shared" si="1"/>
        <v>2</v>
      </c>
      <c r="F37" s="148">
        <f t="array" ref="F37">SUM(($B37&gt;='Data CRs'!F$6:F$65)*('Data CRs'!F$6:F$65&gt;0))</f>
        <v>25</v>
      </c>
      <c r="G37" s="148">
        <f t="array" ref="G37">SUM(($B37&gt;='Data CRs'!G$6:G$65)*('Data CRs'!G$6:G$65&gt;0))</f>
        <v>23</v>
      </c>
      <c r="H37" s="148">
        <f t="array" ref="H37">SUM(($B37&gt;='Data CRs'!H$6:H$65)*('Data CRs'!H$6:H$65&gt;0))</f>
        <v>4</v>
      </c>
      <c r="I37" s="148">
        <f t="array" ref="I37">SUM(($B37&gt;='Data CRs'!I$6:I$65)*('Data CRs'!I$6:I$65&gt;0))</f>
        <v>5</v>
      </c>
      <c r="J37" s="137"/>
      <c r="K37" s="148">
        <f t="array" ref="K37">SUM(($B37&gt;='Data CRs'!$E$6:$E$65)*(K$7='Data CRs'!$D$6:$D$65))</f>
        <v>6</v>
      </c>
      <c r="L37" s="148">
        <f t="array" ref="L37">SUM(($B37&gt;='Data CRs'!$E$6:$E$65)*(L$7='Data CRs'!$D$6:$D$65))</f>
        <v>10</v>
      </c>
      <c r="M37" s="148">
        <f t="array" ref="M37">SUM(($B37&gt;='Data CRs'!$E$6:$E$65)*(M$7='Data CRs'!$D$6:$D$65))</f>
        <v>6</v>
      </c>
      <c r="N37" s="148">
        <f t="array" ref="N37">SUM(($B37&gt;='Data CRs'!$E$6:$E$65)*(N$7='Data CRs'!$D$6:$D$65))</f>
        <v>5</v>
      </c>
      <c r="O37" s="148">
        <f t="array" ref="O37">SUM(($B37&gt;='Data CRs'!$E$6:$E$65)*(O$7='Data CRs'!$D$6:$D$65))</f>
        <v>3</v>
      </c>
      <c r="P37" s="148">
        <f t="array" ref="P37">SUM(($B37&gt;='Data CRs'!$E$6:$E$65)*(P$7='Data CRs'!$D$6:$D$65))</f>
        <v>6</v>
      </c>
    </row>
    <row r="38" spans="2:16" s="132" customFormat="1" x14ac:dyDescent="0.2">
      <c r="B38" s="220">
        <f t="shared" si="2"/>
        <v>40025</v>
      </c>
      <c r="C38" s="221">
        <f t="shared" si="0"/>
        <v>31</v>
      </c>
      <c r="D38" s="148">
        <f t="array" ref="D38">SUM(($B38&gt;='Data CRs'!E$6:E$65)*('Data CRs'!E$6:E$65&gt;0))</f>
        <v>38</v>
      </c>
      <c r="E38" s="148">
        <f t="shared" si="1"/>
        <v>1</v>
      </c>
      <c r="F38" s="148">
        <f t="array" ref="F38">SUM(($B38&gt;='Data CRs'!F$6:F$65)*('Data CRs'!F$6:F$65&gt;0))</f>
        <v>27</v>
      </c>
      <c r="G38" s="148">
        <f t="array" ref="G38">SUM(($B38&gt;='Data CRs'!G$6:G$65)*('Data CRs'!G$6:G$65&gt;0))</f>
        <v>25</v>
      </c>
      <c r="H38" s="148">
        <f t="array" ref="H38">SUM(($B38&gt;='Data CRs'!H$6:H$65)*('Data CRs'!H$6:H$65&gt;0))</f>
        <v>5</v>
      </c>
      <c r="I38" s="148">
        <f t="array" ref="I38">SUM(($B38&gt;='Data CRs'!I$6:I$65)*('Data CRs'!I$6:I$65&gt;0))</f>
        <v>5</v>
      </c>
      <c r="J38" s="137"/>
      <c r="K38" s="148">
        <f t="array" ref="K38">SUM(($B38&gt;='Data CRs'!$E$6:$E$65)*(K$7='Data CRs'!$D$6:$D$65))</f>
        <v>7</v>
      </c>
      <c r="L38" s="148">
        <f t="array" ref="L38">SUM(($B38&gt;='Data CRs'!$E$6:$E$65)*(L$7='Data CRs'!$D$6:$D$65))</f>
        <v>11</v>
      </c>
      <c r="M38" s="148">
        <f t="array" ref="M38">SUM(($B38&gt;='Data CRs'!$E$6:$E$65)*(M$7='Data CRs'!$D$6:$D$65))</f>
        <v>6</v>
      </c>
      <c r="N38" s="148">
        <f t="array" ref="N38">SUM(($B38&gt;='Data CRs'!$E$6:$E$65)*(N$7='Data CRs'!$D$6:$D$65))</f>
        <v>5</v>
      </c>
      <c r="O38" s="148">
        <f t="array" ref="O38">SUM(($B38&gt;='Data CRs'!$E$6:$E$65)*(O$7='Data CRs'!$D$6:$D$65))</f>
        <v>3</v>
      </c>
      <c r="P38" s="148">
        <f t="array" ref="P38">SUM(($B38&gt;='Data CRs'!$E$6:$E$65)*(P$7='Data CRs'!$D$6:$D$65))</f>
        <v>6</v>
      </c>
    </row>
    <row r="39" spans="2:16" s="132" customFormat="1" x14ac:dyDescent="0.2">
      <c r="B39" s="220">
        <f t="shared" si="2"/>
        <v>40032</v>
      </c>
      <c r="C39" s="221">
        <f t="shared" si="0"/>
        <v>32</v>
      </c>
      <c r="D39" s="148">
        <f t="array" ref="D39">SUM(($B39&gt;='Data CRs'!E$6:E$65)*('Data CRs'!E$6:E$65&gt;0))</f>
        <v>38</v>
      </c>
      <c r="E39" s="148">
        <f t="shared" si="1"/>
        <v>0</v>
      </c>
      <c r="F39" s="148">
        <f t="array" ref="F39">SUM(($B39&gt;='Data CRs'!F$6:F$65)*('Data CRs'!F$6:F$65&gt;0))</f>
        <v>28</v>
      </c>
      <c r="G39" s="148">
        <f t="array" ref="G39">SUM(($B39&gt;='Data CRs'!G$6:G$65)*('Data CRs'!G$6:G$65&gt;0))</f>
        <v>25</v>
      </c>
      <c r="H39" s="148">
        <f t="array" ref="H39">SUM(($B39&gt;='Data CRs'!H$6:H$65)*('Data CRs'!H$6:H$65&gt;0))</f>
        <v>5</v>
      </c>
      <c r="I39" s="148">
        <f t="array" ref="I39">SUM(($B39&gt;='Data CRs'!I$6:I$65)*('Data CRs'!I$6:I$65&gt;0))</f>
        <v>5</v>
      </c>
      <c r="J39" s="137"/>
      <c r="K39" s="148">
        <f t="array" ref="K39">SUM(($B39&gt;='Data CRs'!$E$6:$E$65)*(K$7='Data CRs'!$D$6:$D$65))</f>
        <v>7</v>
      </c>
      <c r="L39" s="148">
        <f t="array" ref="L39">SUM(($B39&gt;='Data CRs'!$E$6:$E$65)*(L$7='Data CRs'!$D$6:$D$65))</f>
        <v>11</v>
      </c>
      <c r="M39" s="148">
        <f t="array" ref="M39">SUM(($B39&gt;='Data CRs'!$E$6:$E$65)*(M$7='Data CRs'!$D$6:$D$65))</f>
        <v>6</v>
      </c>
      <c r="N39" s="148">
        <f t="array" ref="N39">SUM(($B39&gt;='Data CRs'!$E$6:$E$65)*(N$7='Data CRs'!$D$6:$D$65))</f>
        <v>5</v>
      </c>
      <c r="O39" s="148">
        <f t="array" ref="O39">SUM(($B39&gt;='Data CRs'!$E$6:$E$65)*(O$7='Data CRs'!$D$6:$D$65))</f>
        <v>3</v>
      </c>
      <c r="P39" s="148">
        <f t="array" ref="P39">SUM(($B39&gt;='Data CRs'!$E$6:$E$65)*(P$7='Data CRs'!$D$6:$D$65))</f>
        <v>6</v>
      </c>
    </row>
    <row r="40" spans="2:16" s="132" customFormat="1" x14ac:dyDescent="0.2">
      <c r="B40" s="220">
        <f t="shared" ref="B40:B57" si="3">B39+7</f>
        <v>40039</v>
      </c>
      <c r="C40" s="221">
        <f t="shared" si="0"/>
        <v>33</v>
      </c>
      <c r="D40" s="148">
        <f t="array" ref="D40">SUM(($B40&gt;='Data CRs'!E$6:E$65)*('Data CRs'!E$6:E$65&gt;0))</f>
        <v>39</v>
      </c>
      <c r="E40" s="148">
        <f t="shared" ref="E40:E57" si="4">D40-F40-H40-I40</f>
        <v>1</v>
      </c>
      <c r="F40" s="148">
        <f t="array" ref="F40">SUM(($B40&gt;='Data CRs'!F$6:F$65)*('Data CRs'!F$6:F$65&gt;0))</f>
        <v>28</v>
      </c>
      <c r="G40" s="148">
        <f t="array" ref="G40">SUM(($B40&gt;='Data CRs'!G$6:G$65)*('Data CRs'!G$6:G$65&gt;0))</f>
        <v>26</v>
      </c>
      <c r="H40" s="148">
        <f t="array" ref="H40">SUM(($B40&gt;='Data CRs'!H$6:H$65)*('Data CRs'!H$6:H$65&gt;0))</f>
        <v>5</v>
      </c>
      <c r="I40" s="148">
        <f t="array" ref="I40">SUM(($B40&gt;='Data CRs'!I$6:I$65)*('Data CRs'!I$6:I$65&gt;0))</f>
        <v>5</v>
      </c>
      <c r="J40" s="137"/>
      <c r="K40" s="148">
        <f t="array" ref="K40">SUM(($B40&gt;='Data CRs'!$E$6:$E$65)*(K$7='Data CRs'!$D$6:$D$65))</f>
        <v>8</v>
      </c>
      <c r="L40" s="148">
        <f t="array" ref="L40">SUM(($B40&gt;='Data CRs'!$E$6:$E$65)*(L$7='Data CRs'!$D$6:$D$65))</f>
        <v>11</v>
      </c>
      <c r="M40" s="148">
        <f t="array" ref="M40">SUM(($B40&gt;='Data CRs'!$E$6:$E$65)*(M$7='Data CRs'!$D$6:$D$65))</f>
        <v>6</v>
      </c>
      <c r="N40" s="148">
        <f t="array" ref="N40">SUM(($B40&gt;='Data CRs'!$E$6:$E$65)*(N$7='Data CRs'!$D$6:$D$65))</f>
        <v>5</v>
      </c>
      <c r="O40" s="148">
        <f t="array" ref="O40">SUM(($B40&gt;='Data CRs'!$E$6:$E$65)*(O$7='Data CRs'!$D$6:$D$65))</f>
        <v>3</v>
      </c>
      <c r="P40" s="148">
        <f t="array" ref="P40">SUM(($B40&gt;='Data CRs'!$E$6:$E$65)*(P$7='Data CRs'!$D$6:$D$65))</f>
        <v>6</v>
      </c>
    </row>
    <row r="41" spans="2:16" s="132" customFormat="1" x14ac:dyDescent="0.2">
      <c r="B41" s="220">
        <f t="shared" si="3"/>
        <v>40046</v>
      </c>
      <c r="C41" s="221">
        <f t="shared" si="0"/>
        <v>34</v>
      </c>
      <c r="D41" s="148">
        <f t="array" ref="D41">SUM(($B41&gt;='Data CRs'!E$6:E$65)*('Data CRs'!E$6:E$65&gt;0))</f>
        <v>39</v>
      </c>
      <c r="E41" s="148">
        <f t="shared" si="4"/>
        <v>0</v>
      </c>
      <c r="F41" s="148">
        <f t="array" ref="F41">SUM(($B41&gt;='Data CRs'!F$6:F$65)*('Data CRs'!F$6:F$65&gt;0))</f>
        <v>28</v>
      </c>
      <c r="G41" s="148">
        <f t="array" ref="G41">SUM(($B41&gt;='Data CRs'!G$6:G$65)*('Data CRs'!G$6:G$65&gt;0))</f>
        <v>28</v>
      </c>
      <c r="H41" s="148">
        <f t="array" ref="H41">SUM(($B41&gt;='Data CRs'!H$6:H$65)*('Data CRs'!H$6:H$65&gt;0))</f>
        <v>5</v>
      </c>
      <c r="I41" s="148">
        <f t="array" ref="I41">SUM(($B41&gt;='Data CRs'!I$6:I$65)*('Data CRs'!I$6:I$65&gt;0))</f>
        <v>6</v>
      </c>
      <c r="J41" s="137"/>
      <c r="K41" s="148">
        <f t="array" ref="K41">SUM(($B41&gt;='Data CRs'!$E$6:$E$65)*(K$7='Data CRs'!$D$6:$D$65))</f>
        <v>8</v>
      </c>
      <c r="L41" s="148">
        <f t="array" ref="L41">SUM(($B41&gt;='Data CRs'!$E$6:$E$65)*(L$7='Data CRs'!$D$6:$D$65))</f>
        <v>11</v>
      </c>
      <c r="M41" s="148">
        <f t="array" ref="M41">SUM(($B41&gt;='Data CRs'!$E$6:$E$65)*(M$7='Data CRs'!$D$6:$D$65))</f>
        <v>6</v>
      </c>
      <c r="N41" s="148">
        <f t="array" ref="N41">SUM(($B41&gt;='Data CRs'!$E$6:$E$65)*(N$7='Data CRs'!$D$6:$D$65))</f>
        <v>5</v>
      </c>
      <c r="O41" s="148">
        <f t="array" ref="O41">SUM(($B41&gt;='Data CRs'!$E$6:$E$65)*(O$7='Data CRs'!$D$6:$D$65))</f>
        <v>3</v>
      </c>
      <c r="P41" s="148">
        <f t="array" ref="P41">SUM(($B41&gt;='Data CRs'!$E$6:$E$65)*(P$7='Data CRs'!$D$6:$D$65))</f>
        <v>6</v>
      </c>
    </row>
    <row r="42" spans="2:16" s="132" customFormat="1" x14ac:dyDescent="0.2">
      <c r="B42" s="220">
        <f t="shared" si="3"/>
        <v>40053</v>
      </c>
      <c r="C42" s="221">
        <f t="shared" si="0"/>
        <v>35</v>
      </c>
      <c r="D42" s="148">
        <f t="array" ref="D42">SUM(($B42&gt;='Data CRs'!E$6:E$65)*('Data CRs'!E$6:E$65&gt;0))</f>
        <v>40</v>
      </c>
      <c r="E42" s="148">
        <f t="shared" si="4"/>
        <v>0</v>
      </c>
      <c r="F42" s="148">
        <f t="array" ref="F42">SUM(($B42&gt;='Data CRs'!F$6:F$65)*('Data CRs'!F$6:F$65&gt;0))</f>
        <v>29</v>
      </c>
      <c r="G42" s="148">
        <f t="array" ref="G42">SUM(($B42&gt;='Data CRs'!G$6:G$65)*('Data CRs'!G$6:G$65&gt;0))</f>
        <v>28</v>
      </c>
      <c r="H42" s="148">
        <f t="array" ref="H42">SUM(($B42&gt;='Data CRs'!H$6:H$65)*('Data CRs'!H$6:H$65&gt;0))</f>
        <v>5</v>
      </c>
      <c r="I42" s="148">
        <f t="array" ref="I42">SUM(($B42&gt;='Data CRs'!I$6:I$65)*('Data CRs'!I$6:I$65&gt;0))</f>
        <v>6</v>
      </c>
      <c r="J42" s="137"/>
      <c r="K42" s="148">
        <f t="array" ref="K42">SUM(($B42&gt;='Data CRs'!$E$6:$E$65)*(K$7='Data CRs'!$D$6:$D$65))</f>
        <v>9</v>
      </c>
      <c r="L42" s="148">
        <f t="array" ref="L42">SUM(($B42&gt;='Data CRs'!$E$6:$E$65)*(L$7='Data CRs'!$D$6:$D$65))</f>
        <v>11</v>
      </c>
      <c r="M42" s="148">
        <f t="array" ref="M42">SUM(($B42&gt;='Data CRs'!$E$6:$E$65)*(M$7='Data CRs'!$D$6:$D$65))</f>
        <v>6</v>
      </c>
      <c r="N42" s="148">
        <f t="array" ref="N42">SUM(($B42&gt;='Data CRs'!$E$6:$E$65)*(N$7='Data CRs'!$D$6:$D$65))</f>
        <v>5</v>
      </c>
      <c r="O42" s="148">
        <f t="array" ref="O42">SUM(($B42&gt;='Data CRs'!$E$6:$E$65)*(O$7='Data CRs'!$D$6:$D$65))</f>
        <v>3</v>
      </c>
      <c r="P42" s="148">
        <f t="array" ref="P42">SUM(($B42&gt;='Data CRs'!$E$6:$E$65)*(P$7='Data CRs'!$D$6:$D$65))</f>
        <v>6</v>
      </c>
    </row>
    <row r="43" spans="2:16" s="132" customFormat="1" x14ac:dyDescent="0.2">
      <c r="B43" s="220">
        <f t="shared" si="3"/>
        <v>40060</v>
      </c>
      <c r="C43" s="221">
        <f t="shared" si="0"/>
        <v>36</v>
      </c>
      <c r="D43" s="148">
        <f t="array" ref="D43">SUM(($B43&gt;='Data CRs'!E$6:E$65)*('Data CRs'!E$6:E$65&gt;0))</f>
        <v>42</v>
      </c>
      <c r="E43" s="148">
        <f t="shared" si="4"/>
        <v>0</v>
      </c>
      <c r="F43" s="148">
        <f t="array" ref="F43">SUM(($B43&gt;='Data CRs'!F$6:F$65)*('Data CRs'!F$6:F$65&gt;0))</f>
        <v>30</v>
      </c>
      <c r="G43" s="148">
        <f t="array" ref="G43">SUM(($B43&gt;='Data CRs'!G$6:G$65)*('Data CRs'!G$6:G$65&gt;0))</f>
        <v>28</v>
      </c>
      <c r="H43" s="148">
        <f t="array" ref="H43">SUM(($B43&gt;='Data CRs'!H$6:H$65)*('Data CRs'!H$6:H$65&gt;0))</f>
        <v>5</v>
      </c>
      <c r="I43" s="148">
        <f t="array" ref="I43">SUM(($B43&gt;='Data CRs'!I$6:I$65)*('Data CRs'!I$6:I$65&gt;0))</f>
        <v>7</v>
      </c>
      <c r="J43" s="137"/>
      <c r="K43" s="148">
        <f t="array" ref="K43">SUM(($B43&gt;='Data CRs'!$E$6:$E$65)*(K$7='Data CRs'!$D$6:$D$65))</f>
        <v>10</v>
      </c>
      <c r="L43" s="148">
        <f t="array" ref="L43">SUM(($B43&gt;='Data CRs'!$E$6:$E$65)*(L$7='Data CRs'!$D$6:$D$65))</f>
        <v>11</v>
      </c>
      <c r="M43" s="148">
        <f t="array" ref="M43">SUM(($B43&gt;='Data CRs'!$E$6:$E$65)*(M$7='Data CRs'!$D$6:$D$65))</f>
        <v>7</v>
      </c>
      <c r="N43" s="148">
        <f t="array" ref="N43">SUM(($B43&gt;='Data CRs'!$E$6:$E$65)*(N$7='Data CRs'!$D$6:$D$65))</f>
        <v>5</v>
      </c>
      <c r="O43" s="148">
        <f t="array" ref="O43">SUM(($B43&gt;='Data CRs'!$E$6:$E$65)*(O$7='Data CRs'!$D$6:$D$65))</f>
        <v>3</v>
      </c>
      <c r="P43" s="148">
        <f t="array" ref="P43">SUM(($B43&gt;='Data CRs'!$E$6:$E$65)*(P$7='Data CRs'!$D$6:$D$65))</f>
        <v>6</v>
      </c>
    </row>
    <row r="44" spans="2:16" s="132" customFormat="1" x14ac:dyDescent="0.2">
      <c r="B44" s="220">
        <f t="shared" si="3"/>
        <v>40067</v>
      </c>
      <c r="C44" s="221">
        <f t="shared" si="0"/>
        <v>37</v>
      </c>
      <c r="D44" s="148">
        <f t="array" ref="D44">SUM(($B44&gt;='Data CRs'!E$6:E$65)*('Data CRs'!E$6:E$65&gt;0))</f>
        <v>44</v>
      </c>
      <c r="E44" s="148">
        <f t="shared" si="4"/>
        <v>2</v>
      </c>
      <c r="F44" s="148">
        <f t="array" ref="F44">SUM(($B44&gt;='Data CRs'!F$6:F$65)*('Data CRs'!F$6:F$65&gt;0))</f>
        <v>30</v>
      </c>
      <c r="G44" s="148">
        <f t="array" ref="G44">SUM(($B44&gt;='Data CRs'!G$6:G$65)*('Data CRs'!G$6:G$65&gt;0))</f>
        <v>28</v>
      </c>
      <c r="H44" s="148">
        <f t="array" ref="H44">SUM(($B44&gt;='Data CRs'!H$6:H$65)*('Data CRs'!H$6:H$65&gt;0))</f>
        <v>5</v>
      </c>
      <c r="I44" s="148">
        <f t="array" ref="I44">SUM(($B44&gt;='Data CRs'!I$6:I$65)*('Data CRs'!I$6:I$65&gt;0))</f>
        <v>7</v>
      </c>
      <c r="J44" s="137"/>
      <c r="K44" s="148">
        <f t="array" ref="K44">SUM(($B44&gt;='Data CRs'!$E$6:$E$65)*(K$7='Data CRs'!$D$6:$D$65))</f>
        <v>11</v>
      </c>
      <c r="L44" s="148">
        <f t="array" ref="L44">SUM(($B44&gt;='Data CRs'!$E$6:$E$65)*(L$7='Data CRs'!$D$6:$D$65))</f>
        <v>11</v>
      </c>
      <c r="M44" s="148">
        <f t="array" ref="M44">SUM(($B44&gt;='Data CRs'!$E$6:$E$65)*(M$7='Data CRs'!$D$6:$D$65))</f>
        <v>7</v>
      </c>
      <c r="N44" s="148">
        <f t="array" ref="N44">SUM(($B44&gt;='Data CRs'!$E$6:$E$65)*(N$7='Data CRs'!$D$6:$D$65))</f>
        <v>6</v>
      </c>
      <c r="O44" s="148">
        <f t="array" ref="O44">SUM(($B44&gt;='Data CRs'!$E$6:$E$65)*(O$7='Data CRs'!$D$6:$D$65))</f>
        <v>3</v>
      </c>
      <c r="P44" s="148">
        <f t="array" ref="P44">SUM(($B44&gt;='Data CRs'!$E$6:$E$65)*(P$7='Data CRs'!$D$6:$D$65))</f>
        <v>6</v>
      </c>
    </row>
    <row r="45" spans="2:16" s="132" customFormat="1" x14ac:dyDescent="0.2">
      <c r="B45" s="220">
        <f t="shared" si="3"/>
        <v>40074</v>
      </c>
      <c r="C45" s="221">
        <f t="shared" si="0"/>
        <v>38</v>
      </c>
      <c r="D45" s="148">
        <f t="array" ref="D45">SUM(($B45&gt;='Data CRs'!E$6:E$65)*('Data CRs'!E$6:E$65&gt;0))</f>
        <v>44</v>
      </c>
      <c r="E45" s="148">
        <f t="shared" si="4"/>
        <v>0</v>
      </c>
      <c r="F45" s="148">
        <f t="array" ref="F45">SUM(($B45&gt;='Data CRs'!F$6:F$65)*('Data CRs'!F$6:F$65&gt;0))</f>
        <v>30</v>
      </c>
      <c r="G45" s="148">
        <f t="array" ref="G45">SUM(($B45&gt;='Data CRs'!G$6:G$65)*('Data CRs'!G$6:G$65&gt;0))</f>
        <v>28</v>
      </c>
      <c r="H45" s="148">
        <f t="array" ref="H45">SUM(($B45&gt;='Data CRs'!H$6:H$65)*('Data CRs'!H$6:H$65&gt;0))</f>
        <v>5</v>
      </c>
      <c r="I45" s="148">
        <f t="array" ref="I45">SUM(($B45&gt;='Data CRs'!I$6:I$65)*('Data CRs'!I$6:I$65&gt;0))</f>
        <v>9</v>
      </c>
      <c r="J45" s="137"/>
      <c r="K45" s="148">
        <f t="array" ref="K45">SUM(($B45&gt;='Data CRs'!$E$6:$E$65)*(K$7='Data CRs'!$D$6:$D$65))</f>
        <v>11</v>
      </c>
      <c r="L45" s="148">
        <f t="array" ref="L45">SUM(($B45&gt;='Data CRs'!$E$6:$E$65)*(L$7='Data CRs'!$D$6:$D$65))</f>
        <v>11</v>
      </c>
      <c r="M45" s="148">
        <f t="array" ref="M45">SUM(($B45&gt;='Data CRs'!$E$6:$E$65)*(M$7='Data CRs'!$D$6:$D$65))</f>
        <v>7</v>
      </c>
      <c r="N45" s="148">
        <f t="array" ref="N45">SUM(($B45&gt;='Data CRs'!$E$6:$E$65)*(N$7='Data CRs'!$D$6:$D$65))</f>
        <v>6</v>
      </c>
      <c r="O45" s="148">
        <f t="array" ref="O45">SUM(($B45&gt;='Data CRs'!$E$6:$E$65)*(O$7='Data CRs'!$D$6:$D$65))</f>
        <v>3</v>
      </c>
      <c r="P45" s="148">
        <f t="array" ref="P45">SUM(($B45&gt;='Data CRs'!$E$6:$E$65)*(P$7='Data CRs'!$D$6:$D$65))</f>
        <v>6</v>
      </c>
    </row>
    <row r="46" spans="2:16" s="132" customFormat="1" x14ac:dyDescent="0.2">
      <c r="B46" s="220">
        <f t="shared" si="3"/>
        <v>40081</v>
      </c>
      <c r="C46" s="221">
        <f t="shared" si="0"/>
        <v>39</v>
      </c>
      <c r="D46" s="148">
        <f t="array" ref="D46">SUM(($B46&gt;='Data CRs'!E$6:E$65)*('Data CRs'!E$6:E$65&gt;0))</f>
        <v>49</v>
      </c>
      <c r="E46" s="148">
        <f t="shared" si="4"/>
        <v>4</v>
      </c>
      <c r="F46" s="148">
        <f t="array" ref="F46">SUM(($B46&gt;='Data CRs'!F$6:F$65)*('Data CRs'!F$6:F$65&gt;0))</f>
        <v>31</v>
      </c>
      <c r="G46" s="148">
        <f t="array" ref="G46">SUM(($B46&gt;='Data CRs'!G$6:G$65)*('Data CRs'!G$6:G$65&gt;0))</f>
        <v>28</v>
      </c>
      <c r="H46" s="148">
        <f t="array" ref="H46">SUM(($B46&gt;='Data CRs'!H$6:H$65)*('Data CRs'!H$6:H$65&gt;0))</f>
        <v>5</v>
      </c>
      <c r="I46" s="148">
        <f t="array" ref="I46">SUM(($B46&gt;='Data CRs'!I$6:I$65)*('Data CRs'!I$6:I$65&gt;0))</f>
        <v>9</v>
      </c>
      <c r="J46" s="137"/>
      <c r="K46" s="148">
        <f t="array" ref="K46">SUM(($B46&gt;='Data CRs'!$E$6:$E$65)*(K$7='Data CRs'!$D$6:$D$65))</f>
        <v>13</v>
      </c>
      <c r="L46" s="148">
        <f t="array" ref="L46">SUM(($B46&gt;='Data CRs'!$E$6:$E$65)*(L$7='Data CRs'!$D$6:$D$65))</f>
        <v>12</v>
      </c>
      <c r="M46" s="148">
        <f t="array" ref="M46">SUM(($B46&gt;='Data CRs'!$E$6:$E$65)*(M$7='Data CRs'!$D$6:$D$65))</f>
        <v>8</v>
      </c>
      <c r="N46" s="148">
        <f t="array" ref="N46">SUM(($B46&gt;='Data CRs'!$E$6:$E$65)*(N$7='Data CRs'!$D$6:$D$65))</f>
        <v>7</v>
      </c>
      <c r="O46" s="148">
        <f t="array" ref="O46">SUM(($B46&gt;='Data CRs'!$E$6:$E$65)*(O$7='Data CRs'!$D$6:$D$65))</f>
        <v>3</v>
      </c>
      <c r="P46" s="148">
        <f t="array" ref="P46">SUM(($B46&gt;='Data CRs'!$E$6:$E$65)*(P$7='Data CRs'!$D$6:$D$65))</f>
        <v>6</v>
      </c>
    </row>
    <row r="47" spans="2:16" s="132" customFormat="1" x14ac:dyDescent="0.2">
      <c r="B47" s="220">
        <f t="shared" si="3"/>
        <v>40088</v>
      </c>
      <c r="C47" s="221">
        <f t="shared" si="0"/>
        <v>40</v>
      </c>
      <c r="D47" s="148">
        <f t="array" ref="D47">SUM(($B47&gt;='Data CRs'!E$6:E$65)*('Data CRs'!E$6:E$65&gt;0))</f>
        <v>50</v>
      </c>
      <c r="E47" s="148">
        <f t="shared" si="4"/>
        <v>0</v>
      </c>
      <c r="F47" s="148">
        <f t="array" ref="F47">SUM(($B47&gt;='Data CRs'!F$6:F$65)*('Data CRs'!F$6:F$65&gt;0))</f>
        <v>34</v>
      </c>
      <c r="G47" s="148">
        <f t="array" ref="G47">SUM(($B47&gt;='Data CRs'!G$6:G$65)*('Data CRs'!G$6:G$65&gt;0))</f>
        <v>28</v>
      </c>
      <c r="H47" s="148">
        <f t="array" ref="H47">SUM(($B47&gt;='Data CRs'!H$6:H$65)*('Data CRs'!H$6:H$65&gt;0))</f>
        <v>5</v>
      </c>
      <c r="I47" s="148">
        <f t="array" ref="I47">SUM(($B47&gt;='Data CRs'!I$6:I$65)*('Data CRs'!I$6:I$65&gt;0))</f>
        <v>11</v>
      </c>
      <c r="J47" s="137"/>
      <c r="K47" s="148">
        <f t="array" ref="K47">SUM(($B47&gt;='Data CRs'!$E$6:$E$65)*(K$7='Data CRs'!$D$6:$D$65))</f>
        <v>14</v>
      </c>
      <c r="L47" s="148">
        <f t="array" ref="L47">SUM(($B47&gt;='Data CRs'!$E$6:$E$65)*(L$7='Data CRs'!$D$6:$D$65))</f>
        <v>12</v>
      </c>
      <c r="M47" s="148">
        <f t="array" ref="M47">SUM(($B47&gt;='Data CRs'!$E$6:$E$65)*(M$7='Data CRs'!$D$6:$D$65))</f>
        <v>8</v>
      </c>
      <c r="N47" s="148">
        <f t="array" ref="N47">SUM(($B47&gt;='Data CRs'!$E$6:$E$65)*(N$7='Data CRs'!$D$6:$D$65))</f>
        <v>7</v>
      </c>
      <c r="O47" s="148">
        <f t="array" ref="O47">SUM(($B47&gt;='Data CRs'!$E$6:$E$65)*(O$7='Data CRs'!$D$6:$D$65))</f>
        <v>3</v>
      </c>
      <c r="P47" s="148">
        <f t="array" ref="P47">SUM(($B47&gt;='Data CRs'!$E$6:$E$65)*(P$7='Data CRs'!$D$6:$D$65))</f>
        <v>6</v>
      </c>
    </row>
    <row r="48" spans="2:16" s="132" customFormat="1" x14ac:dyDescent="0.2">
      <c r="B48" s="220">
        <f t="shared" si="3"/>
        <v>40095</v>
      </c>
      <c r="C48" s="221">
        <f t="shared" si="0"/>
        <v>41</v>
      </c>
      <c r="D48" s="148">
        <f t="array" ref="D48">SUM(($B48&gt;='Data CRs'!E$6:E$65)*('Data CRs'!E$6:E$65&gt;0))</f>
        <v>50</v>
      </c>
      <c r="E48" s="148">
        <f t="shared" si="4"/>
        <v>0</v>
      </c>
      <c r="F48" s="148">
        <f t="array" ref="F48">SUM(($B48&gt;='Data CRs'!F$6:F$65)*('Data CRs'!F$6:F$65&gt;0))</f>
        <v>34</v>
      </c>
      <c r="G48" s="148">
        <f t="array" ref="G48">SUM(($B48&gt;='Data CRs'!G$6:G$65)*('Data CRs'!G$6:G$65&gt;0))</f>
        <v>28</v>
      </c>
      <c r="H48" s="148">
        <f t="array" ref="H48">SUM(($B48&gt;='Data CRs'!H$6:H$65)*('Data CRs'!H$6:H$65&gt;0))</f>
        <v>5</v>
      </c>
      <c r="I48" s="148">
        <f t="array" ref="I48">SUM(($B48&gt;='Data CRs'!I$6:I$65)*('Data CRs'!I$6:I$65&gt;0))</f>
        <v>11</v>
      </c>
      <c r="J48" s="137"/>
      <c r="K48" s="148">
        <f t="array" ref="K48">SUM(($B48&gt;='Data CRs'!$E$6:$E$65)*(K$7='Data CRs'!$D$6:$D$65))</f>
        <v>14</v>
      </c>
      <c r="L48" s="148">
        <f t="array" ref="L48">SUM(($B48&gt;='Data CRs'!$E$6:$E$65)*(L$7='Data CRs'!$D$6:$D$65))</f>
        <v>12</v>
      </c>
      <c r="M48" s="148">
        <f t="array" ref="M48">SUM(($B48&gt;='Data CRs'!$E$6:$E$65)*(M$7='Data CRs'!$D$6:$D$65))</f>
        <v>8</v>
      </c>
      <c r="N48" s="148">
        <f t="array" ref="N48">SUM(($B48&gt;='Data CRs'!$E$6:$E$65)*(N$7='Data CRs'!$D$6:$D$65))</f>
        <v>7</v>
      </c>
      <c r="O48" s="148">
        <f t="array" ref="O48">SUM(($B48&gt;='Data CRs'!$E$6:$E$65)*(O$7='Data CRs'!$D$6:$D$65))</f>
        <v>3</v>
      </c>
      <c r="P48" s="148">
        <f t="array" ref="P48">SUM(($B48&gt;='Data CRs'!$E$6:$E$65)*(P$7='Data CRs'!$D$6:$D$65))</f>
        <v>6</v>
      </c>
    </row>
    <row r="49" spans="2:16" s="132" customFormat="1" x14ac:dyDescent="0.2">
      <c r="B49" s="220">
        <f t="shared" si="3"/>
        <v>40102</v>
      </c>
      <c r="C49" s="221">
        <f t="shared" si="0"/>
        <v>42</v>
      </c>
      <c r="D49" s="148">
        <f t="array" ref="D49">SUM(($B49&gt;='Data CRs'!E$6:E$65)*('Data CRs'!E$6:E$65&gt;0))</f>
        <v>50</v>
      </c>
      <c r="E49" s="148">
        <f t="shared" si="4"/>
        <v>0</v>
      </c>
      <c r="F49" s="148">
        <f t="array" ref="F49">SUM(($B49&gt;='Data CRs'!F$6:F$65)*('Data CRs'!F$6:F$65&gt;0))</f>
        <v>34</v>
      </c>
      <c r="G49" s="148">
        <f t="array" ref="G49">SUM(($B49&gt;='Data CRs'!G$6:G$65)*('Data CRs'!G$6:G$65&gt;0))</f>
        <v>28</v>
      </c>
      <c r="H49" s="148">
        <f t="array" ref="H49">SUM(($B49&gt;='Data CRs'!H$6:H$65)*('Data CRs'!H$6:H$65&gt;0))</f>
        <v>5</v>
      </c>
      <c r="I49" s="148">
        <f t="array" ref="I49">SUM(($B49&gt;='Data CRs'!I$6:I$65)*('Data CRs'!I$6:I$65&gt;0))</f>
        <v>11</v>
      </c>
      <c r="J49" s="137"/>
      <c r="K49" s="148">
        <f t="array" ref="K49">SUM(($B49&gt;='Data CRs'!$E$6:$E$65)*(K$7='Data CRs'!$D$6:$D$65))</f>
        <v>14</v>
      </c>
      <c r="L49" s="148">
        <f t="array" ref="L49">SUM(($B49&gt;='Data CRs'!$E$6:$E$65)*(L$7='Data CRs'!$D$6:$D$65))</f>
        <v>12</v>
      </c>
      <c r="M49" s="148">
        <f t="array" ref="M49">SUM(($B49&gt;='Data CRs'!$E$6:$E$65)*(M$7='Data CRs'!$D$6:$D$65))</f>
        <v>8</v>
      </c>
      <c r="N49" s="148">
        <f t="array" ref="N49">SUM(($B49&gt;='Data CRs'!$E$6:$E$65)*(N$7='Data CRs'!$D$6:$D$65))</f>
        <v>7</v>
      </c>
      <c r="O49" s="148">
        <f t="array" ref="O49">SUM(($B49&gt;='Data CRs'!$E$6:$E$65)*(O$7='Data CRs'!$D$6:$D$65))</f>
        <v>3</v>
      </c>
      <c r="P49" s="148">
        <f t="array" ref="P49">SUM(($B49&gt;='Data CRs'!$E$6:$E$65)*(P$7='Data CRs'!$D$6:$D$65))</f>
        <v>6</v>
      </c>
    </row>
    <row r="50" spans="2:16" s="132" customFormat="1" x14ac:dyDescent="0.2">
      <c r="B50" s="220">
        <f t="shared" si="3"/>
        <v>40109</v>
      </c>
      <c r="C50" s="221">
        <f t="shared" si="0"/>
        <v>43</v>
      </c>
      <c r="D50" s="148">
        <f t="array" ref="D50">SUM(($B50&gt;='Data CRs'!E$6:E$65)*('Data CRs'!E$6:E$65&gt;0))</f>
        <v>50</v>
      </c>
      <c r="E50" s="148">
        <f t="shared" si="4"/>
        <v>0</v>
      </c>
      <c r="F50" s="148">
        <f t="array" ref="F50">SUM(($B50&gt;='Data CRs'!F$6:F$65)*('Data CRs'!F$6:F$65&gt;0))</f>
        <v>34</v>
      </c>
      <c r="G50" s="148">
        <f t="array" ref="G50">SUM(($B50&gt;='Data CRs'!G$6:G$65)*('Data CRs'!G$6:G$65&gt;0))</f>
        <v>28</v>
      </c>
      <c r="H50" s="148">
        <f t="array" ref="H50">SUM(($B50&gt;='Data CRs'!H$6:H$65)*('Data CRs'!H$6:H$65&gt;0))</f>
        <v>5</v>
      </c>
      <c r="I50" s="148">
        <f t="array" ref="I50">SUM(($B50&gt;='Data CRs'!I$6:I$65)*('Data CRs'!I$6:I$65&gt;0))</f>
        <v>11</v>
      </c>
      <c r="J50" s="137"/>
      <c r="K50" s="148">
        <f t="array" ref="K50">SUM(($B50&gt;='Data CRs'!$E$6:$E$65)*(K$7='Data CRs'!$D$6:$D$65))</f>
        <v>14</v>
      </c>
      <c r="L50" s="148">
        <f t="array" ref="L50">SUM(($B50&gt;='Data CRs'!$E$6:$E$65)*(L$7='Data CRs'!$D$6:$D$65))</f>
        <v>12</v>
      </c>
      <c r="M50" s="148">
        <f t="array" ref="M50">SUM(($B50&gt;='Data CRs'!$E$6:$E$65)*(M$7='Data CRs'!$D$6:$D$65))</f>
        <v>8</v>
      </c>
      <c r="N50" s="148">
        <f t="array" ref="N50">SUM(($B50&gt;='Data CRs'!$E$6:$E$65)*(N$7='Data CRs'!$D$6:$D$65))</f>
        <v>7</v>
      </c>
      <c r="O50" s="148">
        <f t="array" ref="O50">SUM(($B50&gt;='Data CRs'!$E$6:$E$65)*(O$7='Data CRs'!$D$6:$D$65))</f>
        <v>3</v>
      </c>
      <c r="P50" s="148">
        <f t="array" ref="P50">SUM(($B50&gt;='Data CRs'!$E$6:$E$65)*(P$7='Data CRs'!$D$6:$D$65))</f>
        <v>6</v>
      </c>
    </row>
    <row r="51" spans="2:16" s="132" customFormat="1" x14ac:dyDescent="0.2">
      <c r="B51" s="220">
        <f t="shared" si="3"/>
        <v>40116</v>
      </c>
      <c r="C51" s="221">
        <f t="shared" si="0"/>
        <v>44</v>
      </c>
      <c r="D51" s="148">
        <f t="array" ref="D51">SUM(($B51&gt;='Data CRs'!E$6:E$65)*('Data CRs'!E$6:E$65&gt;0))</f>
        <v>50</v>
      </c>
      <c r="E51" s="148">
        <f t="shared" si="4"/>
        <v>0</v>
      </c>
      <c r="F51" s="148">
        <f t="array" ref="F51">SUM(($B51&gt;='Data CRs'!F$6:F$65)*('Data CRs'!F$6:F$65&gt;0))</f>
        <v>34</v>
      </c>
      <c r="G51" s="148">
        <f t="array" ref="G51">SUM(($B51&gt;='Data CRs'!G$6:G$65)*('Data CRs'!G$6:G$65&gt;0))</f>
        <v>28</v>
      </c>
      <c r="H51" s="148">
        <f t="array" ref="H51">SUM(($B51&gt;='Data CRs'!H$6:H$65)*('Data CRs'!H$6:H$65&gt;0))</f>
        <v>5</v>
      </c>
      <c r="I51" s="148">
        <f t="array" ref="I51">SUM(($B51&gt;='Data CRs'!I$6:I$65)*('Data CRs'!I$6:I$65&gt;0))</f>
        <v>11</v>
      </c>
      <c r="J51" s="137"/>
      <c r="K51" s="148">
        <f t="array" ref="K51">SUM(($B51&gt;='Data CRs'!$E$6:$E$65)*(K$7='Data CRs'!$D$6:$D$65))</f>
        <v>14</v>
      </c>
      <c r="L51" s="148">
        <f t="array" ref="L51">SUM(($B51&gt;='Data CRs'!$E$6:$E$65)*(L$7='Data CRs'!$D$6:$D$65))</f>
        <v>12</v>
      </c>
      <c r="M51" s="148">
        <f t="array" ref="M51">SUM(($B51&gt;='Data CRs'!$E$6:$E$65)*(M$7='Data CRs'!$D$6:$D$65))</f>
        <v>8</v>
      </c>
      <c r="N51" s="148">
        <f t="array" ref="N51">SUM(($B51&gt;='Data CRs'!$E$6:$E$65)*(N$7='Data CRs'!$D$6:$D$65))</f>
        <v>7</v>
      </c>
      <c r="O51" s="148">
        <f t="array" ref="O51">SUM(($B51&gt;='Data CRs'!$E$6:$E$65)*(O$7='Data CRs'!$D$6:$D$65))</f>
        <v>3</v>
      </c>
      <c r="P51" s="148">
        <f t="array" ref="P51">SUM(($B51&gt;='Data CRs'!$E$6:$E$65)*(P$7='Data CRs'!$D$6:$D$65))</f>
        <v>6</v>
      </c>
    </row>
    <row r="52" spans="2:16" s="132" customFormat="1" x14ac:dyDescent="0.2">
      <c r="B52" s="220">
        <f t="shared" si="3"/>
        <v>40123</v>
      </c>
      <c r="C52" s="221">
        <f t="shared" si="0"/>
        <v>45</v>
      </c>
      <c r="D52" s="148">
        <f t="array" ref="D52">SUM(($B52&gt;='Data CRs'!E$6:E$65)*('Data CRs'!E$6:E$65&gt;0))</f>
        <v>50</v>
      </c>
      <c r="E52" s="148">
        <f t="shared" si="4"/>
        <v>0</v>
      </c>
      <c r="F52" s="148">
        <f t="array" ref="F52">SUM(($B52&gt;='Data CRs'!F$6:F$65)*('Data CRs'!F$6:F$65&gt;0))</f>
        <v>34</v>
      </c>
      <c r="G52" s="148">
        <f t="array" ref="G52">SUM(($B52&gt;='Data CRs'!G$6:G$65)*('Data CRs'!G$6:G$65&gt;0))</f>
        <v>28</v>
      </c>
      <c r="H52" s="148">
        <f t="array" ref="H52">SUM(($B52&gt;='Data CRs'!H$6:H$65)*('Data CRs'!H$6:H$65&gt;0))</f>
        <v>5</v>
      </c>
      <c r="I52" s="148">
        <f t="array" ref="I52">SUM(($B52&gt;='Data CRs'!I$6:I$65)*('Data CRs'!I$6:I$65&gt;0))</f>
        <v>11</v>
      </c>
      <c r="J52" s="137"/>
      <c r="K52" s="148">
        <f t="array" ref="K52">SUM(($B52&gt;='Data CRs'!$E$6:$E$65)*(K$7='Data CRs'!$D$6:$D$65))</f>
        <v>14</v>
      </c>
      <c r="L52" s="148">
        <f t="array" ref="L52">SUM(($B52&gt;='Data CRs'!$E$6:$E$65)*(L$7='Data CRs'!$D$6:$D$65))</f>
        <v>12</v>
      </c>
      <c r="M52" s="148">
        <f t="array" ref="M52">SUM(($B52&gt;='Data CRs'!$E$6:$E$65)*(M$7='Data CRs'!$D$6:$D$65))</f>
        <v>8</v>
      </c>
      <c r="N52" s="148">
        <f t="array" ref="N52">SUM(($B52&gt;='Data CRs'!$E$6:$E$65)*(N$7='Data CRs'!$D$6:$D$65))</f>
        <v>7</v>
      </c>
      <c r="O52" s="148">
        <f t="array" ref="O52">SUM(($B52&gt;='Data CRs'!$E$6:$E$65)*(O$7='Data CRs'!$D$6:$D$65))</f>
        <v>3</v>
      </c>
      <c r="P52" s="148">
        <f t="array" ref="P52">SUM(($B52&gt;='Data CRs'!$E$6:$E$65)*(P$7='Data CRs'!$D$6:$D$65))</f>
        <v>6</v>
      </c>
    </row>
    <row r="53" spans="2:16" s="132" customFormat="1" x14ac:dyDescent="0.2">
      <c r="B53" s="220">
        <f t="shared" si="3"/>
        <v>40130</v>
      </c>
      <c r="C53" s="221">
        <f t="shared" si="0"/>
        <v>46</v>
      </c>
      <c r="D53" s="148">
        <f t="array" ref="D53">SUM(($B53&gt;='Data CRs'!E$6:E$65)*('Data CRs'!E$6:E$65&gt;0))</f>
        <v>50</v>
      </c>
      <c r="E53" s="148">
        <f t="shared" si="4"/>
        <v>0</v>
      </c>
      <c r="F53" s="148">
        <f t="array" ref="F53">SUM(($B53&gt;='Data CRs'!F$6:F$65)*('Data CRs'!F$6:F$65&gt;0))</f>
        <v>34</v>
      </c>
      <c r="G53" s="148">
        <f t="array" ref="G53">SUM(($B53&gt;='Data CRs'!G$6:G$65)*('Data CRs'!G$6:G$65&gt;0))</f>
        <v>28</v>
      </c>
      <c r="H53" s="148">
        <f t="array" ref="H53">SUM(($B53&gt;='Data CRs'!H$6:H$65)*('Data CRs'!H$6:H$65&gt;0))</f>
        <v>5</v>
      </c>
      <c r="I53" s="148">
        <f t="array" ref="I53">SUM(($B53&gt;='Data CRs'!I$6:I$65)*('Data CRs'!I$6:I$65&gt;0))</f>
        <v>11</v>
      </c>
      <c r="J53" s="137"/>
      <c r="K53" s="148">
        <f t="array" ref="K53">SUM(($B53&gt;='Data CRs'!$E$6:$E$65)*(K$7='Data CRs'!$D$6:$D$65))</f>
        <v>14</v>
      </c>
      <c r="L53" s="148">
        <f t="array" ref="L53">SUM(($B53&gt;='Data CRs'!$E$6:$E$65)*(L$7='Data CRs'!$D$6:$D$65))</f>
        <v>12</v>
      </c>
      <c r="M53" s="148">
        <f t="array" ref="M53">SUM(($B53&gt;='Data CRs'!$E$6:$E$65)*(M$7='Data CRs'!$D$6:$D$65))</f>
        <v>8</v>
      </c>
      <c r="N53" s="148">
        <f t="array" ref="N53">SUM(($B53&gt;='Data CRs'!$E$6:$E$65)*(N$7='Data CRs'!$D$6:$D$65))</f>
        <v>7</v>
      </c>
      <c r="O53" s="148">
        <f t="array" ref="O53">SUM(($B53&gt;='Data CRs'!$E$6:$E$65)*(O$7='Data CRs'!$D$6:$D$65))</f>
        <v>3</v>
      </c>
      <c r="P53" s="148">
        <f t="array" ref="P53">SUM(($B53&gt;='Data CRs'!$E$6:$E$65)*(P$7='Data CRs'!$D$6:$D$65))</f>
        <v>6</v>
      </c>
    </row>
    <row r="54" spans="2:16" s="132" customFormat="1" x14ac:dyDescent="0.2">
      <c r="B54" s="220">
        <f t="shared" si="3"/>
        <v>40137</v>
      </c>
      <c r="C54" s="221">
        <f t="shared" si="0"/>
        <v>47</v>
      </c>
      <c r="D54" s="148">
        <f t="array" ref="D54">SUM(($B54&gt;='Data CRs'!E$6:E$65)*('Data CRs'!E$6:E$65&gt;0))</f>
        <v>50</v>
      </c>
      <c r="E54" s="148">
        <f t="shared" si="4"/>
        <v>0</v>
      </c>
      <c r="F54" s="148">
        <f t="array" ref="F54">SUM(($B54&gt;='Data CRs'!F$6:F$65)*('Data CRs'!F$6:F$65&gt;0))</f>
        <v>34</v>
      </c>
      <c r="G54" s="148">
        <f t="array" ref="G54">SUM(($B54&gt;='Data CRs'!G$6:G$65)*('Data CRs'!G$6:G$65&gt;0))</f>
        <v>28</v>
      </c>
      <c r="H54" s="148">
        <f t="array" ref="H54">SUM(($B54&gt;='Data CRs'!H$6:H$65)*('Data CRs'!H$6:H$65&gt;0))</f>
        <v>5</v>
      </c>
      <c r="I54" s="148">
        <f t="array" ref="I54">SUM(($B54&gt;='Data CRs'!I$6:I$65)*('Data CRs'!I$6:I$65&gt;0))</f>
        <v>11</v>
      </c>
      <c r="J54" s="137"/>
      <c r="K54" s="148">
        <f t="array" ref="K54">SUM(($B54&gt;='Data CRs'!$E$6:$E$65)*(K$7='Data CRs'!$D$6:$D$65))</f>
        <v>14</v>
      </c>
      <c r="L54" s="148">
        <f t="array" ref="L54">SUM(($B54&gt;='Data CRs'!$E$6:$E$65)*(L$7='Data CRs'!$D$6:$D$65))</f>
        <v>12</v>
      </c>
      <c r="M54" s="148">
        <f t="array" ref="M54">SUM(($B54&gt;='Data CRs'!$E$6:$E$65)*(M$7='Data CRs'!$D$6:$D$65))</f>
        <v>8</v>
      </c>
      <c r="N54" s="148">
        <f t="array" ref="N54">SUM(($B54&gt;='Data CRs'!$E$6:$E$65)*(N$7='Data CRs'!$D$6:$D$65))</f>
        <v>7</v>
      </c>
      <c r="O54" s="148">
        <f t="array" ref="O54">SUM(($B54&gt;='Data CRs'!$E$6:$E$65)*(O$7='Data CRs'!$D$6:$D$65))</f>
        <v>3</v>
      </c>
      <c r="P54" s="148">
        <f t="array" ref="P54">SUM(($B54&gt;='Data CRs'!$E$6:$E$65)*(P$7='Data CRs'!$D$6:$D$65))</f>
        <v>6</v>
      </c>
    </row>
    <row r="55" spans="2:16" s="132" customFormat="1" x14ac:dyDescent="0.2">
      <c r="B55" s="220">
        <f t="shared" si="3"/>
        <v>40144</v>
      </c>
      <c r="C55" s="221">
        <f t="shared" si="0"/>
        <v>48</v>
      </c>
      <c r="D55" s="148">
        <f t="array" ref="D55">SUM(($B55&gt;='Data CRs'!E$6:E$65)*('Data CRs'!E$6:E$65&gt;0))</f>
        <v>50</v>
      </c>
      <c r="E55" s="148">
        <f t="shared" si="4"/>
        <v>0</v>
      </c>
      <c r="F55" s="148">
        <f t="array" ref="F55">SUM(($B55&gt;='Data CRs'!F$6:F$65)*('Data CRs'!F$6:F$65&gt;0))</f>
        <v>34</v>
      </c>
      <c r="G55" s="148">
        <f t="array" ref="G55">SUM(($B55&gt;='Data CRs'!G$6:G$65)*('Data CRs'!G$6:G$65&gt;0))</f>
        <v>28</v>
      </c>
      <c r="H55" s="148">
        <f t="array" ref="H55">SUM(($B55&gt;='Data CRs'!H$6:H$65)*('Data CRs'!H$6:H$65&gt;0))</f>
        <v>5</v>
      </c>
      <c r="I55" s="148">
        <f t="array" ref="I55">SUM(($B55&gt;='Data CRs'!I$6:I$65)*('Data CRs'!I$6:I$65&gt;0))</f>
        <v>11</v>
      </c>
      <c r="J55" s="137"/>
      <c r="K55" s="148">
        <f t="array" ref="K55">SUM(($B55&gt;='Data CRs'!$E$6:$E$65)*(K$7='Data CRs'!$D$6:$D$65))</f>
        <v>14</v>
      </c>
      <c r="L55" s="148">
        <f t="array" ref="L55">SUM(($B55&gt;='Data CRs'!$E$6:$E$65)*(L$7='Data CRs'!$D$6:$D$65))</f>
        <v>12</v>
      </c>
      <c r="M55" s="148">
        <f t="array" ref="M55">SUM(($B55&gt;='Data CRs'!$E$6:$E$65)*(M$7='Data CRs'!$D$6:$D$65))</f>
        <v>8</v>
      </c>
      <c r="N55" s="148">
        <f t="array" ref="N55">SUM(($B55&gt;='Data CRs'!$E$6:$E$65)*(N$7='Data CRs'!$D$6:$D$65))</f>
        <v>7</v>
      </c>
      <c r="O55" s="148">
        <f t="array" ref="O55">SUM(($B55&gt;='Data CRs'!$E$6:$E$65)*(O$7='Data CRs'!$D$6:$D$65))</f>
        <v>3</v>
      </c>
      <c r="P55" s="148">
        <f t="array" ref="P55">SUM(($B55&gt;='Data CRs'!$E$6:$E$65)*(P$7='Data CRs'!$D$6:$D$65))</f>
        <v>6</v>
      </c>
    </row>
    <row r="56" spans="2:16" s="132" customFormat="1" x14ac:dyDescent="0.2">
      <c r="B56" s="220">
        <f t="shared" si="3"/>
        <v>40151</v>
      </c>
      <c r="C56" s="221">
        <f t="shared" si="0"/>
        <v>49</v>
      </c>
      <c r="D56" s="148">
        <f t="array" ref="D56">SUM(($B56&gt;='Data CRs'!E$6:E$65)*('Data CRs'!E$6:E$65&gt;0))</f>
        <v>50</v>
      </c>
      <c r="E56" s="148">
        <f t="shared" si="4"/>
        <v>0</v>
      </c>
      <c r="F56" s="148">
        <f t="array" ref="F56">SUM(($B56&gt;='Data CRs'!F$6:F$65)*('Data CRs'!F$6:F$65&gt;0))</f>
        <v>34</v>
      </c>
      <c r="G56" s="148">
        <f t="array" ref="G56">SUM(($B56&gt;='Data CRs'!G$6:G$65)*('Data CRs'!G$6:G$65&gt;0))</f>
        <v>28</v>
      </c>
      <c r="H56" s="148">
        <f t="array" ref="H56">SUM(($B56&gt;='Data CRs'!H$6:H$65)*('Data CRs'!H$6:H$65&gt;0))</f>
        <v>5</v>
      </c>
      <c r="I56" s="148">
        <f t="array" ref="I56">SUM(($B56&gt;='Data CRs'!I$6:I$65)*('Data CRs'!I$6:I$65&gt;0))</f>
        <v>11</v>
      </c>
      <c r="J56" s="137"/>
      <c r="K56" s="148">
        <f t="array" ref="K56">SUM(($B56&gt;='Data CRs'!$E$6:$E$65)*(K$7='Data CRs'!$D$6:$D$65))</f>
        <v>14</v>
      </c>
      <c r="L56" s="148">
        <f t="array" ref="L56">SUM(($B56&gt;='Data CRs'!$E$6:$E$65)*(L$7='Data CRs'!$D$6:$D$65))</f>
        <v>12</v>
      </c>
      <c r="M56" s="148">
        <f t="array" ref="M56">SUM(($B56&gt;='Data CRs'!$E$6:$E$65)*(M$7='Data CRs'!$D$6:$D$65))</f>
        <v>8</v>
      </c>
      <c r="N56" s="148">
        <f t="array" ref="N56">SUM(($B56&gt;='Data CRs'!$E$6:$E$65)*(N$7='Data CRs'!$D$6:$D$65))</f>
        <v>7</v>
      </c>
      <c r="O56" s="148">
        <f t="array" ref="O56">SUM(($B56&gt;='Data CRs'!$E$6:$E$65)*(O$7='Data CRs'!$D$6:$D$65))</f>
        <v>3</v>
      </c>
      <c r="P56" s="148">
        <f t="array" ref="P56">SUM(($B56&gt;='Data CRs'!$E$6:$E$65)*(P$7='Data CRs'!$D$6:$D$65))</f>
        <v>6</v>
      </c>
    </row>
    <row r="57" spans="2:16" s="132" customFormat="1" x14ac:dyDescent="0.2">
      <c r="B57" s="220">
        <f t="shared" si="3"/>
        <v>40158</v>
      </c>
      <c r="C57" s="221">
        <f t="shared" si="0"/>
        <v>50</v>
      </c>
      <c r="D57" s="148">
        <f t="array" ref="D57">SUM(($B57&gt;='Data CRs'!E$6:E$65)*('Data CRs'!E$6:E$65&gt;0))</f>
        <v>50</v>
      </c>
      <c r="E57" s="148">
        <f t="shared" si="4"/>
        <v>0</v>
      </c>
      <c r="F57" s="148">
        <f t="array" ref="F57">SUM(($B57&gt;='Data CRs'!F$6:F$65)*('Data CRs'!F$6:F$65&gt;0))</f>
        <v>34</v>
      </c>
      <c r="G57" s="148">
        <f t="array" ref="G57">SUM(($B57&gt;='Data CRs'!G$6:G$65)*('Data CRs'!G$6:G$65&gt;0))</f>
        <v>28</v>
      </c>
      <c r="H57" s="148">
        <f t="array" ref="H57">SUM(($B57&gt;='Data CRs'!H$6:H$65)*('Data CRs'!H$6:H$65&gt;0))</f>
        <v>5</v>
      </c>
      <c r="I57" s="148">
        <f t="array" ref="I57">SUM(($B57&gt;='Data CRs'!I$6:I$65)*('Data CRs'!I$6:I$65&gt;0))</f>
        <v>11</v>
      </c>
      <c r="J57" s="137"/>
      <c r="K57" s="148">
        <f t="array" ref="K57">SUM(($B57&gt;='Data CRs'!$E$6:$E$65)*(K$7='Data CRs'!$D$6:$D$65))</f>
        <v>14</v>
      </c>
      <c r="L57" s="148">
        <f t="array" ref="L57">SUM(($B57&gt;='Data CRs'!$E$6:$E$65)*(L$7='Data CRs'!$D$6:$D$65))</f>
        <v>12</v>
      </c>
      <c r="M57" s="148">
        <f t="array" ref="M57">SUM(($B57&gt;='Data CRs'!$E$6:$E$65)*(M$7='Data CRs'!$D$6:$D$65))</f>
        <v>8</v>
      </c>
      <c r="N57" s="148">
        <f t="array" ref="N57">SUM(($B57&gt;='Data CRs'!$E$6:$E$65)*(N$7='Data CRs'!$D$6:$D$65))</f>
        <v>7</v>
      </c>
      <c r="O57" s="148">
        <f t="array" ref="O57">SUM(($B57&gt;='Data CRs'!$E$6:$E$65)*(O$7='Data CRs'!$D$6:$D$65))</f>
        <v>3</v>
      </c>
      <c r="P57" s="148">
        <f t="array" ref="P57">SUM(($B57&gt;='Data CRs'!$E$6:$E$65)*(P$7='Data CRs'!$D$6:$D$65))</f>
        <v>6</v>
      </c>
    </row>
    <row r="58" spans="2:16" s="132" customFormat="1" x14ac:dyDescent="0.2">
      <c r="B58" s="220">
        <f t="shared" si="2"/>
        <v>40165</v>
      </c>
      <c r="C58" s="221">
        <f t="shared" si="0"/>
        <v>51</v>
      </c>
      <c r="D58" s="148">
        <f t="array" ref="D58">SUM(($B58&gt;='Data CRs'!E$6:E$65)*('Data CRs'!E$6:E$65&gt;0))</f>
        <v>50</v>
      </c>
      <c r="E58" s="148">
        <f t="shared" si="1"/>
        <v>0</v>
      </c>
      <c r="F58" s="148">
        <f t="array" ref="F58">SUM(($B58&gt;='Data CRs'!F$6:F$65)*('Data CRs'!F$6:F$65&gt;0))</f>
        <v>34</v>
      </c>
      <c r="G58" s="148">
        <f t="array" ref="G58">SUM(($B58&gt;='Data CRs'!G$6:G$65)*('Data CRs'!G$6:G$65&gt;0))</f>
        <v>28</v>
      </c>
      <c r="H58" s="148">
        <f t="array" ref="H58">SUM(($B58&gt;='Data CRs'!H$6:H$65)*('Data CRs'!H$6:H$65&gt;0))</f>
        <v>5</v>
      </c>
      <c r="I58" s="148">
        <f t="array" ref="I58">SUM(($B58&gt;='Data CRs'!I$6:I$65)*('Data CRs'!I$6:I$65&gt;0))</f>
        <v>11</v>
      </c>
      <c r="J58" s="137"/>
      <c r="K58" s="148">
        <f t="array" ref="K58">SUM(($B58&gt;='Data CRs'!$E$6:$E$65)*(K$7='Data CRs'!$D$6:$D$65))</f>
        <v>14</v>
      </c>
      <c r="L58" s="148">
        <f t="array" ref="L58">SUM(($B58&gt;='Data CRs'!$E$6:$E$65)*(L$7='Data CRs'!$D$6:$D$65))</f>
        <v>12</v>
      </c>
      <c r="M58" s="148">
        <f t="array" ref="M58">SUM(($B58&gt;='Data CRs'!$E$6:$E$65)*(M$7='Data CRs'!$D$6:$D$65))</f>
        <v>8</v>
      </c>
      <c r="N58" s="148">
        <f t="array" ref="N58">SUM(($B58&gt;='Data CRs'!$E$6:$E$65)*(N$7='Data CRs'!$D$6:$D$65))</f>
        <v>7</v>
      </c>
      <c r="O58" s="148">
        <f t="array" ref="O58">SUM(($B58&gt;='Data CRs'!$E$6:$E$65)*(O$7='Data CRs'!$D$6:$D$65))</f>
        <v>3</v>
      </c>
      <c r="P58" s="148">
        <f t="array" ref="P58">SUM(($B58&gt;='Data CRs'!$E$6:$E$65)*(P$7='Data CRs'!$D$6:$D$65))</f>
        <v>6</v>
      </c>
    </row>
    <row r="59" spans="2:16" s="132" customFormat="1" x14ac:dyDescent="0.2">
      <c r="B59" s="220">
        <f t="shared" si="2"/>
        <v>40172</v>
      </c>
      <c r="C59" s="221">
        <f t="shared" si="0"/>
        <v>52</v>
      </c>
      <c r="D59" s="148">
        <f t="array" ref="D59">SUM(($B59&gt;='Data CRs'!E$6:E$65)*('Data CRs'!E$6:E$65&gt;0))</f>
        <v>50</v>
      </c>
      <c r="E59" s="148">
        <f t="shared" si="1"/>
        <v>0</v>
      </c>
      <c r="F59" s="148">
        <f t="array" ref="F59">SUM(($B59&gt;='Data CRs'!F$6:F$65)*('Data CRs'!F$6:F$65&gt;0))</f>
        <v>34</v>
      </c>
      <c r="G59" s="148">
        <f t="array" ref="G59">SUM(($B59&gt;='Data CRs'!G$6:G$65)*('Data CRs'!G$6:G$65&gt;0))</f>
        <v>28</v>
      </c>
      <c r="H59" s="148">
        <f t="array" ref="H59">SUM(($B59&gt;='Data CRs'!H$6:H$65)*('Data CRs'!H$6:H$65&gt;0))</f>
        <v>5</v>
      </c>
      <c r="I59" s="148">
        <f t="array" ref="I59">SUM(($B59&gt;='Data CRs'!I$6:I$65)*('Data CRs'!I$6:I$65&gt;0))</f>
        <v>11</v>
      </c>
      <c r="J59" s="137"/>
      <c r="K59" s="148">
        <f t="array" ref="K59">SUM(($B59&gt;='Data CRs'!$E$6:$E$65)*(K$7='Data CRs'!$D$6:$D$65))</f>
        <v>14</v>
      </c>
      <c r="L59" s="148">
        <f t="array" ref="L59">SUM(($B59&gt;='Data CRs'!$E$6:$E$65)*(L$7='Data CRs'!$D$6:$D$65))</f>
        <v>12</v>
      </c>
      <c r="M59" s="148">
        <f t="array" ref="M59">SUM(($B59&gt;='Data CRs'!$E$6:$E$65)*(M$7='Data CRs'!$D$6:$D$65))</f>
        <v>8</v>
      </c>
      <c r="N59" s="148">
        <f t="array" ref="N59">SUM(($B59&gt;='Data CRs'!$E$6:$E$65)*(N$7='Data CRs'!$D$6:$D$65))</f>
        <v>7</v>
      </c>
      <c r="O59" s="148">
        <f t="array" ref="O59">SUM(($B59&gt;='Data CRs'!$E$6:$E$65)*(O$7='Data CRs'!$D$6:$D$65))</f>
        <v>3</v>
      </c>
      <c r="P59" s="148">
        <f t="array" ref="P59">SUM(($B59&gt;='Data CRs'!$E$6:$E$65)*(P$7='Data CRs'!$D$6:$D$65))</f>
        <v>6</v>
      </c>
    </row>
    <row r="60" spans="2:16" s="132" customFormat="1" x14ac:dyDescent="0.2">
      <c r="B60" s="222">
        <f t="shared" si="2"/>
        <v>40179</v>
      </c>
      <c r="C60" s="223">
        <f t="shared" si="0"/>
        <v>53</v>
      </c>
      <c r="D60" s="151">
        <f t="array" ref="D60">SUM(($B60&gt;='Data CRs'!E$6:E$65)*('Data CRs'!E$6:E$65&gt;0))</f>
        <v>50</v>
      </c>
      <c r="E60" s="151">
        <f t="shared" si="1"/>
        <v>0</v>
      </c>
      <c r="F60" s="151">
        <f t="array" ref="F60">SUM(($B60&gt;='Data CRs'!F$6:F$65)*('Data CRs'!F$6:F$65&gt;0))</f>
        <v>34</v>
      </c>
      <c r="G60" s="151">
        <f t="array" ref="G60">SUM(($B60&gt;='Data CRs'!G$6:G$65)*('Data CRs'!G$6:G$65&gt;0))</f>
        <v>28</v>
      </c>
      <c r="H60" s="151">
        <f t="array" ref="H60">SUM(($B60&gt;='Data CRs'!H$6:H$65)*('Data CRs'!H$6:H$65&gt;0))</f>
        <v>5</v>
      </c>
      <c r="I60" s="151">
        <f t="array" ref="I60">SUM(($B60&gt;='Data CRs'!I$6:I$65)*('Data CRs'!I$6:I$65&gt;0))</f>
        <v>11</v>
      </c>
      <c r="J60" s="137"/>
      <c r="K60" s="151">
        <f t="array" ref="K60">SUM(($B60&gt;='Data CRs'!$E$6:$E$65)*(K$7='Data CRs'!$D$6:$D$65))</f>
        <v>14</v>
      </c>
      <c r="L60" s="151">
        <f t="array" ref="L60">SUM(($B60&gt;='Data CRs'!$E$6:$E$65)*(L$7='Data CRs'!$D$6:$D$65))</f>
        <v>12</v>
      </c>
      <c r="M60" s="151">
        <f t="array" ref="M60">SUM(($B60&gt;='Data CRs'!$E$6:$E$65)*(M$7='Data CRs'!$D$6:$D$65))</f>
        <v>8</v>
      </c>
      <c r="N60" s="151">
        <f t="array" ref="N60">SUM(($B60&gt;='Data CRs'!$E$6:$E$65)*(N$7='Data CRs'!$D$6:$D$65))</f>
        <v>7</v>
      </c>
      <c r="O60" s="151">
        <f t="array" ref="O60">SUM(($B60&gt;='Data CRs'!$E$6:$E$65)*(O$7='Data CRs'!$D$6:$D$65))</f>
        <v>3</v>
      </c>
      <c r="P60" s="151">
        <f t="array" ref="P60">SUM(($B60&gt;='Data CRs'!$E$6:$E$65)*(P$7='Data CRs'!$D$6:$D$65))</f>
        <v>6</v>
      </c>
    </row>
    <row r="61" spans="2:16" s="132" customFormat="1" x14ac:dyDescent="0.2">
      <c r="K61" s="137"/>
    </row>
    <row r="62" spans="2:16" s="132" customFormat="1" ht="20.100000000000001" customHeight="1" x14ac:dyDescent="0.2">
      <c r="B62" s="138" t="s">
        <v>182</v>
      </c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</row>
    <row r="63" spans="2:16" x14ac:dyDescent="0.2">
      <c r="B63" s="224"/>
      <c r="C63" s="224"/>
      <c r="D63" s="224"/>
      <c r="E63" s="224"/>
      <c r="F63" s="224"/>
      <c r="G63" s="224"/>
      <c r="H63" s="224"/>
      <c r="I63" s="224"/>
      <c r="J63" s="224"/>
    </row>
    <row r="64" spans="2:16" x14ac:dyDescent="0.2">
      <c r="B64" s="225" t="s">
        <v>101</v>
      </c>
      <c r="C64" s="226"/>
      <c r="D64" s="227">
        <f>IF('Control General'!$C$4&gt;1,INDEX($D$9:$D$60,'Control General'!$C$4-1,1),0)</f>
        <v>32</v>
      </c>
      <c r="E64" s="226"/>
      <c r="F64" s="224"/>
      <c r="G64" s="224"/>
      <c r="H64" s="224"/>
      <c r="I64" s="224"/>
      <c r="J64" s="224"/>
      <c r="K64" s="224"/>
      <c r="L64" s="224"/>
      <c r="M64" s="224"/>
    </row>
    <row r="65" spans="2:16" x14ac:dyDescent="0.2">
      <c r="B65" s="225" t="s">
        <v>102</v>
      </c>
      <c r="C65" s="226"/>
      <c r="D65" s="227">
        <f>D66-D64</f>
        <v>1</v>
      </c>
      <c r="E65" s="226"/>
      <c r="F65" s="224"/>
      <c r="G65" s="224"/>
      <c r="H65" s="224"/>
      <c r="I65" s="224"/>
      <c r="J65" s="224"/>
      <c r="K65" s="224"/>
      <c r="L65" s="224"/>
      <c r="M65" s="224"/>
    </row>
    <row r="66" spans="2:16" x14ac:dyDescent="0.2">
      <c r="B66" s="225" t="s">
        <v>103</v>
      </c>
      <c r="C66" s="226"/>
      <c r="D66" s="227">
        <f>INDEX($D$9:$D$60,'Control General'!$C$4,1)</f>
        <v>33</v>
      </c>
      <c r="E66" s="226"/>
      <c r="F66" s="224"/>
      <c r="G66" s="224"/>
      <c r="H66" s="224"/>
      <c r="I66" s="224"/>
      <c r="J66" s="224"/>
      <c r="K66" s="224"/>
      <c r="L66" s="224"/>
      <c r="M66" s="224"/>
    </row>
    <row r="67" spans="2:16" x14ac:dyDescent="0.2">
      <c r="B67" s="225" t="s">
        <v>104</v>
      </c>
      <c r="C67" s="226"/>
      <c r="D67" s="227">
        <f>D66-D68</f>
        <v>28</v>
      </c>
      <c r="E67" s="228">
        <f>IF($D$66&gt;0,D67/$D$66,"n/a")</f>
        <v>0.84848484848484851</v>
      </c>
      <c r="F67" s="224"/>
      <c r="G67" s="224"/>
      <c r="H67" s="224"/>
      <c r="I67" s="224"/>
      <c r="J67" s="224"/>
      <c r="K67" s="224"/>
      <c r="L67" s="224"/>
      <c r="M67" s="224"/>
    </row>
    <row r="68" spans="2:16" x14ac:dyDescent="0.2">
      <c r="B68" s="225" t="s">
        <v>105</v>
      </c>
      <c r="C68" s="226"/>
      <c r="D68" s="227">
        <f>INDEX($P$9:$P$60,'Control General'!$C$4,1)</f>
        <v>5</v>
      </c>
      <c r="E68" s="228">
        <f>IF($D$66&gt;0,D68/$D$66,"n/a")</f>
        <v>0.15151515151515152</v>
      </c>
      <c r="F68" s="224"/>
      <c r="G68" s="224"/>
      <c r="H68" s="224"/>
      <c r="I68" s="224"/>
      <c r="J68" s="224"/>
    </row>
    <row r="69" spans="2:16" x14ac:dyDescent="0.2">
      <c r="B69" s="224"/>
      <c r="C69" s="224"/>
      <c r="D69" s="224"/>
      <c r="E69" s="224"/>
      <c r="F69" s="224"/>
      <c r="G69" s="224"/>
      <c r="H69" s="224"/>
      <c r="I69" s="224"/>
      <c r="J69" s="224"/>
    </row>
    <row r="70" spans="2:16" s="132" customFormat="1" ht="20.100000000000001" customHeight="1" x14ac:dyDescent="0.2">
      <c r="B70" s="138" t="s">
        <v>183</v>
      </c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</row>
    <row r="71" spans="2:16" x14ac:dyDescent="0.2">
      <c r="B71" s="224"/>
      <c r="C71" s="224"/>
      <c r="D71" s="224"/>
      <c r="E71" s="224"/>
      <c r="F71" s="224"/>
      <c r="G71" s="224"/>
      <c r="H71" s="224"/>
      <c r="I71" s="224"/>
      <c r="J71" s="224"/>
    </row>
    <row r="72" spans="2:16" ht="25.5" x14ac:dyDescent="0.2">
      <c r="B72" s="201"/>
      <c r="C72" s="229" t="s">
        <v>6</v>
      </c>
      <c r="D72" s="230" t="s">
        <v>179</v>
      </c>
      <c r="E72" s="230" t="s">
        <v>114</v>
      </c>
      <c r="F72" s="230" t="s">
        <v>115</v>
      </c>
      <c r="G72" s="230" t="s">
        <v>116</v>
      </c>
      <c r="H72" s="230" t="s">
        <v>117</v>
      </c>
    </row>
    <row r="73" spans="2:16" x14ac:dyDescent="0.2">
      <c r="B73" s="231" t="s">
        <v>184</v>
      </c>
      <c r="C73" s="232">
        <f>D66</f>
        <v>33</v>
      </c>
      <c r="D73" s="232">
        <f>INDEX(E$9:E$60,'Control General'!$C$4,1)</f>
        <v>0</v>
      </c>
      <c r="E73" s="232">
        <f>INDEX(F$9:F$60,'Control General'!$C$4,1)-INDEX($G$9:$G$60,'Control General'!$C$4,1)</f>
        <v>3</v>
      </c>
      <c r="F73" s="232">
        <f>INDEX(G$9:G$60,'Control General'!$C$4,1)</f>
        <v>21</v>
      </c>
      <c r="G73" s="232">
        <f>INDEX(H$9:H$60,'Control General'!$C$4,1)</f>
        <v>4</v>
      </c>
      <c r="H73" s="232">
        <f>INDEX(I$9:I$60,'Control General'!$C$4,1)</f>
        <v>5</v>
      </c>
    </row>
    <row r="74" spans="2:16" x14ac:dyDescent="0.2">
      <c r="B74" s="233" t="s">
        <v>185</v>
      </c>
      <c r="C74" s="234">
        <v>0</v>
      </c>
      <c r="D74" s="234">
        <v>0</v>
      </c>
      <c r="E74" s="234">
        <f>SUM($D73:D73)</f>
        <v>0</v>
      </c>
      <c r="F74" s="234">
        <f>SUM($D73:E73)</f>
        <v>3</v>
      </c>
      <c r="G74" s="234">
        <f>SUM($D73:F73)</f>
        <v>24</v>
      </c>
      <c r="H74" s="234">
        <f>SUM($D73:G73)</f>
        <v>28</v>
      </c>
    </row>
    <row r="75" spans="2:16" x14ac:dyDescent="0.2">
      <c r="B75" s="224"/>
      <c r="C75" s="224"/>
      <c r="D75" s="224"/>
      <c r="E75" s="224"/>
      <c r="F75" s="224"/>
      <c r="G75" s="224"/>
      <c r="H75" s="224"/>
    </row>
    <row r="76" spans="2:16" s="132" customFormat="1" ht="20.100000000000001" customHeight="1" x14ac:dyDescent="0.2">
      <c r="B76" s="138" t="s">
        <v>186</v>
      </c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</row>
    <row r="77" spans="2:16" x14ac:dyDescent="0.2">
      <c r="B77" s="224"/>
      <c r="C77" s="224"/>
      <c r="D77" s="224"/>
      <c r="E77" s="224"/>
      <c r="F77" s="224"/>
      <c r="G77" s="224"/>
      <c r="H77" s="224"/>
      <c r="I77" s="224"/>
      <c r="J77" s="224"/>
    </row>
    <row r="78" spans="2:16" ht="25.5" x14ac:dyDescent="0.2">
      <c r="B78" s="235" t="s">
        <v>112</v>
      </c>
      <c r="C78" s="235" t="s">
        <v>187</v>
      </c>
      <c r="D78" s="235" t="s">
        <v>188</v>
      </c>
      <c r="E78" s="235" t="s">
        <v>189</v>
      </c>
      <c r="F78" s="235" t="s">
        <v>190</v>
      </c>
      <c r="G78" s="235" t="s">
        <v>191</v>
      </c>
      <c r="H78" s="235" t="s">
        <v>192</v>
      </c>
    </row>
    <row r="79" spans="2:16" x14ac:dyDescent="0.2">
      <c r="B79" s="236" t="s">
        <v>121</v>
      </c>
      <c r="C79" s="237">
        <f>INDEX($K$9:$P$60,'Control General'!$C$4,$D79)</f>
        <v>5</v>
      </c>
      <c r="D79" s="237">
        <v>1</v>
      </c>
      <c r="E79" s="237">
        <f t="shared" ref="E79:E84" si="5">C79+D79/1000000</f>
        <v>5.0000010000000001</v>
      </c>
      <c r="F79" s="237">
        <f t="shared" ref="F79:F84" si="6">MATCH(SMALL($E$79:$E$84,D79),$E$79:$E$84,0)</f>
        <v>5</v>
      </c>
      <c r="G79" s="238" t="str">
        <f t="shared" ref="G79:G84" si="7">INDEX($B$79:$B$84,F79,1)</f>
        <v>Department 5</v>
      </c>
      <c r="H79" s="237">
        <f t="shared" ref="H79:H84" si="8">INDEX($C$79:$C$84,F79,1)</f>
        <v>3</v>
      </c>
    </row>
    <row r="80" spans="2:16" x14ac:dyDescent="0.2">
      <c r="B80" s="239" t="s">
        <v>124</v>
      </c>
      <c r="C80" s="240">
        <f>INDEX($K$9:$P$60,'Control General'!$C$4,$D80)</f>
        <v>9</v>
      </c>
      <c r="D80" s="240">
        <v>2</v>
      </c>
      <c r="E80" s="240">
        <f t="shared" si="5"/>
        <v>9.0000020000000003</v>
      </c>
      <c r="F80" s="240">
        <f t="shared" si="6"/>
        <v>1</v>
      </c>
      <c r="G80" s="241" t="str">
        <f t="shared" si="7"/>
        <v>Department 1</v>
      </c>
      <c r="H80" s="240">
        <f t="shared" si="8"/>
        <v>5</v>
      </c>
    </row>
    <row r="81" spans="2:8" x14ac:dyDescent="0.2">
      <c r="B81" s="239" t="s">
        <v>131</v>
      </c>
      <c r="C81" s="240">
        <f>INDEX($K$9:$P$60,'Control General'!$C$4,$D81)</f>
        <v>6</v>
      </c>
      <c r="D81" s="240">
        <v>3</v>
      </c>
      <c r="E81" s="240">
        <f t="shared" si="5"/>
        <v>6.0000030000000004</v>
      </c>
      <c r="F81" s="240">
        <f t="shared" si="6"/>
        <v>4</v>
      </c>
      <c r="G81" s="241" t="str">
        <f t="shared" si="7"/>
        <v>Department 4</v>
      </c>
      <c r="H81" s="240">
        <f t="shared" si="8"/>
        <v>5</v>
      </c>
    </row>
    <row r="82" spans="2:8" x14ac:dyDescent="0.2">
      <c r="B82" s="239" t="s">
        <v>139</v>
      </c>
      <c r="C82" s="240">
        <f>INDEX($K$9:$P$60,'Control General'!$C$4,$D82)</f>
        <v>5</v>
      </c>
      <c r="D82" s="240">
        <v>4</v>
      </c>
      <c r="E82" s="240">
        <f t="shared" si="5"/>
        <v>5.0000039999999997</v>
      </c>
      <c r="F82" s="240">
        <f t="shared" si="6"/>
        <v>6</v>
      </c>
      <c r="G82" s="241" t="str">
        <f t="shared" si="7"/>
        <v>IT</v>
      </c>
      <c r="H82" s="240">
        <f t="shared" si="8"/>
        <v>5</v>
      </c>
    </row>
    <row r="83" spans="2:8" x14ac:dyDescent="0.2">
      <c r="B83" s="239" t="s">
        <v>119</v>
      </c>
      <c r="C83" s="240">
        <f>INDEX($K$9:$P$60,'Control General'!$C$4,$D83)</f>
        <v>3</v>
      </c>
      <c r="D83" s="240">
        <v>5</v>
      </c>
      <c r="E83" s="240">
        <f t="shared" si="5"/>
        <v>3.0000049999999998</v>
      </c>
      <c r="F83" s="240">
        <f t="shared" si="6"/>
        <v>3</v>
      </c>
      <c r="G83" s="241" t="str">
        <f t="shared" si="7"/>
        <v>Department 3</v>
      </c>
      <c r="H83" s="240">
        <f t="shared" si="8"/>
        <v>6</v>
      </c>
    </row>
    <row r="84" spans="2:8" x14ac:dyDescent="0.2">
      <c r="B84" s="242" t="s">
        <v>127</v>
      </c>
      <c r="C84" s="243">
        <f>INDEX($K$9:$P$60,'Control General'!$C$4,$D84)</f>
        <v>5</v>
      </c>
      <c r="D84" s="243">
        <v>6</v>
      </c>
      <c r="E84" s="243">
        <f t="shared" si="5"/>
        <v>5.000006</v>
      </c>
      <c r="F84" s="243">
        <f t="shared" si="6"/>
        <v>2</v>
      </c>
      <c r="G84" s="244" t="str">
        <f t="shared" si="7"/>
        <v>Department 2</v>
      </c>
      <c r="H84" s="243">
        <f t="shared" si="8"/>
        <v>9</v>
      </c>
    </row>
  </sheetData>
  <phoneticPr fontId="18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>
    <tabColor indexed="8"/>
    <pageSetUpPr fitToPage="1"/>
  </sheetPr>
  <dimension ref="A1:C24"/>
  <sheetViews>
    <sheetView showGridLines="0" zoomScaleNormal="70" zoomScaleSheetLayoutView="55" workbookViewId="0">
      <selection activeCell="C7" sqref="C7"/>
    </sheetView>
  </sheetViews>
  <sheetFormatPr defaultColWidth="12.7109375" defaultRowHeight="12.75" x14ac:dyDescent="0.2"/>
  <cols>
    <col min="1" max="1" width="1.7109375" customWidth="1"/>
    <col min="2" max="2" width="22.7109375" customWidth="1"/>
    <col min="3" max="3" width="15.7109375" customWidth="1"/>
    <col min="4" max="4" width="1.7109375" customWidth="1"/>
  </cols>
  <sheetData>
    <row r="1" spans="1:3" s="132" customFormat="1" x14ac:dyDescent="0.2"/>
    <row r="2" spans="1:3" s="132" customFormat="1" ht="30" customHeight="1" thickBot="1" x14ac:dyDescent="0.25">
      <c r="B2" s="133" t="s">
        <v>194</v>
      </c>
      <c r="C2" s="134"/>
    </row>
    <row r="3" spans="1:3" s="132" customFormat="1" ht="12.75" customHeight="1" x14ac:dyDescent="0.2">
      <c r="B3" s="136"/>
      <c r="C3" s="136"/>
    </row>
    <row r="4" spans="1:3" s="132" customFormat="1" ht="12.75" customHeight="1" x14ac:dyDescent="0.2">
      <c r="A4" s="137"/>
      <c r="B4" s="4" t="s">
        <v>11</v>
      </c>
      <c r="C4" s="36">
        <v>27</v>
      </c>
    </row>
    <row r="5" spans="1:3" x14ac:dyDescent="0.2">
      <c r="B5" s="5" t="s">
        <v>12</v>
      </c>
      <c r="C5" s="27">
        <f>ROUNDDOWN(MAX('Data Defects'!$E$5:$G$504),0)</f>
        <v>40143</v>
      </c>
    </row>
    <row r="6" spans="1:3" x14ac:dyDescent="0.2">
      <c r="B6" s="5" t="s">
        <v>13</v>
      </c>
      <c r="C6" s="27">
        <f>IF(WEEKDAY($C$5)=1,C$5,C$5+8-WEEKDAY(C$5))</f>
        <v>40146</v>
      </c>
    </row>
    <row r="7" spans="1:3" x14ac:dyDescent="0.2">
      <c r="B7" s="5" t="s">
        <v>17</v>
      </c>
      <c r="C7" s="46" t="s">
        <v>208</v>
      </c>
    </row>
    <row r="8" spans="1:3" x14ac:dyDescent="0.2">
      <c r="B8" s="5" t="s">
        <v>15</v>
      </c>
      <c r="C8" s="27">
        <f>INDEX('Control Defects'!$C$36:$C$87,'Control General'!$C$4,1)</f>
        <v>40000</v>
      </c>
    </row>
    <row r="9" spans="1:3" x14ac:dyDescent="0.2">
      <c r="B9" s="5" t="s">
        <v>198</v>
      </c>
      <c r="C9" s="27">
        <f>C8+4</f>
        <v>40004</v>
      </c>
    </row>
    <row r="10" spans="1:3" x14ac:dyDescent="0.2">
      <c r="B10" s="5" t="s">
        <v>14</v>
      </c>
      <c r="C10" s="27">
        <f>C8+6</f>
        <v>40006</v>
      </c>
    </row>
    <row r="11" spans="1:3" x14ac:dyDescent="0.2">
      <c r="B11" s="6" t="s">
        <v>16</v>
      </c>
      <c r="C11" s="26">
        <f>INDEX('Control Defects'!$B$36:$B$87,MATCH(MIN($C$10,$C$6),'Control Defects'!$D$36:$D$87,0),1)</f>
        <v>28</v>
      </c>
    </row>
    <row r="13" spans="1:3" x14ac:dyDescent="0.2">
      <c r="B13" s="258" t="s">
        <v>206</v>
      </c>
      <c r="C13" s="265"/>
    </row>
    <row r="14" spans="1:3" x14ac:dyDescent="0.2">
      <c r="B14" s="214" t="s">
        <v>197</v>
      </c>
      <c r="C14" s="247">
        <f>MATCH('Control Test'!B8,'Control CRs'!B9:B60,0)</f>
        <v>22</v>
      </c>
    </row>
    <row r="15" spans="1:3" x14ac:dyDescent="0.2">
      <c r="B15" s="215" t="s">
        <v>76</v>
      </c>
      <c r="C15" s="256">
        <f>IF(C4&lt;=C14,1,IF(C4&gt;=C14+C16,C16,C4-C14+1))</f>
        <v>6</v>
      </c>
    </row>
    <row r="16" spans="1:3" x14ac:dyDescent="0.2">
      <c r="B16" s="266" t="s">
        <v>77</v>
      </c>
      <c r="C16" s="267">
        <f>COUNT('Control Test'!$C$8:$C$19)</f>
        <v>12</v>
      </c>
    </row>
    <row r="17" spans="2:3" x14ac:dyDescent="0.2">
      <c r="B17" s="248" t="s">
        <v>207</v>
      </c>
      <c r="C17" s="249" t="b">
        <f>AND(C14&lt;myReportWeek,C14+C16+1&gt;myReportWeek)</f>
        <v>1</v>
      </c>
    </row>
    <row r="19" spans="2:3" x14ac:dyDescent="0.2">
      <c r="B19" s="258" t="s">
        <v>204</v>
      </c>
      <c r="C19" s="259">
        <v>0.75</v>
      </c>
    </row>
    <row r="21" spans="2:3" x14ac:dyDescent="0.2">
      <c r="B21" s="264" t="s">
        <v>205</v>
      </c>
      <c r="C21" s="265"/>
    </row>
    <row r="22" spans="2:3" x14ac:dyDescent="0.2">
      <c r="B22" s="260" t="s">
        <v>201</v>
      </c>
      <c r="C22" s="261"/>
    </row>
    <row r="23" spans="2:3" x14ac:dyDescent="0.2">
      <c r="B23" s="260" t="s">
        <v>202</v>
      </c>
      <c r="C23" s="261"/>
    </row>
    <row r="24" spans="2:3" x14ac:dyDescent="0.2">
      <c r="B24" s="262" t="s">
        <v>203</v>
      </c>
      <c r="C24" s="263"/>
    </row>
  </sheetData>
  <phoneticPr fontId="18" type="noConversion"/>
  <printOptions horizontalCentered="1"/>
  <pageMargins left="0.19685039370078741" right="0.19685039370078741" top="0.39370078740157483" bottom="0.39370078740157483" header="0.19685039370078741" footer="0.19685039370078741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DB Defects</vt:lpstr>
      <vt:lpstr>DB Test</vt:lpstr>
      <vt:lpstr>DB CRs</vt:lpstr>
      <vt:lpstr>Data Defects</vt:lpstr>
      <vt:lpstr>Data Test</vt:lpstr>
      <vt:lpstr>Data CRs</vt:lpstr>
      <vt:lpstr>Control Defects</vt:lpstr>
      <vt:lpstr>Control Test</vt:lpstr>
      <vt:lpstr>Control CRs</vt:lpstr>
      <vt:lpstr>Control General</vt:lpstr>
      <vt:lpstr>myCompletionRateThreshold</vt:lpstr>
      <vt:lpstr>myDashboard01</vt:lpstr>
      <vt:lpstr>myDashboard02</vt:lpstr>
      <vt:lpstr>myDashboard03</vt:lpstr>
      <vt:lpstr>myInputStartTitles</vt:lpstr>
      <vt:lpstr>myReportDate</vt:lpstr>
      <vt:lpstr>myReportWeek</vt:lpstr>
      <vt:lpstr>myScaleFactor</vt:lpstr>
      <vt:lpstr>mySuccessThreshold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dc:description/>
  <cp:lastModifiedBy>User</cp:lastModifiedBy>
  <cp:lastPrinted>2021-09-05T17:23:51Z</cp:lastPrinted>
  <dcterms:created xsi:type="dcterms:W3CDTF">2007-11-06T14:50:20Z</dcterms:created>
  <dcterms:modified xsi:type="dcterms:W3CDTF">2022-10-20T09:23:42Z</dcterms:modified>
  <cp:category/>
</cp:coreProperties>
</file>