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373E604-74D0-4311-849E-ED82333ED3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dex" sheetId="7" r:id="rId1"/>
    <sheet name="Summary" sheetId="5" r:id="rId2"/>
    <sheet name="Data" sheetId="1" r:id="rId3"/>
    <sheet name="Weightages" sheetId="2" r:id="rId4"/>
    <sheet name="Support" sheetId="6" state="hidden" r:id="rId5"/>
  </sheets>
  <definedNames>
    <definedName name="_xlnm._FilterDatabase" localSheetId="2" hidden="1">Data!$A$2:$O$2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6" l="1"/>
  <c r="D6" i="6" s="1"/>
  <c r="A19" i="6" l="1"/>
  <c r="D3" i="6"/>
  <c r="D4" i="6"/>
  <c r="D5" i="6"/>
  <c r="D2" i="6"/>
  <c r="I1" i="6"/>
  <c r="E6" i="6"/>
  <c r="E3" i="6"/>
  <c r="D7" i="6"/>
  <c r="E2" i="6"/>
  <c r="E4" i="6"/>
  <c r="E5" i="6"/>
  <c r="F6" i="6" l="1"/>
  <c r="F5" i="6"/>
  <c r="F4" i="6"/>
  <c r="F2" i="6"/>
  <c r="F3" i="6"/>
  <c r="J23" i="1"/>
  <c r="H23" i="1"/>
  <c r="I23" i="1"/>
  <c r="K23" i="1"/>
  <c r="L23" i="1"/>
  <c r="N23" i="1"/>
  <c r="H24" i="1"/>
  <c r="L24" i="1"/>
  <c r="I24" i="1"/>
  <c r="J24" i="1"/>
  <c r="K24" i="1"/>
  <c r="N24" i="1"/>
  <c r="O24" i="1" s="1"/>
  <c r="J25" i="1"/>
  <c r="H25" i="1"/>
  <c r="I25" i="1"/>
  <c r="K25" i="1"/>
  <c r="L25" i="1"/>
  <c r="N25" i="1"/>
  <c r="O25" i="1" s="1"/>
  <c r="H26" i="1"/>
  <c r="L26" i="1"/>
  <c r="I26" i="1"/>
  <c r="J26" i="1"/>
  <c r="K26" i="1"/>
  <c r="N26" i="1"/>
  <c r="J27" i="1"/>
  <c r="H27" i="1"/>
  <c r="I27" i="1"/>
  <c r="K27" i="1"/>
  <c r="L27" i="1"/>
  <c r="N27" i="1"/>
  <c r="H28" i="1"/>
  <c r="L28" i="1"/>
  <c r="I28" i="1"/>
  <c r="J28" i="1"/>
  <c r="K28" i="1"/>
  <c r="N28" i="1"/>
  <c r="J29" i="1"/>
  <c r="H29" i="1"/>
  <c r="I29" i="1"/>
  <c r="K29" i="1"/>
  <c r="L29" i="1"/>
  <c r="N29" i="1"/>
  <c r="H30" i="1"/>
  <c r="L30" i="1"/>
  <c r="I30" i="1"/>
  <c r="J30" i="1"/>
  <c r="K30" i="1"/>
  <c r="N30" i="1"/>
  <c r="J31" i="1"/>
  <c r="H31" i="1"/>
  <c r="I31" i="1"/>
  <c r="K31" i="1"/>
  <c r="L31" i="1"/>
  <c r="N31" i="1"/>
  <c r="O31" i="1" s="1"/>
  <c r="H32" i="1"/>
  <c r="L32" i="1"/>
  <c r="I32" i="1"/>
  <c r="J32" i="1"/>
  <c r="K32" i="1"/>
  <c r="N32" i="1"/>
  <c r="J33" i="1"/>
  <c r="H33" i="1"/>
  <c r="I33" i="1"/>
  <c r="K33" i="1"/>
  <c r="L33" i="1"/>
  <c r="N33" i="1"/>
  <c r="O33" i="1" s="1"/>
  <c r="H34" i="1"/>
  <c r="L34" i="1"/>
  <c r="I34" i="1"/>
  <c r="J34" i="1"/>
  <c r="K34" i="1"/>
  <c r="N34" i="1"/>
  <c r="J35" i="1"/>
  <c r="H35" i="1"/>
  <c r="I35" i="1"/>
  <c r="K35" i="1"/>
  <c r="L35" i="1"/>
  <c r="N35" i="1"/>
  <c r="O35" i="1" s="1"/>
  <c r="H36" i="1"/>
  <c r="L36" i="1"/>
  <c r="I36" i="1"/>
  <c r="J36" i="1"/>
  <c r="K36" i="1"/>
  <c r="N36" i="1"/>
  <c r="O36" i="1" s="1"/>
  <c r="J37" i="1"/>
  <c r="H37" i="1"/>
  <c r="I37" i="1"/>
  <c r="K37" i="1"/>
  <c r="L37" i="1"/>
  <c r="N37" i="1"/>
  <c r="H38" i="1"/>
  <c r="L38" i="1"/>
  <c r="I38" i="1"/>
  <c r="J38" i="1"/>
  <c r="K38" i="1"/>
  <c r="N38" i="1"/>
  <c r="J39" i="1"/>
  <c r="H39" i="1"/>
  <c r="I39" i="1"/>
  <c r="K39" i="1"/>
  <c r="L39" i="1"/>
  <c r="N39" i="1"/>
  <c r="O39" i="1" s="1"/>
  <c r="H40" i="1"/>
  <c r="L40" i="1"/>
  <c r="I40" i="1"/>
  <c r="J40" i="1"/>
  <c r="K40" i="1"/>
  <c r="N40" i="1"/>
  <c r="J41" i="1"/>
  <c r="H41" i="1"/>
  <c r="I41" i="1"/>
  <c r="K41" i="1"/>
  <c r="L41" i="1"/>
  <c r="N41" i="1"/>
  <c r="O41" i="1" s="1"/>
  <c r="H42" i="1"/>
  <c r="L42" i="1"/>
  <c r="I42" i="1"/>
  <c r="J42" i="1"/>
  <c r="K42" i="1"/>
  <c r="N42" i="1"/>
  <c r="J43" i="1"/>
  <c r="H43" i="1"/>
  <c r="I43" i="1"/>
  <c r="K43" i="1"/>
  <c r="L43" i="1"/>
  <c r="N43" i="1"/>
  <c r="H44" i="1"/>
  <c r="L44" i="1"/>
  <c r="I44" i="1"/>
  <c r="J44" i="1"/>
  <c r="K44" i="1"/>
  <c r="N44" i="1"/>
  <c r="J45" i="1"/>
  <c r="H45" i="1"/>
  <c r="I45" i="1"/>
  <c r="K45" i="1"/>
  <c r="L45" i="1"/>
  <c r="N45" i="1"/>
  <c r="H46" i="1"/>
  <c r="L46" i="1"/>
  <c r="I46" i="1"/>
  <c r="J46" i="1"/>
  <c r="K46" i="1"/>
  <c r="N46" i="1"/>
  <c r="O46" i="1" s="1"/>
  <c r="J47" i="1"/>
  <c r="H47" i="1"/>
  <c r="I47" i="1"/>
  <c r="K47" i="1"/>
  <c r="L47" i="1"/>
  <c r="N47" i="1"/>
  <c r="H48" i="1"/>
  <c r="L48" i="1"/>
  <c r="I48" i="1"/>
  <c r="J48" i="1"/>
  <c r="K48" i="1"/>
  <c r="N48" i="1"/>
  <c r="O48" i="1" s="1"/>
  <c r="J49" i="1"/>
  <c r="H49" i="1"/>
  <c r="I49" i="1"/>
  <c r="K49" i="1"/>
  <c r="L49" i="1"/>
  <c r="N49" i="1"/>
  <c r="H50" i="1"/>
  <c r="L50" i="1"/>
  <c r="I50" i="1"/>
  <c r="J50" i="1"/>
  <c r="K50" i="1"/>
  <c r="N50" i="1"/>
  <c r="J51" i="1"/>
  <c r="H51" i="1"/>
  <c r="I51" i="1"/>
  <c r="K51" i="1"/>
  <c r="L51" i="1"/>
  <c r="N51" i="1"/>
  <c r="H52" i="1"/>
  <c r="L52" i="1"/>
  <c r="I52" i="1"/>
  <c r="J52" i="1"/>
  <c r="K52" i="1"/>
  <c r="N52" i="1"/>
  <c r="E7" i="6"/>
  <c r="F7" i="6" l="1"/>
  <c r="M49" i="1"/>
  <c r="O49" i="1" s="1"/>
  <c r="M41" i="1"/>
  <c r="M33" i="1"/>
  <c r="M51" i="1"/>
  <c r="O51" i="1" s="1"/>
  <c r="M39" i="1"/>
  <c r="M37" i="1"/>
  <c r="O37" i="1" s="1"/>
  <c r="M35" i="1"/>
  <c r="M47" i="1"/>
  <c r="O47" i="1" s="1"/>
  <c r="M45" i="1"/>
  <c r="O45" i="1" s="1"/>
  <c r="M43" i="1"/>
  <c r="O43" i="1" s="1"/>
  <c r="M31" i="1"/>
  <c r="M29" i="1"/>
  <c r="O29" i="1" s="1"/>
  <c r="M27" i="1"/>
  <c r="O27" i="1" s="1"/>
  <c r="M25" i="1"/>
  <c r="M23" i="1"/>
  <c r="O23" i="1" s="1"/>
  <c r="M48" i="1"/>
  <c r="M40" i="1"/>
  <c r="O40" i="1" s="1"/>
  <c r="M30" i="1"/>
  <c r="O30" i="1" s="1"/>
  <c r="M50" i="1"/>
  <c r="O50" i="1" s="1"/>
  <c r="M42" i="1"/>
  <c r="O42" i="1" s="1"/>
  <c r="M34" i="1"/>
  <c r="O34" i="1" s="1"/>
  <c r="M28" i="1"/>
  <c r="O28" i="1" s="1"/>
  <c r="M52" i="1"/>
  <c r="O52" i="1" s="1"/>
  <c r="M44" i="1"/>
  <c r="O44" i="1" s="1"/>
  <c r="M36" i="1"/>
  <c r="M26" i="1"/>
  <c r="O26" i="1" s="1"/>
  <c r="M46" i="1"/>
  <c r="M38" i="1"/>
  <c r="O38" i="1" s="1"/>
  <c r="M32" i="1"/>
  <c r="O32" i="1" s="1"/>
  <c r="M24" i="1"/>
  <c r="N10" i="1"/>
  <c r="O10" i="1" s="1"/>
  <c r="H10" i="1"/>
  <c r="I10" i="1"/>
  <c r="J10" i="1"/>
  <c r="K10" i="1"/>
  <c r="L10" i="1"/>
  <c r="N11" i="1"/>
  <c r="H11" i="1"/>
  <c r="I11" i="1"/>
  <c r="J11" i="1"/>
  <c r="K11" i="1"/>
  <c r="L11" i="1"/>
  <c r="N12" i="1"/>
  <c r="H12" i="1"/>
  <c r="I12" i="1"/>
  <c r="J12" i="1"/>
  <c r="K12" i="1"/>
  <c r="L12" i="1"/>
  <c r="N13" i="1"/>
  <c r="H13" i="1"/>
  <c r="I13" i="1"/>
  <c r="J13" i="1"/>
  <c r="K13" i="1"/>
  <c r="L13" i="1"/>
  <c r="N14" i="1"/>
  <c r="O14" i="1" s="1"/>
  <c r="H14" i="1"/>
  <c r="I14" i="1"/>
  <c r="J14" i="1"/>
  <c r="K14" i="1"/>
  <c r="L14" i="1"/>
  <c r="N15" i="1"/>
  <c r="O15" i="1" s="1"/>
  <c r="H15" i="1"/>
  <c r="I15" i="1"/>
  <c r="J15" i="1"/>
  <c r="K15" i="1"/>
  <c r="L15" i="1"/>
  <c r="N16" i="1"/>
  <c r="H16" i="1"/>
  <c r="I16" i="1"/>
  <c r="J16" i="1"/>
  <c r="K16" i="1"/>
  <c r="L16" i="1"/>
  <c r="N17" i="1"/>
  <c r="O17" i="1" s="1"/>
  <c r="H17" i="1"/>
  <c r="I17" i="1"/>
  <c r="J17" i="1"/>
  <c r="K17" i="1"/>
  <c r="L17" i="1"/>
  <c r="N18" i="1"/>
  <c r="H18" i="1"/>
  <c r="I18" i="1"/>
  <c r="J18" i="1"/>
  <c r="K18" i="1"/>
  <c r="L18" i="1"/>
  <c r="N19" i="1"/>
  <c r="O19" i="1" s="1"/>
  <c r="H19" i="1"/>
  <c r="I19" i="1"/>
  <c r="J19" i="1"/>
  <c r="K19" i="1"/>
  <c r="L19" i="1"/>
  <c r="N20" i="1"/>
  <c r="H20" i="1"/>
  <c r="I20" i="1"/>
  <c r="J20" i="1"/>
  <c r="K20" i="1"/>
  <c r="L20" i="1"/>
  <c r="N21" i="1"/>
  <c r="H21" i="1"/>
  <c r="I21" i="1"/>
  <c r="J21" i="1"/>
  <c r="K21" i="1"/>
  <c r="L21" i="1"/>
  <c r="N22" i="1"/>
  <c r="O22" i="1" s="1"/>
  <c r="H22" i="1"/>
  <c r="I22" i="1"/>
  <c r="J22" i="1"/>
  <c r="K22" i="1"/>
  <c r="L22" i="1"/>
  <c r="M20" i="1" l="1"/>
  <c r="O20" i="1" s="1"/>
  <c r="M22" i="1"/>
  <c r="M21" i="1"/>
  <c r="O21" i="1" s="1"/>
  <c r="M19" i="1"/>
  <c r="M18" i="1"/>
  <c r="O18" i="1" s="1"/>
  <c r="M17" i="1"/>
  <c r="M15" i="1"/>
  <c r="M14" i="1"/>
  <c r="M13" i="1"/>
  <c r="O13" i="1" s="1"/>
  <c r="M11" i="1"/>
  <c r="O11" i="1" s="1"/>
  <c r="M10" i="1"/>
  <c r="M16" i="1"/>
  <c r="O16" i="1" s="1"/>
  <c r="M12" i="1"/>
  <c r="O12" i="1" s="1"/>
  <c r="N4" i="1"/>
  <c r="N5" i="1"/>
  <c r="N6" i="1"/>
  <c r="O6" i="1" s="1"/>
  <c r="N7" i="1"/>
  <c r="N8" i="1"/>
  <c r="O8" i="1" s="1"/>
  <c r="N9" i="1"/>
  <c r="N3" i="1"/>
  <c r="I2" i="6" s="1"/>
  <c r="M1" i="6" s="1"/>
  <c r="M3" i="6" s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L3" i="1"/>
  <c r="K3" i="1"/>
  <c r="J3" i="1"/>
  <c r="I4" i="1"/>
  <c r="I5" i="1"/>
  <c r="I6" i="1"/>
  <c r="I7" i="1"/>
  <c r="I8" i="1"/>
  <c r="I9" i="1"/>
  <c r="I3" i="1"/>
  <c r="H6" i="1" l="1"/>
  <c r="M6" i="1" s="1"/>
  <c r="H9" i="1"/>
  <c r="M9" i="1" s="1"/>
  <c r="O9" i="1" s="1"/>
  <c r="H5" i="1"/>
  <c r="M5" i="1" s="1"/>
  <c r="O5" i="1" s="1"/>
  <c r="H8" i="1"/>
  <c r="M8" i="1" s="1"/>
  <c r="H4" i="1"/>
  <c r="M4" i="1" s="1"/>
  <c r="O4" i="1" s="1"/>
  <c r="H7" i="1"/>
  <c r="M7" i="1" s="1"/>
  <c r="O7" i="1" s="1"/>
  <c r="H3" i="1"/>
  <c r="M3" i="1" s="1"/>
  <c r="O3" i="1" s="1"/>
  <c r="B1" i="6" s="1"/>
  <c r="B2" i="6" l="1"/>
  <c r="B3" i="6"/>
</calcChain>
</file>

<file path=xl/sharedStrings.xml><?xml version="1.0" encoding="utf-8"?>
<sst xmlns="http://schemas.openxmlformats.org/spreadsheetml/2006/main" count="99" uniqueCount="82">
  <si>
    <t>A</t>
  </si>
  <si>
    <t>Calls</t>
  </si>
  <si>
    <t>AHT</t>
  </si>
  <si>
    <t>Sale</t>
  </si>
  <si>
    <t>Quality</t>
  </si>
  <si>
    <t>Client Escalation</t>
  </si>
  <si>
    <t>Weightage</t>
  </si>
  <si>
    <t>Quality Score</t>
  </si>
  <si>
    <t>Calls Score</t>
  </si>
  <si>
    <t>AHT Score</t>
  </si>
  <si>
    <t>Sale Score</t>
  </si>
  <si>
    <t>Client Escalation Score</t>
  </si>
  <si>
    <t>EMP Name</t>
  </si>
  <si>
    <t>EMP-1</t>
  </si>
  <si>
    <t>EMP-2</t>
  </si>
  <si>
    <t>EMP-3</t>
  </si>
  <si>
    <t>EMP-4</t>
  </si>
  <si>
    <t>EMP-5</t>
  </si>
  <si>
    <t>EMP-6</t>
  </si>
  <si>
    <t>EMP-7</t>
  </si>
  <si>
    <t>EMP-8</t>
  </si>
  <si>
    <t>EMP-9</t>
  </si>
  <si>
    <t>EMP-10</t>
  </si>
  <si>
    <t>EMP-11</t>
  </si>
  <si>
    <t>EMP-12</t>
  </si>
  <si>
    <t>EMP-13</t>
  </si>
  <si>
    <t>EMP-14</t>
  </si>
  <si>
    <t>EMP-15</t>
  </si>
  <si>
    <t>EMP-16</t>
  </si>
  <si>
    <t>EMP-17</t>
  </si>
  <si>
    <t>EMP-18</t>
  </si>
  <si>
    <t>EMP-19</t>
  </si>
  <si>
    <t>EMP-20</t>
  </si>
  <si>
    <t>Total Score</t>
  </si>
  <si>
    <t>Eligibility</t>
  </si>
  <si>
    <t>Eligible</t>
  </si>
  <si>
    <t>Not Eligible</t>
  </si>
  <si>
    <t>EMP-21</t>
  </si>
  <si>
    <t>EMP-22</t>
  </si>
  <si>
    <t>EMP-23</t>
  </si>
  <si>
    <t>EMP-24</t>
  </si>
  <si>
    <t>EMP-25</t>
  </si>
  <si>
    <t>EMP-26</t>
  </si>
  <si>
    <t>EMP-27</t>
  </si>
  <si>
    <t>EMP-28</t>
  </si>
  <si>
    <t>EMP-29</t>
  </si>
  <si>
    <t>EMP-30</t>
  </si>
  <si>
    <t>EMP-31</t>
  </si>
  <si>
    <t>EMP-32</t>
  </si>
  <si>
    <t>EMP-33</t>
  </si>
  <si>
    <t>EMP-34</t>
  </si>
  <si>
    <t>EMP-35</t>
  </si>
  <si>
    <t>EMP-36</t>
  </si>
  <si>
    <t>EMP-37</t>
  </si>
  <si>
    <t>EMP-38</t>
  </si>
  <si>
    <t>EMP-39</t>
  </si>
  <si>
    <t>EMP-40</t>
  </si>
  <si>
    <t>EMP-41</t>
  </si>
  <si>
    <t>EMP-42</t>
  </si>
  <si>
    <t>EMP-43</t>
  </si>
  <si>
    <t>EMP-44</t>
  </si>
  <si>
    <t>EMP-45</t>
  </si>
  <si>
    <t>EMP-46</t>
  </si>
  <si>
    <t>EMP-47</t>
  </si>
  <si>
    <t>EMP-48</t>
  </si>
  <si>
    <t>EMP-49</t>
  </si>
  <si>
    <t>EMP-50</t>
  </si>
  <si>
    <t>Incentive Amount</t>
  </si>
  <si>
    <t>Count</t>
  </si>
  <si>
    <t>HC%</t>
  </si>
  <si>
    <t>Total HC</t>
  </si>
  <si>
    <t>Payout</t>
  </si>
  <si>
    <t>Max Payout</t>
  </si>
  <si>
    <t>Average Payout Per EMP (Eligible)</t>
  </si>
  <si>
    <t>Average Payout Per EMP (All)</t>
  </si>
  <si>
    <t>Eligible%</t>
  </si>
  <si>
    <t>Data!C:C</t>
  </si>
  <si>
    <t>Data!D:D</t>
  </si>
  <si>
    <t>Data!E:E</t>
  </si>
  <si>
    <t>Data!F:F</t>
  </si>
  <si>
    <t>Data!G:G</t>
  </si>
  <si>
    <t>Total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</si>
</sst>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</numFmts>
  <fonts count="8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rgb="FFC00000"/>
      </right>
      <top style="medium">
        <color indexed="64"/>
      </top>
      <bottom style="hair">
        <color rgb="FFC00000"/>
      </bottom>
      <diagonal/>
    </border>
    <border>
      <left style="hair">
        <color rgb="FFC00000"/>
      </left>
      <right style="medium">
        <color indexed="64"/>
      </right>
      <top style="medium">
        <color indexed="64"/>
      </top>
      <bottom style="hair">
        <color rgb="FFC00000"/>
      </bottom>
      <diagonal/>
    </border>
    <border>
      <left style="medium">
        <color indexed="64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medium">
        <color indexed="64"/>
      </right>
      <top style="hair">
        <color rgb="FFC00000"/>
      </top>
      <bottom style="hair">
        <color rgb="FFC00000"/>
      </bottom>
      <diagonal/>
    </border>
    <border>
      <left style="medium">
        <color indexed="64"/>
      </left>
      <right style="hair">
        <color rgb="FFC00000"/>
      </right>
      <top style="hair">
        <color rgb="FFC00000"/>
      </top>
      <bottom style="medium">
        <color indexed="64"/>
      </bottom>
      <diagonal/>
    </border>
    <border>
      <left style="hair">
        <color rgb="FFC00000"/>
      </left>
      <right style="medium">
        <color indexed="64"/>
      </right>
      <top style="hair">
        <color rgb="FFC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2060"/>
      </left>
      <right/>
      <top style="double">
        <color rgb="FF002060"/>
      </top>
      <bottom/>
      <diagonal/>
    </border>
    <border>
      <left/>
      <right/>
      <top style="double">
        <color rgb="FF002060"/>
      </top>
      <bottom/>
      <diagonal/>
    </border>
    <border>
      <left/>
      <right style="double">
        <color rgb="FF002060"/>
      </right>
      <top style="double">
        <color rgb="FF002060"/>
      </top>
      <bottom/>
      <diagonal/>
    </border>
    <border>
      <left style="double">
        <color rgb="FF002060"/>
      </left>
      <right/>
      <top/>
      <bottom/>
      <diagonal/>
    </border>
    <border>
      <left/>
      <right style="double">
        <color rgb="FF002060"/>
      </right>
      <top/>
      <bottom/>
      <diagonal/>
    </border>
    <border>
      <left style="double">
        <color rgb="FF002060"/>
      </left>
      <right/>
      <top/>
      <bottom style="double">
        <color rgb="FF002060"/>
      </bottom>
      <diagonal/>
    </border>
    <border>
      <left/>
      <right/>
      <top/>
      <bottom style="double">
        <color rgb="FF002060"/>
      </bottom>
      <diagonal/>
    </border>
    <border>
      <left/>
      <right style="double">
        <color rgb="FF002060"/>
      </right>
      <top/>
      <bottom style="double">
        <color rgb="FF00206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8" fontId="4" fillId="5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justify"/>
    </xf>
    <xf numFmtId="9" fontId="2" fillId="0" borderId="3" xfId="0" applyNumberFormat="1" applyFont="1" applyFill="1" applyBorder="1" applyAlignment="1">
      <alignment horizontal="center" vertical="justify"/>
    </xf>
    <xf numFmtId="9" fontId="2" fillId="3" borderId="3" xfId="0" applyNumberFormat="1" applyFont="1" applyFill="1" applyBorder="1" applyAlignment="1">
      <alignment horizontal="center" vertical="justify"/>
    </xf>
    <xf numFmtId="0" fontId="2" fillId="0" borderId="3" xfId="0" applyFont="1" applyBorder="1" applyAlignment="1">
      <alignment horizontal="center" vertical="center"/>
    </xf>
    <xf numFmtId="8" fontId="3" fillId="3" borderId="3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6" fillId="2" borderId="6" xfId="0" applyNumberFormat="1" applyFont="1" applyFill="1" applyBorder="1" applyAlignment="1">
      <alignment horizontal="center"/>
    </xf>
    <xf numFmtId="9" fontId="6" fillId="2" borderId="7" xfId="0" applyNumberFormat="1" applyFont="1" applyFill="1" applyBorder="1" applyAlignment="1">
      <alignment horizontal="center"/>
    </xf>
    <xf numFmtId="9" fontId="6" fillId="2" borderId="8" xfId="0" applyNumberFormat="1" applyFont="1" applyFill="1" applyBorder="1" applyAlignment="1">
      <alignment horizontal="center"/>
    </xf>
    <xf numFmtId="9" fontId="6" fillId="2" borderId="9" xfId="0" applyNumberFormat="1" applyFont="1" applyFill="1" applyBorder="1" applyAlignment="1">
      <alignment horizontal="center"/>
    </xf>
    <xf numFmtId="0" fontId="6" fillId="2" borderId="6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6" fillId="2" borderId="9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justify"/>
    </xf>
    <xf numFmtId="0" fontId="0" fillId="0" borderId="10" xfId="0" applyBorder="1"/>
    <xf numFmtId="0" fontId="0" fillId="0" borderId="10" xfId="0" applyBorder="1" applyAlignment="1">
      <alignment vertical="center"/>
    </xf>
    <xf numFmtId="9" fontId="0" fillId="0" borderId="10" xfId="0" applyNumberFormat="1" applyBorder="1" applyAlignment="1">
      <alignment vertical="center"/>
    </xf>
    <xf numFmtId="9" fontId="0" fillId="0" borderId="10" xfId="0" applyNumberFormat="1" applyBorder="1"/>
    <xf numFmtId="6" fontId="0" fillId="0" borderId="10" xfId="0" applyNumberFormat="1" applyBorder="1"/>
    <xf numFmtId="164" fontId="0" fillId="0" borderId="10" xfId="0" applyNumberFormat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justify"/>
    </xf>
    <xf numFmtId="0" fontId="7" fillId="7" borderId="3" xfId="0" applyFont="1" applyFill="1" applyBorder="1" applyAlignment="1">
      <alignment horizontal="center" vertical="justify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788088773195581E-2"/>
          <c:y val="2.1319280640632737E-2"/>
          <c:w val="0.95823830405452326"/>
          <c:h val="0.7943106917082835"/>
        </c:manualLayout>
      </c:layout>
      <c:lineChart>
        <c:grouping val="standard"/>
        <c:varyColors val="0"/>
        <c:ser>
          <c:idx val="0"/>
          <c:order val="0"/>
          <c:tx>
            <c:strRef>
              <c:f>Support!$F$1</c:f>
              <c:strCache>
                <c:ptCount val="1"/>
                <c:pt idx="0">
                  <c:v>HC%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chemeClr val="bg1"/>
              </a:solidFill>
              <a:ln w="19050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Support!$D$2:$D$7</c:f>
              <c:numCache>
                <c:formatCode>General</c:formatCode>
                <c:ptCount val="6"/>
                <c:pt idx="0">
                  <c:v>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98</c:v>
                </c:pt>
              </c:numCache>
            </c:numRef>
          </c:cat>
          <c:val>
            <c:numRef>
              <c:f>Support!$F$2:$F$7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0.52</c:v>
                </c:pt>
                <c:pt idx="3">
                  <c:v>0.66</c:v>
                </c:pt>
                <c:pt idx="4">
                  <c:v>0.84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7-4C48-9F63-B3C4D185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/>
              </a:solidFill>
              <a:prstDash val="lgDash"/>
              <a:round/>
              <a:headEnd type="oval"/>
            </a:ln>
            <a:effectLst/>
          </c:spPr>
        </c:dropLines>
        <c:marker val="1"/>
        <c:smooth val="0"/>
        <c:axId val="231219352"/>
        <c:axId val="231219744"/>
      </c:lineChart>
      <c:catAx>
        <c:axId val="231219352"/>
        <c:scaling>
          <c:orientation val="minMax"/>
        </c:scaling>
        <c:delete val="0"/>
        <c:axPos val="b"/>
        <c:title>
          <c:tx>
            <c:strRef>
              <c:f>Support!$A$19</c:f>
              <c:strCache>
                <c:ptCount val="1"/>
                <c:pt idx="0">
                  <c:v>Quality Analysis</c:v>
                </c:pt>
              </c:strCache>
            </c:strRef>
          </c:tx>
          <c:layout>
            <c:manualLayout>
              <c:xMode val="edge"/>
              <c:yMode val="edge"/>
              <c:x val="0.42370938857481644"/>
              <c:y val="0.91523188006168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19744"/>
        <c:crosses val="autoZero"/>
        <c:auto val="1"/>
        <c:lblAlgn val="ctr"/>
        <c:lblOffset val="100"/>
        <c:noMultiLvlLbl val="0"/>
      </c:catAx>
      <c:valAx>
        <c:axId val="23121974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23121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rgbClr val="C00000"/>
                  </a:gs>
                  <a:gs pos="50000">
                    <a:srgbClr val="FFC000"/>
                  </a:gs>
                  <a:gs pos="100000">
                    <a:srgbClr val="00B050"/>
                  </a:gs>
                </a:gsLst>
                <a:lin ang="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92-4AF0-960F-CF4F4D0D51B2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92-4AF0-960F-CF4F4D0D51B2}"/>
              </c:ext>
            </c:extLst>
          </c:dPt>
          <c:val>
            <c:numRef>
              <c:f>Support!$N$1:$N$2</c:f>
              <c:numCache>
                <c:formatCode>0%</c:formatCode>
                <c:ptCount val="2"/>
                <c:pt idx="0">
                  <c:v>1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92-4AF0-960F-CF4F4D0D5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  <c:holeSize val="75"/>
      </c:doughnutChart>
      <c:pieChart>
        <c:varyColors val="1"/>
        <c:ser>
          <c:idx val="1"/>
          <c:order val="1"/>
          <c:tx>
            <c:strRef>
              <c:f>Support!$L$1</c:f>
              <c:strCache>
                <c:ptCount val="1"/>
                <c:pt idx="0">
                  <c:v>Eligible%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192-4AF0-960F-CF4F4D0D51B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192-4AF0-960F-CF4F4D0D51B2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192-4AF0-960F-CF4F4D0D51B2}"/>
              </c:ext>
            </c:extLst>
          </c:dPt>
          <c:dLbls>
            <c:dLbl>
              <c:idx val="1"/>
              <c:tx>
                <c:strRef>
                  <c:f>Support!$M$1</c:f>
                  <c:strCache>
                    <c:ptCount val="1"/>
                    <c:pt idx="0">
                      <c:v>64%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{5C2640D6-227F-40D5-A410-507D981FD4AC}</c15:txfldGUID>
                      <c15:f>Support!$M$1</c15:f>
                      <c15:dlblFieldTableCache>
                        <c:ptCount val="1"/>
                        <c:pt idx="0">
                          <c:v>64%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9192-4AF0-960F-CF4F4D0D51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Support!$M$1:$M$3</c:f>
              <c:numCache>
                <c:formatCode>0%</c:formatCode>
                <c:ptCount val="3"/>
                <c:pt idx="0">
                  <c:v>0.64</c:v>
                </c:pt>
                <c:pt idx="1">
                  <c:v>0.01</c:v>
                </c:pt>
                <c:pt idx="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92-4AF0-960F-CF4F4D0D5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Support!$B$19" fmlaRange="Support!$A$13:$A$17" noThreeD="1" sel="4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Weightages!A1"/><Relationship Id="rId2" Type="http://schemas.openxmlformats.org/officeDocument/2006/relationships/hyperlink" Target="#Data!A1"/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dex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258842</xdr:colOff>
      <xdr:row>1</xdr:row>
      <xdr:rowOff>2673</xdr:rowOff>
    </xdr:from>
    <xdr:to>
      <xdr:col>7</xdr:col>
      <xdr:colOff>426969</xdr:colOff>
      <xdr:row>4</xdr:row>
      <xdr:rowOff>14952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68442" y="174123"/>
          <a:ext cx="3825727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50">
              <a:ln w="0"/>
              <a:solidFill>
                <a:srgbClr val="002060"/>
              </a:solidFill>
              <a:effectLst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</a:rPr>
            <a:t>Incentive Dashboard</a:t>
          </a:r>
        </a:p>
      </xdr:txBody>
    </xdr:sp>
    <xdr:clientData/>
  </xdr:twoCellAnchor>
  <xdr:twoCellAnchor editAs="absolute">
    <xdr:from>
      <xdr:col>3</xdr:col>
      <xdr:colOff>66675</xdr:colOff>
      <xdr:row>4</xdr:row>
      <xdr:rowOff>47625</xdr:rowOff>
    </xdr:from>
    <xdr:to>
      <xdr:col>5</xdr:col>
      <xdr:colOff>523875</xdr:colOff>
      <xdr:row>6</xdr:row>
      <xdr:rowOff>57150</xdr:rowOff>
    </xdr:to>
    <xdr:sp macro="" textlink="">
      <xdr:nvSpPr>
        <xdr:cNvPr id="4" name="Round Diagonal Corner 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85900" y="742950"/>
          <a:ext cx="1676400" cy="390525"/>
        </a:xfrm>
        <a:prstGeom prst="round2DiagRect">
          <a:avLst>
            <a:gd name="adj1" fmla="val 50000"/>
            <a:gd name="adj2" fmla="val 0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Summary</a:t>
          </a:r>
        </a:p>
      </xdr:txBody>
    </xdr:sp>
    <xdr:clientData/>
  </xdr:twoCellAnchor>
  <xdr:twoCellAnchor editAs="absolute">
    <xdr:from>
      <xdr:col>3</xdr:col>
      <xdr:colOff>66675</xdr:colOff>
      <xdr:row>7</xdr:row>
      <xdr:rowOff>4763</xdr:rowOff>
    </xdr:from>
    <xdr:to>
      <xdr:col>5</xdr:col>
      <xdr:colOff>523875</xdr:colOff>
      <xdr:row>9</xdr:row>
      <xdr:rowOff>14288</xdr:rowOff>
    </xdr:to>
    <xdr:sp macro="" textlink="">
      <xdr:nvSpPr>
        <xdr:cNvPr id="7" name="Round Diagonal Corner Rectangl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85900" y="1271588"/>
          <a:ext cx="1676400" cy="390525"/>
        </a:xfrm>
        <a:prstGeom prst="round2DiagRect">
          <a:avLst>
            <a:gd name="adj1" fmla="val 50000"/>
            <a:gd name="adj2" fmla="val 0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Data</a:t>
          </a:r>
        </a:p>
      </xdr:txBody>
    </xdr:sp>
    <xdr:clientData/>
  </xdr:twoCellAnchor>
  <xdr:twoCellAnchor editAs="absolute">
    <xdr:from>
      <xdr:col>3</xdr:col>
      <xdr:colOff>66675</xdr:colOff>
      <xdr:row>9</xdr:row>
      <xdr:rowOff>152400</xdr:rowOff>
    </xdr:from>
    <xdr:to>
      <xdr:col>5</xdr:col>
      <xdr:colOff>523875</xdr:colOff>
      <xdr:row>11</xdr:row>
      <xdr:rowOff>161925</xdr:rowOff>
    </xdr:to>
    <xdr:sp macro="" textlink="">
      <xdr:nvSpPr>
        <xdr:cNvPr id="8" name="Round Diagonal Corner Rectangl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85900" y="1800225"/>
          <a:ext cx="1676400" cy="390525"/>
        </a:xfrm>
        <a:prstGeom prst="round2DiagRect">
          <a:avLst>
            <a:gd name="adj1" fmla="val 50000"/>
            <a:gd name="adj2" fmla="val 0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Weightages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588840</xdr:colOff>
      <xdr:row>0</xdr:row>
      <xdr:rowOff>123825</xdr:rowOff>
    </xdr:from>
    <xdr:to>
      <xdr:col>12</xdr:col>
      <xdr:colOff>9525</xdr:colOff>
      <xdr:row>23</xdr:row>
      <xdr:rowOff>19050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799075" y="123825"/>
          <a:ext cx="8396597" cy="4276725"/>
          <a:chOff x="1808040" y="123825"/>
          <a:chExt cx="8431335" cy="4276725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GrpSpPr/>
        </xdr:nvGrpSpPr>
        <xdr:grpSpPr>
          <a:xfrm>
            <a:off x="1808040" y="123825"/>
            <a:ext cx="8431335" cy="4276725"/>
            <a:chOff x="1808040" y="123825"/>
            <a:chExt cx="8431335" cy="4276725"/>
          </a:xfrm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1808040" y="123825"/>
              <a:ext cx="8431335" cy="4276725"/>
            </a:xfrm>
            <a:prstGeom prst="roundRect">
              <a:avLst>
                <a:gd name="adj" fmla="val 6075"/>
              </a:avLst>
            </a:prstGeom>
            <a:solidFill>
              <a:schemeClr val="tx1"/>
            </a:solidFill>
            <a:ln>
              <a:noFill/>
            </a:ln>
            <a:effectLst>
              <a:outerShdw blurRad="76200" dir="13500000" sy="23000" kx="1200000" algn="br" rotWithShape="0">
                <a:prstClr val="black">
                  <a:alpha val="20000"/>
                </a:prstClr>
              </a:outerShdw>
            </a:effectLst>
            <a:scene3d>
              <a:camera prst="orthographicFront">
                <a:rot lat="0" lon="0" rev="0"/>
              </a:camera>
              <a:lightRig rig="contrasting" dir="t">
                <a:rot lat="0" lon="0" rev="1500000"/>
              </a:lightRig>
            </a:scene3d>
            <a:sp3d prstMaterial="metal">
              <a:bevelT w="88900" h="889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>
            <a:xfrm>
              <a:off x="2152650" y="304800"/>
              <a:ext cx="7620000" cy="389572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Oval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1876426" y="2157412"/>
              <a:ext cx="209550" cy="2095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Oval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9810750" y="2081212"/>
              <a:ext cx="361951" cy="361951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aphicFramePr>
            <a:graphicFrameLocks/>
          </xdr:cNvGraphicFramePr>
        </xdr:nvGraphicFramePr>
        <xdr:xfrm>
          <a:off x="2177731" y="1714500"/>
          <a:ext cx="5242244" cy="24479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GraphicFramePr>
            <a:graphicFrameLocks/>
          </xdr:cNvGraphicFramePr>
        </xdr:nvGraphicFramePr>
        <xdr:xfrm>
          <a:off x="7315201" y="2162175"/>
          <a:ext cx="2371724" cy="2209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GrpSpPr/>
        </xdr:nvGrpSpPr>
        <xdr:grpSpPr>
          <a:xfrm>
            <a:off x="2733675" y="438149"/>
            <a:ext cx="1476375" cy="1162051"/>
            <a:chOff x="2962275" y="438149"/>
            <a:chExt cx="1476375" cy="1162051"/>
          </a:xfrm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GrpSpPr/>
          </xdr:nvGrpSpPr>
          <xdr:grpSpPr>
            <a:xfrm>
              <a:off x="3238500" y="438149"/>
              <a:ext cx="914400" cy="914400"/>
              <a:chOff x="3505200" y="352424"/>
              <a:chExt cx="914400" cy="914400"/>
            </a:xfrm>
          </xdr:grpSpPr>
          <xdr:sp macro="" textlink="">
            <xdr:nvSpPr>
              <xdr:cNvPr id="22" name="Oval 21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/>
            </xdr:nvSpPr>
            <xdr:spPr>
              <a:xfrm>
                <a:off x="3505200" y="352424"/>
                <a:ext cx="914400" cy="914400"/>
              </a:xfrm>
              <a:prstGeom prst="ellipse">
                <a:avLst/>
              </a:prstGeom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Support!B1">
            <xdr:nvSpPr>
              <xdr:cNvPr id="3" name="Rectangle 2">
                <a:extLst>
                  <a:ext uri="{FF2B5EF4-FFF2-40B4-BE49-F238E27FC236}">
                    <a16:creationId xmlns:a16="http://schemas.microsoft.com/office/drawing/2014/main" id="{00000000-0008-0000-0100-000003000000}"/>
                  </a:ext>
                </a:extLst>
              </xdr:cNvPr>
              <xdr:cNvSpPr/>
            </xdr:nvSpPr>
            <xdr:spPr>
              <a:xfrm>
                <a:off x="3576718" y="653876"/>
                <a:ext cx="771365" cy="311496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spAutoFit/>
              </a:bodyPr>
              <a:lstStyle/>
              <a:p>
                <a:pPr algn="ctr"/>
                <a:fld id="{69C751FD-895F-47B0-9665-068B0C94523D}" type="TxLink">
                  <a:rPr lang="en-US" sz="1400" b="1" i="0" u="none" strike="noStrike" cap="none" spc="50">
                    <a:ln w="0"/>
                    <a:solidFill>
                      <a:schemeClr val="tx1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Calibri"/>
                  </a:rPr>
                  <a:pPr algn="ctr"/>
                  <a:t>$2,310 </a:t>
                </a:fld>
                <a:endParaRPr lang="en-US" sz="6600" b="1" cap="none" spc="50">
                  <a:ln w="0"/>
                  <a:solidFill>
                    <a:schemeClr val="tx1"/>
                  </a:solidFill>
                  <a:effectLst>
                    <a:innerShdw blurRad="63500" dist="50800" dir="13500000">
                      <a:srgbClr val="000000">
                        <a:alpha val="50000"/>
                      </a:srgbClr>
                    </a:innerShdw>
                  </a:effectLst>
                </a:endParaRPr>
              </a:p>
            </xdr:txBody>
          </xdr:sp>
        </xdr:grp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 txBox="1"/>
          </xdr:nvSpPr>
          <xdr:spPr>
            <a:xfrm>
              <a:off x="2962275" y="1314450"/>
              <a:ext cx="14763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0">
                  <a:solidFill>
                    <a:srgbClr val="002060"/>
                  </a:solidFill>
                  <a:latin typeface="Arial Rounded MT Bold" panose="020F0704030504030204" pitchFamily="34" charset="0"/>
                </a:rPr>
                <a:t>Total</a:t>
              </a:r>
              <a:r>
                <a:rPr lang="en-US" sz="1100" b="0" baseline="0">
                  <a:solidFill>
                    <a:srgbClr val="002060"/>
                  </a:solidFill>
                  <a:latin typeface="Arial Rounded MT Bold" panose="020F0704030504030204" pitchFamily="34" charset="0"/>
                </a:rPr>
                <a:t> Payout</a:t>
              </a:r>
              <a:endParaRPr lang="en-US" sz="1100" b="0">
                <a:solidFill>
                  <a:srgbClr val="002060"/>
                </a:solidFill>
                <a:latin typeface="Arial Rounded MT Bold" panose="020F0704030504030204" pitchFamily="34" charset="0"/>
              </a:endParaRPr>
            </a:p>
          </xdr:txBody>
        </xdr:sp>
      </xdr:grpSp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GrpSpPr/>
        </xdr:nvGrpSpPr>
        <xdr:grpSpPr>
          <a:xfrm>
            <a:off x="4714876" y="409574"/>
            <a:ext cx="2247900" cy="1190626"/>
            <a:chOff x="4943476" y="409574"/>
            <a:chExt cx="2247900" cy="1190626"/>
          </a:xfrm>
        </xdr:grpSpPr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GrpSpPr/>
          </xdr:nvGrpSpPr>
          <xdr:grpSpPr>
            <a:xfrm>
              <a:off x="5567362" y="409574"/>
              <a:ext cx="914400" cy="914400"/>
              <a:chOff x="5567363" y="409574"/>
              <a:chExt cx="914400" cy="914400"/>
            </a:xfrm>
          </xdr:grpSpPr>
          <xdr:sp macro="" textlink="">
            <xdr:nvSpPr>
              <xdr:cNvPr id="25" name="Oval 24">
                <a:extLst>
                  <a:ext uri="{FF2B5EF4-FFF2-40B4-BE49-F238E27FC236}">
                    <a16:creationId xmlns:a16="http://schemas.microsoft.com/office/drawing/2014/main" id="{00000000-0008-0000-0100-000019000000}"/>
                  </a:ext>
                </a:extLst>
              </xdr:cNvPr>
              <xdr:cNvSpPr/>
            </xdr:nvSpPr>
            <xdr:spPr>
              <a:xfrm>
                <a:off x="5567363" y="409574"/>
                <a:ext cx="914400" cy="914400"/>
              </a:xfrm>
              <a:prstGeom prst="ellipse">
                <a:avLst/>
              </a:prstGeom>
            </xdr:spPr>
            <xdr:style>
              <a:lnRef idx="0">
                <a:schemeClr val="accent2"/>
              </a:lnRef>
              <a:fillRef idx="3">
                <a:schemeClr val="accent2"/>
              </a:fillRef>
              <a:effectRef idx="3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Support!B2">
            <xdr:nvSpPr>
              <xdr:cNvPr id="26" name="Rectangle 25">
                <a:extLst>
                  <a:ext uri="{FF2B5EF4-FFF2-40B4-BE49-F238E27FC236}">
                    <a16:creationId xmlns:a16="http://schemas.microsoft.com/office/drawing/2014/main" id="{00000000-0008-0000-0100-00001A000000}"/>
                  </a:ext>
                </a:extLst>
              </xdr:cNvPr>
              <xdr:cNvSpPr/>
            </xdr:nvSpPr>
            <xdr:spPr>
              <a:xfrm>
                <a:off x="5686746" y="711026"/>
                <a:ext cx="675634" cy="311496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spAutoFit/>
              </a:bodyPr>
              <a:lstStyle/>
              <a:p>
                <a:pPr marL="0" indent="0" algn="ctr"/>
                <a:fld id="{347D9965-3976-4DE0-A9CB-DF0A88C8E2A4}" type="TxLink">
                  <a:rPr lang="en-US" sz="1400" b="1" i="0" u="none" strike="noStrike" cap="none" spc="50">
                    <a:ln w="0"/>
                    <a:solidFill>
                      <a:schemeClr val="tx1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Calibri"/>
                    <a:ea typeface="+mn-ea"/>
                    <a:cs typeface="+mn-cs"/>
                  </a:rPr>
                  <a:pPr marL="0" indent="0" algn="ctr"/>
                  <a:t>$72.2 </a:t>
                </a:fld>
                <a:endParaRPr lang="en-US" sz="1400" b="1" i="0" u="none" strike="noStrike" cap="none" spc="50">
                  <a:ln w="0"/>
                  <a:solidFill>
                    <a:schemeClr val="tx1"/>
                  </a:solidFill>
                  <a:effectLst>
                    <a:innerShdw blurRad="63500" dist="50800" dir="13500000">
                      <a:srgbClr val="000000">
                        <a:alpha val="50000"/>
                      </a:srgbClr>
                    </a:innerShdw>
                  </a:effectLst>
                  <a:latin typeface="Calibri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>
              <a:off x="4943476" y="1314450"/>
              <a:ext cx="22479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0">
                  <a:solidFill>
                    <a:srgbClr val="002060"/>
                  </a:solidFill>
                  <a:latin typeface="Arial Rounded MT Bold" panose="020F0704030504030204" pitchFamily="34" charset="0"/>
                </a:rPr>
                <a:t>Avg. Payout Per EMP (Eligible)</a:t>
              </a:r>
            </a:p>
          </xdr:txBody>
        </xdr:sp>
      </xdr:grp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>
            <a:off x="7448551" y="380999"/>
            <a:ext cx="1962150" cy="1219201"/>
            <a:chOff x="7677151" y="380999"/>
            <a:chExt cx="1962150" cy="1219201"/>
          </a:xfrm>
        </xdr:grpSpPr>
        <xdr:grpSp>
          <xdr:nvGrpSpPr>
            <xdr:cNvPr id="35" name="Group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GrpSpPr/>
          </xdr:nvGrpSpPr>
          <xdr:grpSpPr>
            <a:xfrm>
              <a:off x="8239125" y="380999"/>
              <a:ext cx="914400" cy="914400"/>
              <a:chOff x="8239125" y="380999"/>
              <a:chExt cx="914400" cy="914400"/>
            </a:xfrm>
          </xdr:grpSpPr>
          <xdr:sp macro="" textlink="">
            <xdr:nvSpPr>
              <xdr:cNvPr id="28" name="Oval 27">
                <a:extLst>
                  <a:ext uri="{FF2B5EF4-FFF2-40B4-BE49-F238E27FC236}">
                    <a16:creationId xmlns:a16="http://schemas.microsoft.com/office/drawing/2014/main" id="{00000000-0008-0000-0100-00001C000000}"/>
                  </a:ext>
                </a:extLst>
              </xdr:cNvPr>
              <xdr:cNvSpPr/>
            </xdr:nvSpPr>
            <xdr:spPr>
              <a:xfrm>
                <a:off x="8239125" y="380999"/>
                <a:ext cx="914400" cy="914400"/>
              </a:xfrm>
              <a:prstGeom prst="ellipse">
                <a:avLst/>
              </a:prstGeom>
            </xdr:spPr>
            <xdr:style>
              <a:lnRef idx="0">
                <a:schemeClr val="accent4"/>
              </a:lnRef>
              <a:fillRef idx="3">
                <a:schemeClr val="accent4"/>
              </a:fillRef>
              <a:effectRef idx="3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Support!B3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100-00001D000000}"/>
                  </a:ext>
                </a:extLst>
              </xdr:cNvPr>
              <xdr:cNvSpPr/>
            </xdr:nvSpPr>
            <xdr:spPr>
              <a:xfrm>
                <a:off x="8358508" y="682451"/>
                <a:ext cx="675634" cy="311496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spAutoFit/>
              </a:bodyPr>
              <a:lstStyle/>
              <a:p>
                <a:pPr marL="0" indent="0" algn="ctr"/>
                <a:fld id="{8ACF6DC6-7F22-4A78-8767-403062F905D9}" type="TxLink">
                  <a:rPr lang="en-US" sz="1400" b="1" i="0" u="none" strike="noStrike" cap="none" spc="50">
                    <a:ln w="0"/>
                    <a:solidFill>
                      <a:schemeClr val="tx1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Calibri"/>
                    <a:ea typeface="+mn-ea"/>
                    <a:cs typeface="+mn-cs"/>
                  </a:rPr>
                  <a:pPr marL="0" indent="0" algn="ctr"/>
                  <a:t>$46.2 </a:t>
                </a:fld>
                <a:endParaRPr lang="en-US" sz="1400" b="1" i="0" u="none" strike="noStrike" cap="none" spc="50">
                  <a:ln w="0"/>
                  <a:solidFill>
                    <a:schemeClr val="tx1"/>
                  </a:solidFill>
                  <a:effectLst>
                    <a:innerShdw blurRad="63500" dist="50800" dir="13500000">
                      <a:srgbClr val="000000">
                        <a:alpha val="50000"/>
                      </a:srgbClr>
                    </a:innerShdw>
                  </a:effectLst>
                  <a:latin typeface="Calibri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>
              <a:off x="7677151" y="1314450"/>
              <a:ext cx="196215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0">
                  <a:solidFill>
                    <a:srgbClr val="002060"/>
                  </a:solidFill>
                  <a:latin typeface="Arial Rounded MT Bold" panose="020F0704030504030204" pitchFamily="34" charset="0"/>
                </a:rPr>
                <a:t>Avg. Payout Per EMP (All)</a:t>
              </a: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Drop Down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100-000001040000}"/>
                  </a:ext>
                </a:extLst>
              </xdr:cNvPr>
              <xdr:cNvSpPr/>
            </xdr:nvSpPr>
            <xdr:spPr bwMode="auto">
              <a:xfrm>
                <a:off x="3314700" y="1914525"/>
                <a:ext cx="1133475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 txBox="1"/>
        </xdr:nvSpPr>
        <xdr:spPr>
          <a:xfrm>
            <a:off x="2057401" y="1895474"/>
            <a:ext cx="129540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sz="1100" b="0">
                <a:solidFill>
                  <a:srgbClr val="002060"/>
                </a:solidFill>
                <a:latin typeface="Arial Rounded MT Bold" panose="020F0704030504030204" pitchFamily="34" charset="0"/>
              </a:rPr>
              <a:t>Select Metrics</a:t>
            </a:r>
          </a:p>
        </xdr:txBody>
      </xdr: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CxnSpPr/>
        </xdr:nvCxnSpPr>
        <xdr:spPr>
          <a:xfrm>
            <a:off x="2143125" y="1685925"/>
            <a:ext cx="7629525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  <a:prstDash val="lg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45" name="Picture 44" descr="Home, Start, «Top», Icon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0" y="342900"/>
            <a:ext cx="352425" cy="35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 txBox="1"/>
        </xdr:nvSpPr>
        <xdr:spPr>
          <a:xfrm>
            <a:off x="8029576" y="3505199"/>
            <a:ext cx="942974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sz="1100" b="0">
                <a:solidFill>
                  <a:srgbClr val="002060"/>
                </a:solidFill>
                <a:latin typeface="Arial Rounded MT Bold" panose="020F0704030504030204" pitchFamily="34" charset="0"/>
              </a:rPr>
              <a:t>Eligible%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0.44371</cdr:x>
      <cdr:y>0.41042</cdr:y>
    </cdr:from>
    <cdr:to>
      <cdr:x>0.57086</cdr:x>
      <cdr:y>0.55567</cdr:y>
    </cdr:to>
    <cdr:sp macro="" textlink="">
      <cdr:nvSpPr>
        <cdr:cNvPr id="3" name="Oval 2"/>
        <cdr:cNvSpPr/>
      </cdr:nvSpPr>
      <cdr:spPr>
        <a:xfrm xmlns:a="http://schemas.openxmlformats.org/drawingml/2006/main">
          <a:off x="1276349" y="1033463"/>
          <a:ext cx="365760" cy="36576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  <a:effectLst xmlns:a="http://schemas.openxmlformats.org/drawingml/2006/main"/>
        <a:scene3d xmlns:a="http://schemas.openxmlformats.org/drawingml/2006/main">
          <a:camera prst="orthographicFront">
            <a:rot lat="0" lon="0" rev="0"/>
          </a:camera>
          <a:lightRig rig="contrasting" dir="t">
            <a:rot lat="0" lon="0" rev="1500000"/>
          </a:lightRig>
        </a:scene3d>
        <a:sp3d xmlns:a="http://schemas.openxmlformats.org/drawingml/2006/main" prstMaterial="metal">
          <a:bevelT w="88900" h="88900"/>
        </a:sp3d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28575</xdr:rowOff>
    </xdr:from>
    <xdr:to>
      <xdr:col>0</xdr:col>
      <xdr:colOff>400050</xdr:colOff>
      <xdr:row>0</xdr:row>
      <xdr:rowOff>381000</xdr:rowOff>
    </xdr:to>
    <xdr:pic>
      <xdr:nvPicPr>
        <xdr:cNvPr id="2" name="Picture 1" descr="Home, Start, «Top», 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0</xdr:row>
      <xdr:rowOff>152399</xdr:rowOff>
    </xdr:from>
    <xdr:to>
      <xdr:col>1</xdr:col>
      <xdr:colOff>371475</xdr:colOff>
      <xdr:row>0</xdr:row>
      <xdr:rowOff>504824</xdr:rowOff>
    </xdr:to>
    <xdr:pic>
      <xdr:nvPicPr>
        <xdr:cNvPr id="2" name="Picture 1" descr="Home, Start, «Top», 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52399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showGridLines="0" tabSelected="1" workbookViewId="0"/>
  </sheetViews>
  <sheetFormatPr defaultColWidth="0" defaultRowHeight="15" zeroHeight="1" x14ac:dyDescent="0.25"/>
  <cols>
    <col min="1" max="1" width="3" customWidth="1"/>
    <col min="2" max="8" width="9.140625" customWidth="1"/>
    <col min="9" max="9" width="3.7109375" customWidth="1"/>
    <col min="10" max="16384" width="9.140625" hidden="1"/>
  </cols>
  <sheetData>
    <row r="1" spans="2:8" ht="9" customHeight="1" thickBot="1" x14ac:dyDescent="0.3"/>
    <row r="2" spans="2:8" ht="15.75" thickTop="1" x14ac:dyDescent="0.25">
      <c r="B2" s="35"/>
      <c r="C2" s="36"/>
      <c r="D2" s="36"/>
      <c r="E2" s="36"/>
      <c r="F2" s="36"/>
      <c r="G2" s="36"/>
      <c r="H2" s="37"/>
    </row>
    <row r="3" spans="2:8" x14ac:dyDescent="0.25">
      <c r="B3" s="38"/>
      <c r="C3" s="34"/>
      <c r="D3" s="34"/>
      <c r="E3" s="34"/>
      <c r="F3" s="34"/>
      <c r="G3" s="34"/>
      <c r="H3" s="39"/>
    </row>
    <row r="4" spans="2:8" x14ac:dyDescent="0.25">
      <c r="B4" s="38"/>
      <c r="C4" s="34"/>
      <c r="D4" s="34"/>
      <c r="E4" s="34"/>
      <c r="F4" s="34"/>
      <c r="G4" s="34"/>
      <c r="H4" s="39"/>
    </row>
    <row r="5" spans="2:8" x14ac:dyDescent="0.25">
      <c r="B5" s="38"/>
      <c r="C5" s="34"/>
      <c r="D5" s="34"/>
      <c r="E5" s="34"/>
      <c r="F5" s="34"/>
      <c r="G5" s="34"/>
      <c r="H5" s="39"/>
    </row>
    <row r="6" spans="2:8" x14ac:dyDescent="0.25">
      <c r="B6" s="38"/>
      <c r="C6" s="34"/>
      <c r="D6" s="34"/>
      <c r="E6" s="34"/>
      <c r="F6" s="34"/>
      <c r="G6" s="34"/>
      <c r="H6" s="39"/>
    </row>
    <row r="7" spans="2:8" x14ac:dyDescent="0.25">
      <c r="B7" s="38"/>
      <c r="C7" s="34"/>
      <c r="D7" s="34"/>
      <c r="E7" s="34"/>
      <c r="F7" s="34"/>
      <c r="G7" s="34"/>
      <c r="H7" s="39"/>
    </row>
    <row r="8" spans="2:8" x14ac:dyDescent="0.25">
      <c r="B8" s="38"/>
      <c r="C8" s="34"/>
      <c r="D8" s="34"/>
      <c r="E8" s="34"/>
      <c r="F8" s="34"/>
      <c r="G8" s="34"/>
      <c r="H8" s="39"/>
    </row>
    <row r="9" spans="2:8" x14ac:dyDescent="0.25">
      <c r="B9" s="38"/>
      <c r="C9" s="34"/>
      <c r="D9" s="34"/>
      <c r="E9" s="34"/>
      <c r="F9" s="34"/>
      <c r="G9" s="34"/>
      <c r="H9" s="39"/>
    </row>
    <row r="10" spans="2:8" x14ac:dyDescent="0.25">
      <c r="B10" s="38"/>
      <c r="C10" s="34"/>
      <c r="D10" s="34"/>
      <c r="E10" s="34"/>
      <c r="F10" s="34"/>
      <c r="G10" s="34"/>
      <c r="H10" s="39"/>
    </row>
    <row r="11" spans="2:8" x14ac:dyDescent="0.25">
      <c r="B11" s="38"/>
      <c r="C11" s="34"/>
      <c r="D11" s="34"/>
      <c r="E11" s="34"/>
      <c r="F11" s="34"/>
      <c r="G11" s="34"/>
      <c r="H11" s="39"/>
    </row>
    <row r="12" spans="2:8" x14ac:dyDescent="0.25">
      <c r="B12" s="38"/>
      <c r="C12" s="34"/>
      <c r="D12" s="34"/>
      <c r="E12" s="34"/>
      <c r="F12" s="34"/>
      <c r="G12" s="34"/>
      <c r="H12" s="39"/>
    </row>
    <row r="13" spans="2:8" x14ac:dyDescent="0.25">
      <c r="B13" s="38"/>
      <c r="C13" s="34"/>
      <c r="D13" s="34"/>
      <c r="E13" s="34"/>
      <c r="F13" s="34"/>
      <c r="G13" s="34"/>
      <c r="H13" s="39"/>
    </row>
    <row r="14" spans="2:8" ht="15.75" thickBot="1" x14ac:dyDescent="0.3">
      <c r="B14" s="40"/>
      <c r="C14" s="41"/>
      <c r="D14" s="41"/>
      <c r="E14" s="41"/>
      <c r="F14" s="41"/>
      <c r="G14" s="41"/>
      <c r="H14" s="42"/>
    </row>
    <row r="15" spans="2:8" ht="15.75" thickTop="1" x14ac:dyDescent="0.25"/>
  </sheetData>
  <sheetProtection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showGridLines="0" showRowColHeaders="0" zoomScale="85" zoomScaleNormal="85" workbookViewId="0"/>
  </sheetViews>
  <sheetFormatPr defaultRowHeight="15" x14ac:dyDescent="0.25"/>
  <cols>
    <col min="6" max="6" width="17" bestFit="1" customWidth="1"/>
    <col min="8" max="8" width="32" bestFit="1" customWidth="1"/>
    <col min="9" max="9" width="22.140625" customWidth="1"/>
  </cols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5</xdr:col>
                    <xdr:colOff>276225</xdr:colOff>
                    <xdr:row>10</xdr:row>
                    <xdr:rowOff>9525</xdr:rowOff>
                  </from>
                  <to>
                    <xdr:col>6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52"/>
  <sheetViews>
    <sheetView showGridLines="0" showRowColHeaders="0" workbookViewId="0">
      <pane xSplit="1" ySplit="2" topLeftCell="C4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6" width="12.7109375" customWidth="1"/>
    <col min="7" max="7" width="13.7109375" customWidth="1"/>
    <col min="8" max="10" width="12.7109375" customWidth="1"/>
    <col min="11" max="11" width="18.5703125" bestFit="1" customWidth="1"/>
    <col min="12" max="12" width="16.5703125" customWidth="1"/>
    <col min="13" max="13" width="15.5703125" customWidth="1"/>
    <col min="14" max="14" width="14.42578125" customWidth="1"/>
  </cols>
  <sheetData>
    <row r="1" spans="1:15" ht="33" customHeight="1" x14ac:dyDescent="0.25"/>
    <row r="2" spans="1:15" ht="15" customHeight="1" x14ac:dyDescent="0.25">
      <c r="A2" s="44" t="s">
        <v>12</v>
      </c>
      <c r="B2" s="44" t="s">
        <v>0</v>
      </c>
      <c r="C2" s="44" t="s">
        <v>1</v>
      </c>
      <c r="D2" s="44" t="s">
        <v>2</v>
      </c>
      <c r="E2" s="44" t="s">
        <v>3</v>
      </c>
      <c r="F2" s="44" t="s">
        <v>4</v>
      </c>
      <c r="G2" s="44" t="s">
        <v>5</v>
      </c>
      <c r="H2" s="45" t="s">
        <v>8</v>
      </c>
      <c r="I2" s="45" t="s">
        <v>9</v>
      </c>
      <c r="J2" s="45" t="s">
        <v>10</v>
      </c>
      <c r="K2" s="45" t="s">
        <v>7</v>
      </c>
      <c r="L2" s="45" t="s">
        <v>11</v>
      </c>
      <c r="M2" s="45" t="s">
        <v>33</v>
      </c>
      <c r="N2" s="45" t="s">
        <v>34</v>
      </c>
      <c r="O2" s="45" t="s">
        <v>71</v>
      </c>
    </row>
    <row r="3" spans="1:15" ht="15" customHeight="1" x14ac:dyDescent="0.25">
      <c r="A3" s="3" t="s">
        <v>13</v>
      </c>
      <c r="B3" s="3">
        <v>1</v>
      </c>
      <c r="C3" s="3">
        <v>305</v>
      </c>
      <c r="D3" s="3">
        <v>109</v>
      </c>
      <c r="E3" s="3">
        <v>132</v>
      </c>
      <c r="F3" s="27">
        <v>92</v>
      </c>
      <c r="G3" s="3">
        <v>0</v>
      </c>
      <c r="H3" s="4">
        <f>VLOOKUP("Calls",Weightages!$B$2:$C$7,2,0)*VLOOKUP(C3,Weightages!$E$2:$F$7,2,1)</f>
        <v>0.12</v>
      </c>
      <c r="I3" s="4">
        <f>VLOOKUP("AHT",Weightages!$B$2:$C$7,2,0)*VLOOKUP(D3,Weightages!$H$2:$I$7,2,1)</f>
        <v>0.15</v>
      </c>
      <c r="J3" s="4">
        <f>VLOOKUP("Sale",Weightages!$B$2:$C$7,2,0)*VLOOKUP(E3,Weightages!$K$2:$L$7,2,1)</f>
        <v>0.2</v>
      </c>
      <c r="K3" s="4">
        <f>VLOOKUP("Quality",Weightages!$B$2:$C$7,2,0)*VLOOKUP(F3,Weightages!$N$2:$O$7,2,1)</f>
        <v>0.2</v>
      </c>
      <c r="L3" s="4">
        <f>VLOOKUP("Client Escalation",Weightages!$B$2:$C$7,2,0)*VLOOKUP(G3,Weightages!$Q$2:$R$7,2,1)</f>
        <v>0.3</v>
      </c>
      <c r="M3" s="5">
        <f>SUM(H3:L3)</f>
        <v>0.97</v>
      </c>
      <c r="N3" s="6" t="str">
        <f>VLOOKUP(B3,Weightages!$E$11:$F$13,2,1)</f>
        <v>Eligible</v>
      </c>
      <c r="O3" s="7">
        <f>IF(N3="Not Eligible",0,Weightages!$I$9*VLOOKUP(M3,Weightages!$H$11:$I$16,2,1))</f>
        <v>300</v>
      </c>
    </row>
    <row r="4" spans="1:15" ht="15" customHeight="1" x14ac:dyDescent="0.25">
      <c r="A4" s="3" t="s">
        <v>14</v>
      </c>
      <c r="B4" s="3">
        <v>2</v>
      </c>
      <c r="C4" s="3">
        <v>384</v>
      </c>
      <c r="D4" s="3">
        <v>176</v>
      </c>
      <c r="E4" s="3">
        <v>64</v>
      </c>
      <c r="F4" s="27">
        <v>37</v>
      </c>
      <c r="G4" s="3">
        <v>4</v>
      </c>
      <c r="H4" s="4">
        <f>VLOOKUP("Calls",Weightages!$B$2:$C$7,2,0)*VLOOKUP(C4,Weightages!$E$2:$F$7,2,1)</f>
        <v>0.15</v>
      </c>
      <c r="I4" s="4">
        <f>VLOOKUP("AHT",Weightages!$B$2:$C$7,2,0)*VLOOKUP(D4,Weightages!$H$2:$I$7,2,1)</f>
        <v>0.15</v>
      </c>
      <c r="J4" s="4">
        <f>VLOOKUP("Sale",Weightages!$B$2:$C$7,2,0)*VLOOKUP(E4,Weightages!$K$2:$L$7,2,1)</f>
        <v>4.0000000000000008E-2</v>
      </c>
      <c r="K4" s="4">
        <f>VLOOKUP("Quality",Weightages!$B$2:$C$7,2,0)*VLOOKUP(F4,Weightages!$N$2:$O$7,2,1)</f>
        <v>0</v>
      </c>
      <c r="L4" s="4">
        <f>VLOOKUP("Client Escalation",Weightages!$B$2:$C$7,2,0)*VLOOKUP(G4,Weightages!$Q$2:$R$7,2,1)</f>
        <v>0</v>
      </c>
      <c r="M4" s="5">
        <f t="shared" ref="M4:M22" si="0">SUM(H4:L4)</f>
        <v>0.33999999999999997</v>
      </c>
      <c r="N4" s="6" t="str">
        <f>VLOOKUP(B4,Weightages!$E$11:$F$13,2,1)</f>
        <v>Eligible</v>
      </c>
      <c r="O4" s="7">
        <f>IF(N4="Not Eligible",0,Weightages!$I$9*VLOOKUP(M4,Weightages!$H$11:$I$16,2,1))</f>
        <v>0</v>
      </c>
    </row>
    <row r="5" spans="1:15" ht="15" customHeight="1" x14ac:dyDescent="0.25">
      <c r="A5" s="3" t="s">
        <v>15</v>
      </c>
      <c r="B5" s="3">
        <v>1</v>
      </c>
      <c r="C5" s="3">
        <v>175</v>
      </c>
      <c r="D5" s="3">
        <v>297</v>
      </c>
      <c r="E5" s="3">
        <v>40</v>
      </c>
      <c r="F5" s="27">
        <v>86</v>
      </c>
      <c r="G5" s="3">
        <v>9</v>
      </c>
      <c r="H5" s="4">
        <f>VLOOKUP("Calls",Weightages!$B$2:$C$7,2,0)*VLOOKUP(C5,Weightages!$E$2:$F$7,2,1)</f>
        <v>0.03</v>
      </c>
      <c r="I5" s="4">
        <f>VLOOKUP("AHT",Weightages!$B$2:$C$7,2,0)*VLOOKUP(D5,Weightages!$H$2:$I$7,2,1)</f>
        <v>7.4999999999999997E-2</v>
      </c>
      <c r="J5" s="4">
        <f>VLOOKUP("Sale",Weightages!$B$2:$C$7,2,0)*VLOOKUP(E5,Weightages!$K$2:$L$7,2,1)</f>
        <v>0</v>
      </c>
      <c r="K5" s="4">
        <f>VLOOKUP("Quality",Weightages!$B$2:$C$7,2,0)*VLOOKUP(F5,Weightages!$N$2:$O$7,2,1)</f>
        <v>0.16000000000000003</v>
      </c>
      <c r="L5" s="4">
        <f>VLOOKUP("Client Escalation",Weightages!$B$2:$C$7,2,0)*VLOOKUP(G5,Weightages!$Q$2:$R$7,2,1)</f>
        <v>0</v>
      </c>
      <c r="M5" s="5">
        <f t="shared" si="0"/>
        <v>0.26500000000000001</v>
      </c>
      <c r="N5" s="6" t="str">
        <f>VLOOKUP(B5,Weightages!$E$11:$F$13,2,1)</f>
        <v>Eligible</v>
      </c>
      <c r="O5" s="7">
        <f>IF(N5="Not Eligible",0,Weightages!$I$9*VLOOKUP(M5,Weightages!$H$11:$I$16,2,1))</f>
        <v>0</v>
      </c>
    </row>
    <row r="6" spans="1:15" ht="15" customHeight="1" x14ac:dyDescent="0.25">
      <c r="A6" s="3" t="s">
        <v>16</v>
      </c>
      <c r="B6" s="3">
        <v>3</v>
      </c>
      <c r="C6" s="3">
        <v>113</v>
      </c>
      <c r="D6" s="3">
        <v>112</v>
      </c>
      <c r="E6" s="3">
        <v>82</v>
      </c>
      <c r="F6" s="27">
        <v>22</v>
      </c>
      <c r="G6" s="3">
        <v>7</v>
      </c>
      <c r="H6" s="4">
        <f>VLOOKUP("Calls",Weightages!$B$2:$C$7,2,0)*VLOOKUP(C6,Weightages!$E$2:$F$7,2,1)</f>
        <v>0.03</v>
      </c>
      <c r="I6" s="4">
        <f>VLOOKUP("AHT",Weightages!$B$2:$C$7,2,0)*VLOOKUP(D6,Weightages!$H$2:$I$7,2,1)</f>
        <v>0.15</v>
      </c>
      <c r="J6" s="4">
        <f>VLOOKUP("Sale",Weightages!$B$2:$C$7,2,0)*VLOOKUP(E6,Weightages!$K$2:$L$7,2,1)</f>
        <v>0.1</v>
      </c>
      <c r="K6" s="4">
        <f>VLOOKUP("Quality",Weightages!$B$2:$C$7,2,0)*VLOOKUP(F6,Weightages!$N$2:$O$7,2,1)</f>
        <v>0</v>
      </c>
      <c r="L6" s="4">
        <f>VLOOKUP("Client Escalation",Weightages!$B$2:$C$7,2,0)*VLOOKUP(G6,Weightages!$Q$2:$R$7,2,1)</f>
        <v>0</v>
      </c>
      <c r="M6" s="5">
        <f t="shared" si="0"/>
        <v>0.28000000000000003</v>
      </c>
      <c r="N6" s="6" t="str">
        <f>VLOOKUP(B6,Weightages!$E$11:$F$13,2,1)</f>
        <v>Not Eligible</v>
      </c>
      <c r="O6" s="7">
        <f>IF(N6="Not Eligible",0,Weightages!$I$9*VLOOKUP(M6,Weightages!$H$11:$I$16,2,1))</f>
        <v>0</v>
      </c>
    </row>
    <row r="7" spans="1:15" ht="15" customHeight="1" x14ac:dyDescent="0.25">
      <c r="A7" s="3" t="s">
        <v>17</v>
      </c>
      <c r="B7" s="3">
        <v>2</v>
      </c>
      <c r="C7" s="3">
        <v>144</v>
      </c>
      <c r="D7" s="3">
        <v>165</v>
      </c>
      <c r="E7" s="3">
        <v>141</v>
      </c>
      <c r="F7" s="27">
        <v>87</v>
      </c>
      <c r="G7" s="3">
        <v>1</v>
      </c>
      <c r="H7" s="4">
        <f>VLOOKUP("Calls",Weightages!$B$2:$C$7,2,0)*VLOOKUP(C7,Weightages!$E$2:$F$7,2,1)</f>
        <v>0.03</v>
      </c>
      <c r="I7" s="4">
        <f>VLOOKUP("AHT",Weightages!$B$2:$C$7,2,0)*VLOOKUP(D7,Weightages!$H$2:$I$7,2,1)</f>
        <v>0.15</v>
      </c>
      <c r="J7" s="4">
        <f>VLOOKUP("Sale",Weightages!$B$2:$C$7,2,0)*VLOOKUP(E7,Weightages!$K$2:$L$7,2,1)</f>
        <v>0.2</v>
      </c>
      <c r="K7" s="4">
        <f>VLOOKUP("Quality",Weightages!$B$2:$C$7,2,0)*VLOOKUP(F7,Weightages!$N$2:$O$7,2,1)</f>
        <v>0.16000000000000003</v>
      </c>
      <c r="L7" s="4">
        <f>VLOOKUP("Client Escalation",Weightages!$B$2:$C$7,2,0)*VLOOKUP(G7,Weightages!$Q$2:$R$7,2,1)</f>
        <v>0.24</v>
      </c>
      <c r="M7" s="5">
        <f t="shared" si="0"/>
        <v>0.78</v>
      </c>
      <c r="N7" s="6" t="str">
        <f>VLOOKUP(B7,Weightages!$E$11:$F$13,2,1)</f>
        <v>Eligible</v>
      </c>
      <c r="O7" s="7">
        <f>IF(N7="Not Eligible",0,Weightages!$I$9*VLOOKUP(M7,Weightages!$H$11:$I$16,2,1))</f>
        <v>240</v>
      </c>
    </row>
    <row r="8" spans="1:15" ht="15" customHeight="1" x14ac:dyDescent="0.25">
      <c r="A8" s="3" t="s">
        <v>18</v>
      </c>
      <c r="B8" s="3">
        <v>3</v>
      </c>
      <c r="C8" s="3">
        <v>313</v>
      </c>
      <c r="D8" s="3">
        <v>248</v>
      </c>
      <c r="E8" s="3">
        <v>101</v>
      </c>
      <c r="F8" s="27">
        <v>48</v>
      </c>
      <c r="G8" s="3">
        <v>8</v>
      </c>
      <c r="H8" s="4">
        <f>VLOOKUP("Calls",Weightages!$B$2:$C$7,2,0)*VLOOKUP(C8,Weightages!$E$2:$F$7,2,1)</f>
        <v>0.12</v>
      </c>
      <c r="I8" s="4">
        <f>VLOOKUP("AHT",Weightages!$B$2:$C$7,2,0)*VLOOKUP(D8,Weightages!$H$2:$I$7,2,1)</f>
        <v>0.12</v>
      </c>
      <c r="J8" s="4">
        <f>VLOOKUP("Sale",Weightages!$B$2:$C$7,2,0)*VLOOKUP(E8,Weightages!$K$2:$L$7,2,1)</f>
        <v>0.16000000000000003</v>
      </c>
      <c r="K8" s="4">
        <f>VLOOKUP("Quality",Weightages!$B$2:$C$7,2,0)*VLOOKUP(F8,Weightages!$N$2:$O$7,2,1)</f>
        <v>0</v>
      </c>
      <c r="L8" s="4">
        <f>VLOOKUP("Client Escalation",Weightages!$B$2:$C$7,2,0)*VLOOKUP(G8,Weightages!$Q$2:$R$7,2,1)</f>
        <v>0</v>
      </c>
      <c r="M8" s="5">
        <f t="shared" si="0"/>
        <v>0.4</v>
      </c>
      <c r="N8" s="6" t="str">
        <f>VLOOKUP(B8,Weightages!$E$11:$F$13,2,1)</f>
        <v>Not Eligible</v>
      </c>
      <c r="O8" s="7">
        <f>IF(N8="Not Eligible",0,Weightages!$I$9*VLOOKUP(M8,Weightages!$H$11:$I$16,2,1))</f>
        <v>0</v>
      </c>
    </row>
    <row r="9" spans="1:15" ht="15" customHeight="1" x14ac:dyDescent="0.25">
      <c r="A9" s="3" t="s">
        <v>19</v>
      </c>
      <c r="B9" s="3">
        <v>0</v>
      </c>
      <c r="C9" s="3">
        <v>164</v>
      </c>
      <c r="D9" s="3">
        <v>295</v>
      </c>
      <c r="E9" s="3">
        <v>145</v>
      </c>
      <c r="F9" s="27">
        <v>33</v>
      </c>
      <c r="G9" s="3">
        <v>6</v>
      </c>
      <c r="H9" s="4">
        <f>VLOOKUP("Calls",Weightages!$B$2:$C$7,2,0)*VLOOKUP(C9,Weightages!$E$2:$F$7,2,1)</f>
        <v>0.03</v>
      </c>
      <c r="I9" s="4">
        <f>VLOOKUP("AHT",Weightages!$B$2:$C$7,2,0)*VLOOKUP(D9,Weightages!$H$2:$I$7,2,1)</f>
        <v>7.4999999999999997E-2</v>
      </c>
      <c r="J9" s="4">
        <f>VLOOKUP("Sale",Weightages!$B$2:$C$7,2,0)*VLOOKUP(E9,Weightages!$K$2:$L$7,2,1)</f>
        <v>0.2</v>
      </c>
      <c r="K9" s="4">
        <f>VLOOKUP("Quality",Weightages!$B$2:$C$7,2,0)*VLOOKUP(F9,Weightages!$N$2:$O$7,2,1)</f>
        <v>0</v>
      </c>
      <c r="L9" s="4">
        <f>VLOOKUP("Client Escalation",Weightages!$B$2:$C$7,2,0)*VLOOKUP(G9,Weightages!$Q$2:$R$7,2,1)</f>
        <v>0</v>
      </c>
      <c r="M9" s="5">
        <f t="shared" si="0"/>
        <v>0.30499999999999999</v>
      </c>
      <c r="N9" s="6" t="str">
        <f>VLOOKUP(B9,Weightages!$E$11:$F$13,2,1)</f>
        <v>Eligible</v>
      </c>
      <c r="O9" s="7">
        <f>IF(N9="Not Eligible",0,Weightages!$I$9*VLOOKUP(M9,Weightages!$H$11:$I$16,2,1))</f>
        <v>0</v>
      </c>
    </row>
    <row r="10" spans="1:15" x14ac:dyDescent="0.25">
      <c r="A10" s="3" t="s">
        <v>20</v>
      </c>
      <c r="B10" s="3">
        <v>6</v>
      </c>
      <c r="C10" s="3">
        <v>60</v>
      </c>
      <c r="D10" s="3">
        <v>165</v>
      </c>
      <c r="E10" s="3">
        <v>35</v>
      </c>
      <c r="F10" s="27">
        <v>88</v>
      </c>
      <c r="G10" s="3">
        <v>1</v>
      </c>
      <c r="H10" s="4">
        <f>VLOOKUP("Calls",Weightages!$B$2:$C$7,2,0)*VLOOKUP(C10,Weightages!$E$2:$F$7,2,1)</f>
        <v>0</v>
      </c>
      <c r="I10" s="4">
        <f>VLOOKUP("AHT",Weightages!$B$2:$C$7,2,0)*VLOOKUP(D10,Weightages!$H$2:$I$7,2,1)</f>
        <v>0.15</v>
      </c>
      <c r="J10" s="4">
        <f>VLOOKUP("Sale",Weightages!$B$2:$C$7,2,0)*VLOOKUP(E10,Weightages!$K$2:$L$7,2,1)</f>
        <v>0</v>
      </c>
      <c r="K10" s="4">
        <f>VLOOKUP("Quality",Weightages!$B$2:$C$7,2,0)*VLOOKUP(F10,Weightages!$N$2:$O$7,2,1)</f>
        <v>0.16000000000000003</v>
      </c>
      <c r="L10" s="4">
        <f>VLOOKUP("Client Escalation",Weightages!$B$2:$C$7,2,0)*VLOOKUP(G10,Weightages!$Q$2:$R$7,2,1)</f>
        <v>0.24</v>
      </c>
      <c r="M10" s="5">
        <f t="shared" si="0"/>
        <v>0.55000000000000004</v>
      </c>
      <c r="N10" s="6" t="str">
        <f>VLOOKUP(B10,Weightages!$E$11:$F$13,2,1)</f>
        <v>Not Eligible</v>
      </c>
      <c r="O10" s="7">
        <f>IF(N10="Not Eligible",0,Weightages!$I$9*VLOOKUP(M10,Weightages!$H$11:$I$16,2,1))</f>
        <v>0</v>
      </c>
    </row>
    <row r="11" spans="1:15" x14ac:dyDescent="0.25">
      <c r="A11" s="3" t="s">
        <v>21</v>
      </c>
      <c r="B11" s="3">
        <v>0</v>
      </c>
      <c r="C11" s="3">
        <v>63</v>
      </c>
      <c r="D11" s="3">
        <v>315</v>
      </c>
      <c r="E11" s="3">
        <v>81</v>
      </c>
      <c r="F11" s="27">
        <v>30</v>
      </c>
      <c r="G11" s="3">
        <v>9</v>
      </c>
      <c r="H11" s="4">
        <f>VLOOKUP("Calls",Weightages!$B$2:$C$7,2,0)*VLOOKUP(C11,Weightages!$E$2:$F$7,2,1)</f>
        <v>0</v>
      </c>
      <c r="I11" s="4">
        <f>VLOOKUP("AHT",Weightages!$B$2:$C$7,2,0)*VLOOKUP(D11,Weightages!$H$2:$I$7,2,1)</f>
        <v>0.03</v>
      </c>
      <c r="J11" s="4">
        <f>VLOOKUP("Sale",Weightages!$B$2:$C$7,2,0)*VLOOKUP(E11,Weightages!$K$2:$L$7,2,1)</f>
        <v>0.1</v>
      </c>
      <c r="K11" s="4">
        <f>VLOOKUP("Quality",Weightages!$B$2:$C$7,2,0)*VLOOKUP(F11,Weightages!$N$2:$O$7,2,1)</f>
        <v>0</v>
      </c>
      <c r="L11" s="4">
        <f>VLOOKUP("Client Escalation",Weightages!$B$2:$C$7,2,0)*VLOOKUP(G11,Weightages!$Q$2:$R$7,2,1)</f>
        <v>0</v>
      </c>
      <c r="M11" s="5">
        <f t="shared" si="0"/>
        <v>0.13</v>
      </c>
      <c r="N11" s="6" t="str">
        <f>VLOOKUP(B11,Weightages!$E$11:$F$13,2,1)</f>
        <v>Eligible</v>
      </c>
      <c r="O11" s="7">
        <f>IF(N11="Not Eligible",0,Weightages!$I$9*VLOOKUP(M11,Weightages!$H$11:$I$16,2,1))</f>
        <v>0</v>
      </c>
    </row>
    <row r="12" spans="1:15" x14ac:dyDescent="0.25">
      <c r="A12" s="3" t="s">
        <v>22</v>
      </c>
      <c r="B12" s="3">
        <v>0</v>
      </c>
      <c r="C12" s="3">
        <v>207</v>
      </c>
      <c r="D12" s="3">
        <v>315</v>
      </c>
      <c r="E12" s="3">
        <v>38</v>
      </c>
      <c r="F12" s="27">
        <v>56.999999999999993</v>
      </c>
      <c r="G12" s="3">
        <v>7</v>
      </c>
      <c r="H12" s="4">
        <f>VLOOKUP("Calls",Weightages!$B$2:$C$7,2,0)*VLOOKUP(C12,Weightages!$E$2:$F$7,2,1)</f>
        <v>7.4999999999999997E-2</v>
      </c>
      <c r="I12" s="4">
        <f>VLOOKUP("AHT",Weightages!$B$2:$C$7,2,0)*VLOOKUP(D12,Weightages!$H$2:$I$7,2,1)</f>
        <v>0.03</v>
      </c>
      <c r="J12" s="4">
        <f>VLOOKUP("Sale",Weightages!$B$2:$C$7,2,0)*VLOOKUP(E12,Weightages!$K$2:$L$7,2,1)</f>
        <v>0</v>
      </c>
      <c r="K12" s="4">
        <f>VLOOKUP("Quality",Weightages!$B$2:$C$7,2,0)*VLOOKUP(F12,Weightages!$N$2:$O$7,2,1)</f>
        <v>0</v>
      </c>
      <c r="L12" s="4">
        <f>VLOOKUP("Client Escalation",Weightages!$B$2:$C$7,2,0)*VLOOKUP(G12,Weightages!$Q$2:$R$7,2,1)</f>
        <v>0</v>
      </c>
      <c r="M12" s="5">
        <f t="shared" si="0"/>
        <v>0.105</v>
      </c>
      <c r="N12" s="6" t="str">
        <f>VLOOKUP(B12,Weightages!$E$11:$F$13,2,1)</f>
        <v>Eligible</v>
      </c>
      <c r="O12" s="7">
        <f>IF(N12="Not Eligible",0,Weightages!$I$9*VLOOKUP(M12,Weightages!$H$11:$I$16,2,1))</f>
        <v>0</v>
      </c>
    </row>
    <row r="13" spans="1:15" x14ac:dyDescent="0.25">
      <c r="A13" s="3" t="s">
        <v>23</v>
      </c>
      <c r="B13" s="3">
        <v>0</v>
      </c>
      <c r="C13" s="3">
        <v>383</v>
      </c>
      <c r="D13" s="3">
        <v>110</v>
      </c>
      <c r="E13" s="3">
        <v>38</v>
      </c>
      <c r="F13" s="27">
        <v>50</v>
      </c>
      <c r="G13" s="3">
        <v>1</v>
      </c>
      <c r="H13" s="4">
        <f>VLOOKUP("Calls",Weightages!$B$2:$C$7,2,0)*VLOOKUP(C13,Weightages!$E$2:$F$7,2,1)</f>
        <v>0.15</v>
      </c>
      <c r="I13" s="4">
        <f>VLOOKUP("AHT",Weightages!$B$2:$C$7,2,0)*VLOOKUP(D13,Weightages!$H$2:$I$7,2,1)</f>
        <v>0.15</v>
      </c>
      <c r="J13" s="4">
        <f>VLOOKUP("Sale",Weightages!$B$2:$C$7,2,0)*VLOOKUP(E13,Weightages!$K$2:$L$7,2,1)</f>
        <v>0</v>
      </c>
      <c r="K13" s="4">
        <f>VLOOKUP("Quality",Weightages!$B$2:$C$7,2,0)*VLOOKUP(F13,Weightages!$N$2:$O$7,2,1)</f>
        <v>0</v>
      </c>
      <c r="L13" s="4">
        <f>VLOOKUP("Client Escalation",Weightages!$B$2:$C$7,2,0)*VLOOKUP(G13,Weightages!$Q$2:$R$7,2,1)</f>
        <v>0.24</v>
      </c>
      <c r="M13" s="5">
        <f t="shared" si="0"/>
        <v>0.54</v>
      </c>
      <c r="N13" s="6" t="str">
        <f>VLOOKUP(B13,Weightages!$E$11:$F$13,2,1)</f>
        <v>Eligible</v>
      </c>
      <c r="O13" s="7">
        <f>IF(N13="Not Eligible",0,Weightages!$I$9*VLOOKUP(M13,Weightages!$H$11:$I$16,2,1))</f>
        <v>150</v>
      </c>
    </row>
    <row r="14" spans="1:15" x14ac:dyDescent="0.25">
      <c r="A14" s="3" t="s">
        <v>24</v>
      </c>
      <c r="B14" s="3">
        <v>3</v>
      </c>
      <c r="C14" s="3">
        <v>155</v>
      </c>
      <c r="D14" s="3">
        <v>363</v>
      </c>
      <c r="E14" s="3">
        <v>110</v>
      </c>
      <c r="F14" s="27">
        <v>53</v>
      </c>
      <c r="G14" s="3">
        <v>6</v>
      </c>
      <c r="H14" s="4">
        <f>VLOOKUP("Calls",Weightages!$B$2:$C$7,2,0)*VLOOKUP(C14,Weightages!$E$2:$F$7,2,1)</f>
        <v>0.03</v>
      </c>
      <c r="I14" s="4">
        <f>VLOOKUP("AHT",Weightages!$B$2:$C$7,2,0)*VLOOKUP(D14,Weightages!$H$2:$I$7,2,1)</f>
        <v>0</v>
      </c>
      <c r="J14" s="4">
        <f>VLOOKUP("Sale",Weightages!$B$2:$C$7,2,0)*VLOOKUP(E14,Weightages!$K$2:$L$7,2,1)</f>
        <v>0.16000000000000003</v>
      </c>
      <c r="K14" s="4">
        <f>VLOOKUP("Quality",Weightages!$B$2:$C$7,2,0)*VLOOKUP(F14,Weightages!$N$2:$O$7,2,1)</f>
        <v>0</v>
      </c>
      <c r="L14" s="4">
        <f>VLOOKUP("Client Escalation",Weightages!$B$2:$C$7,2,0)*VLOOKUP(G14,Weightages!$Q$2:$R$7,2,1)</f>
        <v>0</v>
      </c>
      <c r="M14" s="5">
        <f t="shared" si="0"/>
        <v>0.19000000000000003</v>
      </c>
      <c r="N14" s="6" t="str">
        <f>VLOOKUP(B14,Weightages!$E$11:$F$13,2,1)</f>
        <v>Not Eligible</v>
      </c>
      <c r="O14" s="7">
        <f>IF(N14="Not Eligible",0,Weightages!$I$9*VLOOKUP(M14,Weightages!$H$11:$I$16,2,1))</f>
        <v>0</v>
      </c>
    </row>
    <row r="15" spans="1:15" x14ac:dyDescent="0.25">
      <c r="A15" s="3" t="s">
        <v>25</v>
      </c>
      <c r="B15" s="3">
        <v>8</v>
      </c>
      <c r="C15" s="3">
        <v>248</v>
      </c>
      <c r="D15" s="3">
        <v>387</v>
      </c>
      <c r="E15" s="3">
        <v>52</v>
      </c>
      <c r="F15" s="27">
        <v>60</v>
      </c>
      <c r="G15" s="3">
        <v>6</v>
      </c>
      <c r="H15" s="4">
        <f>VLOOKUP("Calls",Weightages!$B$2:$C$7,2,0)*VLOOKUP(C15,Weightages!$E$2:$F$7,2,1)</f>
        <v>7.4999999999999997E-2</v>
      </c>
      <c r="I15" s="4">
        <f>VLOOKUP("AHT",Weightages!$B$2:$C$7,2,0)*VLOOKUP(D15,Weightages!$H$2:$I$7,2,1)</f>
        <v>0</v>
      </c>
      <c r="J15" s="4">
        <f>VLOOKUP("Sale",Weightages!$B$2:$C$7,2,0)*VLOOKUP(E15,Weightages!$K$2:$L$7,2,1)</f>
        <v>4.0000000000000008E-2</v>
      </c>
      <c r="K15" s="4">
        <f>VLOOKUP("Quality",Weightages!$B$2:$C$7,2,0)*VLOOKUP(F15,Weightages!$N$2:$O$7,2,1)</f>
        <v>4.0000000000000008E-2</v>
      </c>
      <c r="L15" s="4">
        <f>VLOOKUP("Client Escalation",Weightages!$B$2:$C$7,2,0)*VLOOKUP(G15,Weightages!$Q$2:$R$7,2,1)</f>
        <v>0</v>
      </c>
      <c r="M15" s="5">
        <f t="shared" si="0"/>
        <v>0.15500000000000003</v>
      </c>
      <c r="N15" s="6" t="str">
        <f>VLOOKUP(B15,Weightages!$E$11:$F$13,2,1)</f>
        <v>Not Eligible</v>
      </c>
      <c r="O15" s="7">
        <f>IF(N15="Not Eligible",0,Weightages!$I$9*VLOOKUP(M15,Weightages!$H$11:$I$16,2,1))</f>
        <v>0</v>
      </c>
    </row>
    <row r="16" spans="1:15" x14ac:dyDescent="0.25">
      <c r="A16" s="3" t="s">
        <v>26</v>
      </c>
      <c r="B16" s="3">
        <v>1</v>
      </c>
      <c r="C16" s="3">
        <v>281</v>
      </c>
      <c r="D16" s="3">
        <v>319</v>
      </c>
      <c r="E16" s="3">
        <v>73</v>
      </c>
      <c r="F16" s="27">
        <v>94</v>
      </c>
      <c r="G16" s="3">
        <v>1</v>
      </c>
      <c r="H16" s="4">
        <f>VLOOKUP("Calls",Weightages!$B$2:$C$7,2,0)*VLOOKUP(C16,Weightages!$E$2:$F$7,2,1)</f>
        <v>7.4999999999999997E-2</v>
      </c>
      <c r="I16" s="4">
        <f>VLOOKUP("AHT",Weightages!$B$2:$C$7,2,0)*VLOOKUP(D16,Weightages!$H$2:$I$7,2,1)</f>
        <v>0.03</v>
      </c>
      <c r="J16" s="4">
        <f>VLOOKUP("Sale",Weightages!$B$2:$C$7,2,0)*VLOOKUP(E16,Weightages!$K$2:$L$7,2,1)</f>
        <v>0.1</v>
      </c>
      <c r="K16" s="4">
        <f>VLOOKUP("Quality",Weightages!$B$2:$C$7,2,0)*VLOOKUP(F16,Weightages!$N$2:$O$7,2,1)</f>
        <v>0.2</v>
      </c>
      <c r="L16" s="4">
        <f>VLOOKUP("Client Escalation",Weightages!$B$2:$C$7,2,0)*VLOOKUP(G16,Weightages!$Q$2:$R$7,2,1)</f>
        <v>0.24</v>
      </c>
      <c r="M16" s="5">
        <f t="shared" si="0"/>
        <v>0.64500000000000002</v>
      </c>
      <c r="N16" s="6" t="str">
        <f>VLOOKUP(B16,Weightages!$E$11:$F$13,2,1)</f>
        <v>Eligible</v>
      </c>
      <c r="O16" s="7">
        <f>IF(N16="Not Eligible",0,Weightages!$I$9*VLOOKUP(M16,Weightages!$H$11:$I$16,2,1))</f>
        <v>150</v>
      </c>
    </row>
    <row r="17" spans="1:15" x14ac:dyDescent="0.25">
      <c r="A17" s="3" t="s">
        <v>27</v>
      </c>
      <c r="B17" s="3">
        <v>5</v>
      </c>
      <c r="C17" s="3">
        <v>273</v>
      </c>
      <c r="D17" s="3">
        <v>198</v>
      </c>
      <c r="E17" s="3">
        <v>146</v>
      </c>
      <c r="F17" s="27">
        <v>73</v>
      </c>
      <c r="G17" s="3">
        <v>4</v>
      </c>
      <c r="H17" s="4">
        <f>VLOOKUP("Calls",Weightages!$B$2:$C$7,2,0)*VLOOKUP(C17,Weightages!$E$2:$F$7,2,1)</f>
        <v>7.4999999999999997E-2</v>
      </c>
      <c r="I17" s="4">
        <f>VLOOKUP("AHT",Weightages!$B$2:$C$7,2,0)*VLOOKUP(D17,Weightages!$H$2:$I$7,2,1)</f>
        <v>0.15</v>
      </c>
      <c r="J17" s="4">
        <f>VLOOKUP("Sale",Weightages!$B$2:$C$7,2,0)*VLOOKUP(E17,Weightages!$K$2:$L$7,2,1)</f>
        <v>0.2</v>
      </c>
      <c r="K17" s="4">
        <f>VLOOKUP("Quality",Weightages!$B$2:$C$7,2,0)*VLOOKUP(F17,Weightages!$N$2:$O$7,2,1)</f>
        <v>0.1</v>
      </c>
      <c r="L17" s="4">
        <f>VLOOKUP("Client Escalation",Weightages!$B$2:$C$7,2,0)*VLOOKUP(G17,Weightages!$Q$2:$R$7,2,1)</f>
        <v>0</v>
      </c>
      <c r="M17" s="5">
        <f t="shared" si="0"/>
        <v>0.52500000000000002</v>
      </c>
      <c r="N17" s="6" t="str">
        <f>VLOOKUP(B17,Weightages!$E$11:$F$13,2,1)</f>
        <v>Not Eligible</v>
      </c>
      <c r="O17" s="7">
        <f>IF(N17="Not Eligible",0,Weightages!$I$9*VLOOKUP(M17,Weightages!$H$11:$I$16,2,1))</f>
        <v>0</v>
      </c>
    </row>
    <row r="18" spans="1:15" x14ac:dyDescent="0.25">
      <c r="A18" s="3" t="s">
        <v>28</v>
      </c>
      <c r="B18" s="3">
        <v>0</v>
      </c>
      <c r="C18" s="3">
        <v>224</v>
      </c>
      <c r="D18" s="3">
        <v>285</v>
      </c>
      <c r="E18" s="3">
        <v>41</v>
      </c>
      <c r="F18" s="27">
        <v>23</v>
      </c>
      <c r="G18" s="3">
        <v>6</v>
      </c>
      <c r="H18" s="4">
        <f>VLOOKUP("Calls",Weightages!$B$2:$C$7,2,0)*VLOOKUP(C18,Weightages!$E$2:$F$7,2,1)</f>
        <v>7.4999999999999997E-2</v>
      </c>
      <c r="I18" s="4">
        <f>VLOOKUP("AHT",Weightages!$B$2:$C$7,2,0)*VLOOKUP(D18,Weightages!$H$2:$I$7,2,1)</f>
        <v>7.4999999999999997E-2</v>
      </c>
      <c r="J18" s="4">
        <f>VLOOKUP("Sale",Weightages!$B$2:$C$7,2,0)*VLOOKUP(E18,Weightages!$K$2:$L$7,2,1)</f>
        <v>0</v>
      </c>
      <c r="K18" s="4">
        <f>VLOOKUP("Quality",Weightages!$B$2:$C$7,2,0)*VLOOKUP(F18,Weightages!$N$2:$O$7,2,1)</f>
        <v>0</v>
      </c>
      <c r="L18" s="4">
        <f>VLOOKUP("Client Escalation",Weightages!$B$2:$C$7,2,0)*VLOOKUP(G18,Weightages!$Q$2:$R$7,2,1)</f>
        <v>0</v>
      </c>
      <c r="M18" s="5">
        <f t="shared" si="0"/>
        <v>0.15</v>
      </c>
      <c r="N18" s="6" t="str">
        <f>VLOOKUP(B18,Weightages!$E$11:$F$13,2,1)</f>
        <v>Eligible</v>
      </c>
      <c r="O18" s="7">
        <f>IF(N18="Not Eligible",0,Weightages!$I$9*VLOOKUP(M18,Weightages!$H$11:$I$16,2,1))</f>
        <v>0</v>
      </c>
    </row>
    <row r="19" spans="1:15" x14ac:dyDescent="0.25">
      <c r="A19" s="3" t="s">
        <v>29</v>
      </c>
      <c r="B19" s="3">
        <v>6</v>
      </c>
      <c r="C19" s="3">
        <v>168</v>
      </c>
      <c r="D19" s="3">
        <v>238</v>
      </c>
      <c r="E19" s="3">
        <v>138</v>
      </c>
      <c r="F19" s="27">
        <v>96</v>
      </c>
      <c r="G19" s="3">
        <v>5</v>
      </c>
      <c r="H19" s="4">
        <f>VLOOKUP("Calls",Weightages!$B$2:$C$7,2,0)*VLOOKUP(C19,Weightages!$E$2:$F$7,2,1)</f>
        <v>0.03</v>
      </c>
      <c r="I19" s="4">
        <f>VLOOKUP("AHT",Weightages!$B$2:$C$7,2,0)*VLOOKUP(D19,Weightages!$H$2:$I$7,2,1)</f>
        <v>0.12</v>
      </c>
      <c r="J19" s="4">
        <f>VLOOKUP("Sale",Weightages!$B$2:$C$7,2,0)*VLOOKUP(E19,Weightages!$K$2:$L$7,2,1)</f>
        <v>0.2</v>
      </c>
      <c r="K19" s="4">
        <f>VLOOKUP("Quality",Weightages!$B$2:$C$7,2,0)*VLOOKUP(F19,Weightages!$N$2:$O$7,2,1)</f>
        <v>0.2</v>
      </c>
      <c r="L19" s="4">
        <f>VLOOKUP("Client Escalation",Weightages!$B$2:$C$7,2,0)*VLOOKUP(G19,Weightages!$Q$2:$R$7,2,1)</f>
        <v>0</v>
      </c>
      <c r="M19" s="5">
        <f t="shared" si="0"/>
        <v>0.55000000000000004</v>
      </c>
      <c r="N19" s="6" t="str">
        <f>VLOOKUP(B19,Weightages!$E$11:$F$13,2,1)</f>
        <v>Not Eligible</v>
      </c>
      <c r="O19" s="7">
        <f>IF(N19="Not Eligible",0,Weightages!$I$9*VLOOKUP(M19,Weightages!$H$11:$I$16,2,1))</f>
        <v>0</v>
      </c>
    </row>
    <row r="20" spans="1:15" x14ac:dyDescent="0.25">
      <c r="A20" s="3" t="s">
        <v>30</v>
      </c>
      <c r="B20" s="3">
        <v>2</v>
      </c>
      <c r="C20" s="3">
        <v>210</v>
      </c>
      <c r="D20" s="3">
        <v>273</v>
      </c>
      <c r="E20" s="3">
        <v>73</v>
      </c>
      <c r="F20" s="27">
        <v>52</v>
      </c>
      <c r="G20" s="3">
        <v>1</v>
      </c>
      <c r="H20" s="4">
        <f>VLOOKUP("Calls",Weightages!$B$2:$C$7,2,0)*VLOOKUP(C20,Weightages!$E$2:$F$7,2,1)</f>
        <v>7.4999999999999997E-2</v>
      </c>
      <c r="I20" s="4">
        <f>VLOOKUP("AHT",Weightages!$B$2:$C$7,2,0)*VLOOKUP(D20,Weightages!$H$2:$I$7,2,1)</f>
        <v>7.4999999999999997E-2</v>
      </c>
      <c r="J20" s="4">
        <f>VLOOKUP("Sale",Weightages!$B$2:$C$7,2,0)*VLOOKUP(E20,Weightages!$K$2:$L$7,2,1)</f>
        <v>0.1</v>
      </c>
      <c r="K20" s="4">
        <f>VLOOKUP("Quality",Weightages!$B$2:$C$7,2,0)*VLOOKUP(F20,Weightages!$N$2:$O$7,2,1)</f>
        <v>0</v>
      </c>
      <c r="L20" s="4">
        <f>VLOOKUP("Client Escalation",Weightages!$B$2:$C$7,2,0)*VLOOKUP(G20,Weightages!$Q$2:$R$7,2,1)</f>
        <v>0.24</v>
      </c>
      <c r="M20" s="5">
        <f t="shared" si="0"/>
        <v>0.49</v>
      </c>
      <c r="N20" s="6" t="str">
        <f>VLOOKUP(B20,Weightages!$E$11:$F$13,2,1)</f>
        <v>Eligible</v>
      </c>
      <c r="O20" s="7">
        <f>IF(N20="Not Eligible",0,Weightages!$I$9*VLOOKUP(M20,Weightages!$H$11:$I$16,2,1))</f>
        <v>60</v>
      </c>
    </row>
    <row r="21" spans="1:15" x14ac:dyDescent="0.25">
      <c r="A21" s="3" t="s">
        <v>31</v>
      </c>
      <c r="B21" s="3">
        <v>0</v>
      </c>
      <c r="C21" s="3">
        <v>326</v>
      </c>
      <c r="D21" s="3">
        <v>319</v>
      </c>
      <c r="E21" s="3">
        <v>52</v>
      </c>
      <c r="F21" s="27">
        <v>25</v>
      </c>
      <c r="G21" s="3">
        <v>7</v>
      </c>
      <c r="H21" s="4">
        <f>VLOOKUP("Calls",Weightages!$B$2:$C$7,2,0)*VLOOKUP(C21,Weightages!$E$2:$F$7,2,1)</f>
        <v>0.12</v>
      </c>
      <c r="I21" s="4">
        <f>VLOOKUP("AHT",Weightages!$B$2:$C$7,2,0)*VLOOKUP(D21,Weightages!$H$2:$I$7,2,1)</f>
        <v>0.03</v>
      </c>
      <c r="J21" s="4">
        <f>VLOOKUP("Sale",Weightages!$B$2:$C$7,2,0)*VLOOKUP(E21,Weightages!$K$2:$L$7,2,1)</f>
        <v>4.0000000000000008E-2</v>
      </c>
      <c r="K21" s="4">
        <f>VLOOKUP("Quality",Weightages!$B$2:$C$7,2,0)*VLOOKUP(F21,Weightages!$N$2:$O$7,2,1)</f>
        <v>0</v>
      </c>
      <c r="L21" s="4">
        <f>VLOOKUP("Client Escalation",Weightages!$B$2:$C$7,2,0)*VLOOKUP(G21,Weightages!$Q$2:$R$7,2,1)</f>
        <v>0</v>
      </c>
      <c r="M21" s="5">
        <f t="shared" si="0"/>
        <v>0.19</v>
      </c>
      <c r="N21" s="6" t="str">
        <f>VLOOKUP(B21,Weightages!$E$11:$F$13,2,1)</f>
        <v>Eligible</v>
      </c>
      <c r="O21" s="7">
        <f>IF(N21="Not Eligible",0,Weightages!$I$9*VLOOKUP(M21,Weightages!$H$11:$I$16,2,1))</f>
        <v>0</v>
      </c>
    </row>
    <row r="22" spans="1:15" x14ac:dyDescent="0.25">
      <c r="A22" s="3" t="s">
        <v>32</v>
      </c>
      <c r="B22" s="3">
        <v>6</v>
      </c>
      <c r="C22" s="3">
        <v>89</v>
      </c>
      <c r="D22" s="3">
        <v>139</v>
      </c>
      <c r="E22" s="3">
        <v>65</v>
      </c>
      <c r="F22" s="27">
        <v>93</v>
      </c>
      <c r="G22" s="3">
        <v>7</v>
      </c>
      <c r="H22" s="4">
        <f>VLOOKUP("Calls",Weightages!$B$2:$C$7,2,0)*VLOOKUP(C22,Weightages!$E$2:$F$7,2,1)</f>
        <v>0</v>
      </c>
      <c r="I22" s="4">
        <f>VLOOKUP("AHT",Weightages!$B$2:$C$7,2,0)*VLOOKUP(D22,Weightages!$H$2:$I$7,2,1)</f>
        <v>0.15</v>
      </c>
      <c r="J22" s="4">
        <f>VLOOKUP("Sale",Weightages!$B$2:$C$7,2,0)*VLOOKUP(E22,Weightages!$K$2:$L$7,2,1)</f>
        <v>4.0000000000000008E-2</v>
      </c>
      <c r="K22" s="4">
        <f>VLOOKUP("Quality",Weightages!$B$2:$C$7,2,0)*VLOOKUP(F22,Weightages!$N$2:$O$7,2,1)</f>
        <v>0.2</v>
      </c>
      <c r="L22" s="4">
        <f>VLOOKUP("Client Escalation",Weightages!$B$2:$C$7,2,0)*VLOOKUP(G22,Weightages!$Q$2:$R$7,2,1)</f>
        <v>0</v>
      </c>
      <c r="M22" s="5">
        <f t="shared" si="0"/>
        <v>0.39</v>
      </c>
      <c r="N22" s="6" t="str">
        <f>VLOOKUP(B22,Weightages!$E$11:$F$13,2,1)</f>
        <v>Not Eligible</v>
      </c>
      <c r="O22" s="7">
        <f>IF(N22="Not Eligible",0,Weightages!$I$9*VLOOKUP(M22,Weightages!$H$11:$I$16,2,1))</f>
        <v>0</v>
      </c>
    </row>
    <row r="23" spans="1:15" x14ac:dyDescent="0.25">
      <c r="A23" s="3" t="s">
        <v>37</v>
      </c>
      <c r="B23" s="3">
        <v>0</v>
      </c>
      <c r="C23" s="3">
        <v>180</v>
      </c>
      <c r="D23" s="3">
        <v>180</v>
      </c>
      <c r="E23" s="3">
        <v>23</v>
      </c>
      <c r="F23" s="27">
        <v>97</v>
      </c>
      <c r="G23" s="3">
        <v>9</v>
      </c>
      <c r="H23" s="4">
        <f>VLOOKUP("Calls",Weightages!$B$2:$C$7,2,0)*VLOOKUP(C23,Weightages!$E$2:$F$7,2,1)</f>
        <v>0.03</v>
      </c>
      <c r="I23" s="4">
        <f>VLOOKUP("AHT",Weightages!$B$2:$C$7,2,0)*VLOOKUP(D23,Weightages!$H$2:$I$7,2,1)</f>
        <v>0.15</v>
      </c>
      <c r="J23" s="4">
        <f>VLOOKUP("Sale",Weightages!$B$2:$C$7,2,0)*VLOOKUP(E23,Weightages!$K$2:$L$7,2,1)</f>
        <v>0</v>
      </c>
      <c r="K23" s="4">
        <f>VLOOKUP("Quality",Weightages!$B$2:$C$7,2,0)*VLOOKUP(F23,Weightages!$N$2:$O$7,2,1)</f>
        <v>0.2</v>
      </c>
      <c r="L23" s="4">
        <f>VLOOKUP("Client Escalation",Weightages!$B$2:$C$7,2,0)*VLOOKUP(G23,Weightages!$Q$2:$R$7,2,1)</f>
        <v>0</v>
      </c>
      <c r="M23" s="5">
        <f t="shared" ref="M23:M52" si="1">SUM(H23:L23)</f>
        <v>0.38</v>
      </c>
      <c r="N23" s="6" t="str">
        <f>VLOOKUP(B23,Weightages!$E$11:$F$13,2,1)</f>
        <v>Eligible</v>
      </c>
      <c r="O23" s="7">
        <f>IF(N23="Not Eligible",0,Weightages!$I$9*VLOOKUP(M23,Weightages!$H$11:$I$16,2,1))</f>
        <v>0</v>
      </c>
    </row>
    <row r="24" spans="1:15" x14ac:dyDescent="0.25">
      <c r="A24" s="3" t="s">
        <v>38</v>
      </c>
      <c r="B24" s="3">
        <v>7</v>
      </c>
      <c r="C24" s="3">
        <v>387</v>
      </c>
      <c r="D24" s="3">
        <v>300</v>
      </c>
      <c r="E24" s="3">
        <v>134</v>
      </c>
      <c r="F24" s="27">
        <v>37</v>
      </c>
      <c r="G24" s="3">
        <v>2</v>
      </c>
      <c r="H24" s="4">
        <f>VLOOKUP("Calls",Weightages!$B$2:$C$7,2,0)*VLOOKUP(C24,Weightages!$E$2:$F$7,2,1)</f>
        <v>0.15</v>
      </c>
      <c r="I24" s="4">
        <f>VLOOKUP("AHT",Weightages!$B$2:$C$7,2,0)*VLOOKUP(D24,Weightages!$H$2:$I$7,2,1)</f>
        <v>0.03</v>
      </c>
      <c r="J24" s="4">
        <f>VLOOKUP("Sale",Weightages!$B$2:$C$7,2,0)*VLOOKUP(E24,Weightages!$K$2:$L$7,2,1)</f>
        <v>0.2</v>
      </c>
      <c r="K24" s="4">
        <f>VLOOKUP("Quality",Weightages!$B$2:$C$7,2,0)*VLOOKUP(F24,Weightages!$N$2:$O$7,2,1)</f>
        <v>0</v>
      </c>
      <c r="L24" s="4">
        <f>VLOOKUP("Client Escalation",Weightages!$B$2:$C$7,2,0)*VLOOKUP(G24,Weightages!$Q$2:$R$7,2,1)</f>
        <v>0.15</v>
      </c>
      <c r="M24" s="5">
        <f t="shared" si="1"/>
        <v>0.53</v>
      </c>
      <c r="N24" s="6" t="str">
        <f>VLOOKUP(B24,Weightages!$E$11:$F$13,2,1)</f>
        <v>Not Eligible</v>
      </c>
      <c r="O24" s="7">
        <f>IF(N24="Not Eligible",0,Weightages!$I$9*VLOOKUP(M24,Weightages!$H$11:$I$16,2,1))</f>
        <v>0</v>
      </c>
    </row>
    <row r="25" spans="1:15" x14ac:dyDescent="0.25">
      <c r="A25" s="3" t="s">
        <v>39</v>
      </c>
      <c r="B25" s="3">
        <v>9</v>
      </c>
      <c r="C25" s="3">
        <v>142</v>
      </c>
      <c r="D25" s="3">
        <v>164</v>
      </c>
      <c r="E25" s="3">
        <v>71</v>
      </c>
      <c r="F25" s="27">
        <v>39</v>
      </c>
      <c r="G25" s="3">
        <v>1</v>
      </c>
      <c r="H25" s="4">
        <f>VLOOKUP("Calls",Weightages!$B$2:$C$7,2,0)*VLOOKUP(C25,Weightages!$E$2:$F$7,2,1)</f>
        <v>0.03</v>
      </c>
      <c r="I25" s="4">
        <f>VLOOKUP("AHT",Weightages!$B$2:$C$7,2,0)*VLOOKUP(D25,Weightages!$H$2:$I$7,2,1)</f>
        <v>0.15</v>
      </c>
      <c r="J25" s="4">
        <f>VLOOKUP("Sale",Weightages!$B$2:$C$7,2,0)*VLOOKUP(E25,Weightages!$K$2:$L$7,2,1)</f>
        <v>0.1</v>
      </c>
      <c r="K25" s="4">
        <f>VLOOKUP("Quality",Weightages!$B$2:$C$7,2,0)*VLOOKUP(F25,Weightages!$N$2:$O$7,2,1)</f>
        <v>0</v>
      </c>
      <c r="L25" s="4">
        <f>VLOOKUP("Client Escalation",Weightages!$B$2:$C$7,2,0)*VLOOKUP(G25,Weightages!$Q$2:$R$7,2,1)</f>
        <v>0.24</v>
      </c>
      <c r="M25" s="5">
        <f t="shared" si="1"/>
        <v>0.52</v>
      </c>
      <c r="N25" s="6" t="str">
        <f>VLOOKUP(B25,Weightages!$E$11:$F$13,2,1)</f>
        <v>Not Eligible</v>
      </c>
      <c r="O25" s="7">
        <f>IF(N25="Not Eligible",0,Weightages!$I$9*VLOOKUP(M25,Weightages!$H$11:$I$16,2,1))</f>
        <v>0</v>
      </c>
    </row>
    <row r="26" spans="1:15" x14ac:dyDescent="0.25">
      <c r="A26" s="3" t="s">
        <v>40</v>
      </c>
      <c r="B26" s="3">
        <v>0</v>
      </c>
      <c r="C26" s="3">
        <v>211</v>
      </c>
      <c r="D26" s="3">
        <v>377</v>
      </c>
      <c r="E26" s="3">
        <v>51</v>
      </c>
      <c r="F26" s="27">
        <v>78</v>
      </c>
      <c r="G26" s="3">
        <v>0</v>
      </c>
      <c r="H26" s="4">
        <f>VLOOKUP("Calls",Weightages!$B$2:$C$7,2,0)*VLOOKUP(C26,Weightages!$E$2:$F$7,2,1)</f>
        <v>7.4999999999999997E-2</v>
      </c>
      <c r="I26" s="4">
        <f>VLOOKUP("AHT",Weightages!$B$2:$C$7,2,0)*VLOOKUP(D26,Weightages!$H$2:$I$7,2,1)</f>
        <v>0</v>
      </c>
      <c r="J26" s="4">
        <f>VLOOKUP("Sale",Weightages!$B$2:$C$7,2,0)*VLOOKUP(E26,Weightages!$K$2:$L$7,2,1)</f>
        <v>4.0000000000000008E-2</v>
      </c>
      <c r="K26" s="4">
        <f>VLOOKUP("Quality",Weightages!$B$2:$C$7,2,0)*VLOOKUP(F26,Weightages!$N$2:$O$7,2,1)</f>
        <v>0.1</v>
      </c>
      <c r="L26" s="4">
        <f>VLOOKUP("Client Escalation",Weightages!$B$2:$C$7,2,0)*VLOOKUP(G26,Weightages!$Q$2:$R$7,2,1)</f>
        <v>0.3</v>
      </c>
      <c r="M26" s="5">
        <f t="shared" si="1"/>
        <v>0.51500000000000001</v>
      </c>
      <c r="N26" s="6" t="str">
        <f>VLOOKUP(B26,Weightages!$E$11:$F$13,2,1)</f>
        <v>Eligible</v>
      </c>
      <c r="O26" s="7">
        <f>IF(N26="Not Eligible",0,Weightages!$I$9*VLOOKUP(M26,Weightages!$H$11:$I$16,2,1))</f>
        <v>150</v>
      </c>
    </row>
    <row r="27" spans="1:15" x14ac:dyDescent="0.25">
      <c r="A27" s="3" t="s">
        <v>41</v>
      </c>
      <c r="B27" s="3">
        <v>1</v>
      </c>
      <c r="C27" s="3">
        <v>379</v>
      </c>
      <c r="D27" s="3">
        <v>400</v>
      </c>
      <c r="E27" s="3">
        <v>100</v>
      </c>
      <c r="F27" s="27">
        <v>90</v>
      </c>
      <c r="G27" s="3">
        <v>4</v>
      </c>
      <c r="H27" s="4">
        <f>VLOOKUP("Calls",Weightages!$B$2:$C$7,2,0)*VLOOKUP(C27,Weightages!$E$2:$F$7,2,1)</f>
        <v>0.15</v>
      </c>
      <c r="I27" s="4">
        <f>VLOOKUP("AHT",Weightages!$B$2:$C$7,2,0)*VLOOKUP(D27,Weightages!$H$2:$I$7,2,1)</f>
        <v>0</v>
      </c>
      <c r="J27" s="4">
        <f>VLOOKUP("Sale",Weightages!$B$2:$C$7,2,0)*VLOOKUP(E27,Weightages!$K$2:$L$7,2,1)</f>
        <v>0.16000000000000003</v>
      </c>
      <c r="K27" s="4">
        <f>VLOOKUP("Quality",Weightages!$B$2:$C$7,2,0)*VLOOKUP(F27,Weightages!$N$2:$O$7,2,1)</f>
        <v>0.2</v>
      </c>
      <c r="L27" s="4">
        <f>VLOOKUP("Client Escalation",Weightages!$B$2:$C$7,2,0)*VLOOKUP(G27,Weightages!$Q$2:$R$7,2,1)</f>
        <v>0</v>
      </c>
      <c r="M27" s="5">
        <f t="shared" si="1"/>
        <v>0.51</v>
      </c>
      <c r="N27" s="6" t="str">
        <f>VLOOKUP(B27,Weightages!$E$11:$F$13,2,1)</f>
        <v>Eligible</v>
      </c>
      <c r="O27" s="7">
        <f>IF(N27="Not Eligible",0,Weightages!$I$9*VLOOKUP(M27,Weightages!$H$11:$I$16,2,1))</f>
        <v>150</v>
      </c>
    </row>
    <row r="28" spans="1:15" x14ac:dyDescent="0.25">
      <c r="A28" s="3" t="s">
        <v>42</v>
      </c>
      <c r="B28" s="3">
        <v>1</v>
      </c>
      <c r="C28" s="3">
        <v>335</v>
      </c>
      <c r="D28" s="3">
        <v>397</v>
      </c>
      <c r="E28" s="3">
        <v>80</v>
      </c>
      <c r="F28" s="27">
        <v>82</v>
      </c>
      <c r="G28" s="3">
        <v>1</v>
      </c>
      <c r="H28" s="4">
        <f>VLOOKUP("Calls",Weightages!$B$2:$C$7,2,0)*VLOOKUP(C28,Weightages!$E$2:$F$7,2,1)</f>
        <v>0.12</v>
      </c>
      <c r="I28" s="4">
        <f>VLOOKUP("AHT",Weightages!$B$2:$C$7,2,0)*VLOOKUP(D28,Weightages!$H$2:$I$7,2,1)</f>
        <v>0</v>
      </c>
      <c r="J28" s="4">
        <f>VLOOKUP("Sale",Weightages!$B$2:$C$7,2,0)*VLOOKUP(E28,Weightages!$K$2:$L$7,2,1)</f>
        <v>0.1</v>
      </c>
      <c r="K28" s="4">
        <f>VLOOKUP("Quality",Weightages!$B$2:$C$7,2,0)*VLOOKUP(F28,Weightages!$N$2:$O$7,2,1)</f>
        <v>0.16000000000000003</v>
      </c>
      <c r="L28" s="4">
        <f>VLOOKUP("Client Escalation",Weightages!$B$2:$C$7,2,0)*VLOOKUP(G28,Weightages!$Q$2:$R$7,2,1)</f>
        <v>0.24</v>
      </c>
      <c r="M28" s="5">
        <f t="shared" si="1"/>
        <v>0.62</v>
      </c>
      <c r="N28" s="6" t="str">
        <f>VLOOKUP(B28,Weightages!$E$11:$F$13,2,1)</f>
        <v>Eligible</v>
      </c>
      <c r="O28" s="7">
        <f>IF(N28="Not Eligible",0,Weightages!$I$9*VLOOKUP(M28,Weightages!$H$11:$I$16,2,1))</f>
        <v>150</v>
      </c>
    </row>
    <row r="29" spans="1:15" x14ac:dyDescent="0.25">
      <c r="A29" s="3" t="s">
        <v>43</v>
      </c>
      <c r="B29" s="3">
        <v>1</v>
      </c>
      <c r="C29" s="3">
        <v>129</v>
      </c>
      <c r="D29" s="3">
        <v>287</v>
      </c>
      <c r="E29" s="3">
        <v>98</v>
      </c>
      <c r="F29" s="27">
        <v>32</v>
      </c>
      <c r="G29" s="3">
        <v>7</v>
      </c>
      <c r="H29" s="4">
        <f>VLOOKUP("Calls",Weightages!$B$2:$C$7,2,0)*VLOOKUP(C29,Weightages!$E$2:$F$7,2,1)</f>
        <v>0.03</v>
      </c>
      <c r="I29" s="4">
        <f>VLOOKUP("AHT",Weightages!$B$2:$C$7,2,0)*VLOOKUP(D29,Weightages!$H$2:$I$7,2,1)</f>
        <v>7.4999999999999997E-2</v>
      </c>
      <c r="J29" s="4">
        <f>VLOOKUP("Sale",Weightages!$B$2:$C$7,2,0)*VLOOKUP(E29,Weightages!$K$2:$L$7,2,1)</f>
        <v>0.1</v>
      </c>
      <c r="K29" s="4">
        <f>VLOOKUP("Quality",Weightages!$B$2:$C$7,2,0)*VLOOKUP(F29,Weightages!$N$2:$O$7,2,1)</f>
        <v>0</v>
      </c>
      <c r="L29" s="4">
        <f>VLOOKUP("Client Escalation",Weightages!$B$2:$C$7,2,0)*VLOOKUP(G29,Weightages!$Q$2:$R$7,2,1)</f>
        <v>0</v>
      </c>
      <c r="M29" s="5">
        <f t="shared" si="1"/>
        <v>0.20500000000000002</v>
      </c>
      <c r="N29" s="6" t="str">
        <f>VLOOKUP(B29,Weightages!$E$11:$F$13,2,1)</f>
        <v>Eligible</v>
      </c>
      <c r="O29" s="7">
        <f>IF(N29="Not Eligible",0,Weightages!$I$9*VLOOKUP(M29,Weightages!$H$11:$I$16,2,1))</f>
        <v>0</v>
      </c>
    </row>
    <row r="30" spans="1:15" x14ac:dyDescent="0.25">
      <c r="A30" s="3" t="s">
        <v>44</v>
      </c>
      <c r="B30" s="3">
        <v>1</v>
      </c>
      <c r="C30" s="3">
        <v>74</v>
      </c>
      <c r="D30" s="3">
        <v>132</v>
      </c>
      <c r="E30" s="3">
        <v>63</v>
      </c>
      <c r="F30" s="27">
        <v>51</v>
      </c>
      <c r="G30" s="3">
        <v>7</v>
      </c>
      <c r="H30" s="4">
        <f>VLOOKUP("Calls",Weightages!$B$2:$C$7,2,0)*VLOOKUP(C30,Weightages!$E$2:$F$7,2,1)</f>
        <v>0</v>
      </c>
      <c r="I30" s="4">
        <f>VLOOKUP("AHT",Weightages!$B$2:$C$7,2,0)*VLOOKUP(D30,Weightages!$H$2:$I$7,2,1)</f>
        <v>0.15</v>
      </c>
      <c r="J30" s="4">
        <f>VLOOKUP("Sale",Weightages!$B$2:$C$7,2,0)*VLOOKUP(E30,Weightages!$K$2:$L$7,2,1)</f>
        <v>4.0000000000000008E-2</v>
      </c>
      <c r="K30" s="4">
        <f>VLOOKUP("Quality",Weightages!$B$2:$C$7,2,0)*VLOOKUP(F30,Weightages!$N$2:$O$7,2,1)</f>
        <v>0</v>
      </c>
      <c r="L30" s="4">
        <f>VLOOKUP("Client Escalation",Weightages!$B$2:$C$7,2,0)*VLOOKUP(G30,Weightages!$Q$2:$R$7,2,1)</f>
        <v>0</v>
      </c>
      <c r="M30" s="5">
        <f t="shared" si="1"/>
        <v>0.19</v>
      </c>
      <c r="N30" s="6" t="str">
        <f>VLOOKUP(B30,Weightages!$E$11:$F$13,2,1)</f>
        <v>Eligible</v>
      </c>
      <c r="O30" s="7">
        <f>IF(N30="Not Eligible",0,Weightages!$I$9*VLOOKUP(M30,Weightages!$H$11:$I$16,2,1))</f>
        <v>0</v>
      </c>
    </row>
    <row r="31" spans="1:15" x14ac:dyDescent="0.25">
      <c r="A31" s="3" t="s">
        <v>45</v>
      </c>
      <c r="B31" s="3">
        <v>4</v>
      </c>
      <c r="C31" s="3">
        <v>380</v>
      </c>
      <c r="D31" s="3">
        <v>294</v>
      </c>
      <c r="E31" s="3">
        <v>131</v>
      </c>
      <c r="F31" s="27">
        <v>64</v>
      </c>
      <c r="G31" s="3">
        <v>9</v>
      </c>
      <c r="H31" s="4">
        <f>VLOOKUP("Calls",Weightages!$B$2:$C$7,2,0)*VLOOKUP(C31,Weightages!$E$2:$F$7,2,1)</f>
        <v>0.15</v>
      </c>
      <c r="I31" s="4">
        <f>VLOOKUP("AHT",Weightages!$B$2:$C$7,2,0)*VLOOKUP(D31,Weightages!$H$2:$I$7,2,1)</f>
        <v>7.4999999999999997E-2</v>
      </c>
      <c r="J31" s="4">
        <f>VLOOKUP("Sale",Weightages!$B$2:$C$7,2,0)*VLOOKUP(E31,Weightages!$K$2:$L$7,2,1)</f>
        <v>0.2</v>
      </c>
      <c r="K31" s="4">
        <f>VLOOKUP("Quality",Weightages!$B$2:$C$7,2,0)*VLOOKUP(F31,Weightages!$N$2:$O$7,2,1)</f>
        <v>4.0000000000000008E-2</v>
      </c>
      <c r="L31" s="4">
        <f>VLOOKUP("Client Escalation",Weightages!$B$2:$C$7,2,0)*VLOOKUP(G31,Weightages!$Q$2:$R$7,2,1)</f>
        <v>0</v>
      </c>
      <c r="M31" s="5">
        <f t="shared" si="1"/>
        <v>0.46499999999999997</v>
      </c>
      <c r="N31" s="6" t="str">
        <f>VLOOKUP(B31,Weightages!$E$11:$F$13,2,1)</f>
        <v>Not Eligible</v>
      </c>
      <c r="O31" s="7">
        <f>IF(N31="Not Eligible",0,Weightages!$I$9*VLOOKUP(M31,Weightages!$H$11:$I$16,2,1))</f>
        <v>0</v>
      </c>
    </row>
    <row r="32" spans="1:15" x14ac:dyDescent="0.25">
      <c r="A32" s="3" t="s">
        <v>46</v>
      </c>
      <c r="B32" s="3">
        <v>0</v>
      </c>
      <c r="C32" s="3">
        <v>387</v>
      </c>
      <c r="D32" s="3">
        <v>180</v>
      </c>
      <c r="E32" s="3">
        <v>104</v>
      </c>
      <c r="F32" s="27">
        <v>50</v>
      </c>
      <c r="G32" s="3">
        <v>10</v>
      </c>
      <c r="H32" s="4">
        <f>VLOOKUP("Calls",Weightages!$B$2:$C$7,2,0)*VLOOKUP(C32,Weightages!$E$2:$F$7,2,1)</f>
        <v>0.15</v>
      </c>
      <c r="I32" s="4">
        <f>VLOOKUP("AHT",Weightages!$B$2:$C$7,2,0)*VLOOKUP(D32,Weightages!$H$2:$I$7,2,1)</f>
        <v>0.15</v>
      </c>
      <c r="J32" s="4">
        <f>VLOOKUP("Sale",Weightages!$B$2:$C$7,2,0)*VLOOKUP(E32,Weightages!$K$2:$L$7,2,1)</f>
        <v>0.16000000000000003</v>
      </c>
      <c r="K32" s="4">
        <f>VLOOKUP("Quality",Weightages!$B$2:$C$7,2,0)*VLOOKUP(F32,Weightages!$N$2:$O$7,2,1)</f>
        <v>0</v>
      </c>
      <c r="L32" s="4">
        <f>VLOOKUP("Client Escalation",Weightages!$B$2:$C$7,2,0)*VLOOKUP(G32,Weightages!$Q$2:$R$7,2,1)</f>
        <v>0</v>
      </c>
      <c r="M32" s="5">
        <f t="shared" si="1"/>
        <v>0.46</v>
      </c>
      <c r="N32" s="6" t="str">
        <f>VLOOKUP(B32,Weightages!$E$11:$F$13,2,1)</f>
        <v>Eligible</v>
      </c>
      <c r="O32" s="7">
        <f>IF(N32="Not Eligible",0,Weightages!$I$9*VLOOKUP(M32,Weightages!$H$11:$I$16,2,1))</f>
        <v>60</v>
      </c>
    </row>
    <row r="33" spans="1:15" x14ac:dyDescent="0.25">
      <c r="A33" s="3" t="s">
        <v>47</v>
      </c>
      <c r="B33" s="3">
        <v>3</v>
      </c>
      <c r="C33" s="3">
        <v>88</v>
      </c>
      <c r="D33" s="3">
        <v>159</v>
      </c>
      <c r="E33" s="3">
        <v>93</v>
      </c>
      <c r="F33" s="27">
        <v>40</v>
      </c>
      <c r="G33" s="3">
        <v>10</v>
      </c>
      <c r="H33" s="4">
        <f>VLOOKUP("Calls",Weightages!$B$2:$C$7,2,0)*VLOOKUP(C33,Weightages!$E$2:$F$7,2,1)</f>
        <v>0</v>
      </c>
      <c r="I33" s="4">
        <f>VLOOKUP("AHT",Weightages!$B$2:$C$7,2,0)*VLOOKUP(D33,Weightages!$H$2:$I$7,2,1)</f>
        <v>0.15</v>
      </c>
      <c r="J33" s="4">
        <f>VLOOKUP("Sale",Weightages!$B$2:$C$7,2,0)*VLOOKUP(E33,Weightages!$K$2:$L$7,2,1)</f>
        <v>0.1</v>
      </c>
      <c r="K33" s="4">
        <f>VLOOKUP("Quality",Weightages!$B$2:$C$7,2,0)*VLOOKUP(F33,Weightages!$N$2:$O$7,2,1)</f>
        <v>0</v>
      </c>
      <c r="L33" s="4">
        <f>VLOOKUP("Client Escalation",Weightages!$B$2:$C$7,2,0)*VLOOKUP(G33,Weightages!$Q$2:$R$7,2,1)</f>
        <v>0</v>
      </c>
      <c r="M33" s="5">
        <f t="shared" si="1"/>
        <v>0.25</v>
      </c>
      <c r="N33" s="6" t="str">
        <f>VLOOKUP(B33,Weightages!$E$11:$F$13,2,1)</f>
        <v>Not Eligible</v>
      </c>
      <c r="O33" s="7">
        <f>IF(N33="Not Eligible",0,Weightages!$I$9*VLOOKUP(M33,Weightages!$H$11:$I$16,2,1))</f>
        <v>0</v>
      </c>
    </row>
    <row r="34" spans="1:15" x14ac:dyDescent="0.25">
      <c r="A34" s="3" t="s">
        <v>48</v>
      </c>
      <c r="B34" s="3">
        <v>0</v>
      </c>
      <c r="C34" s="3">
        <v>129</v>
      </c>
      <c r="D34" s="3">
        <v>388</v>
      </c>
      <c r="E34" s="3">
        <v>132</v>
      </c>
      <c r="F34" s="27">
        <v>78</v>
      </c>
      <c r="G34" s="3">
        <v>3</v>
      </c>
      <c r="H34" s="4">
        <f>VLOOKUP("Calls",Weightages!$B$2:$C$7,2,0)*VLOOKUP(C34,Weightages!$E$2:$F$7,2,1)</f>
        <v>0.03</v>
      </c>
      <c r="I34" s="4">
        <f>VLOOKUP("AHT",Weightages!$B$2:$C$7,2,0)*VLOOKUP(D34,Weightages!$H$2:$I$7,2,1)</f>
        <v>0</v>
      </c>
      <c r="J34" s="4">
        <f>VLOOKUP("Sale",Weightages!$B$2:$C$7,2,0)*VLOOKUP(E34,Weightages!$K$2:$L$7,2,1)</f>
        <v>0.2</v>
      </c>
      <c r="K34" s="4">
        <f>VLOOKUP("Quality",Weightages!$B$2:$C$7,2,0)*VLOOKUP(F34,Weightages!$N$2:$O$7,2,1)</f>
        <v>0.1</v>
      </c>
      <c r="L34" s="4">
        <f>VLOOKUP("Client Escalation",Weightages!$B$2:$C$7,2,0)*VLOOKUP(G34,Weightages!$Q$2:$R$7,2,1)</f>
        <v>0.06</v>
      </c>
      <c r="M34" s="5">
        <f t="shared" si="1"/>
        <v>0.39</v>
      </c>
      <c r="N34" s="6" t="str">
        <f>VLOOKUP(B34,Weightages!$E$11:$F$13,2,1)</f>
        <v>Eligible</v>
      </c>
      <c r="O34" s="7">
        <f>IF(N34="Not Eligible",0,Weightages!$I$9*VLOOKUP(M34,Weightages!$H$11:$I$16,2,1))</f>
        <v>0</v>
      </c>
    </row>
    <row r="35" spans="1:15" x14ac:dyDescent="0.25">
      <c r="A35" s="3" t="s">
        <v>49</v>
      </c>
      <c r="B35" s="3">
        <v>9</v>
      </c>
      <c r="C35" s="3">
        <v>191</v>
      </c>
      <c r="D35" s="3">
        <v>217</v>
      </c>
      <c r="E35" s="3">
        <v>149</v>
      </c>
      <c r="F35" s="27">
        <v>34</v>
      </c>
      <c r="G35" s="3">
        <v>2</v>
      </c>
      <c r="H35" s="4">
        <f>VLOOKUP("Calls",Weightages!$B$2:$C$7,2,0)*VLOOKUP(C35,Weightages!$E$2:$F$7,2,1)</f>
        <v>0.03</v>
      </c>
      <c r="I35" s="4">
        <f>VLOOKUP("AHT",Weightages!$B$2:$C$7,2,0)*VLOOKUP(D35,Weightages!$H$2:$I$7,2,1)</f>
        <v>0.12</v>
      </c>
      <c r="J35" s="4">
        <f>VLOOKUP("Sale",Weightages!$B$2:$C$7,2,0)*VLOOKUP(E35,Weightages!$K$2:$L$7,2,1)</f>
        <v>0.2</v>
      </c>
      <c r="K35" s="4">
        <f>VLOOKUP("Quality",Weightages!$B$2:$C$7,2,0)*VLOOKUP(F35,Weightages!$N$2:$O$7,2,1)</f>
        <v>0</v>
      </c>
      <c r="L35" s="4">
        <f>VLOOKUP("Client Escalation",Weightages!$B$2:$C$7,2,0)*VLOOKUP(G35,Weightages!$Q$2:$R$7,2,1)</f>
        <v>0.15</v>
      </c>
      <c r="M35" s="5">
        <f t="shared" si="1"/>
        <v>0.5</v>
      </c>
      <c r="N35" s="6" t="str">
        <f>VLOOKUP(B35,Weightages!$E$11:$F$13,2,1)</f>
        <v>Not Eligible</v>
      </c>
      <c r="O35" s="7">
        <f>IF(N35="Not Eligible",0,Weightages!$I$9*VLOOKUP(M35,Weightages!$H$11:$I$16,2,1))</f>
        <v>0</v>
      </c>
    </row>
    <row r="36" spans="1:15" x14ac:dyDescent="0.25">
      <c r="A36" s="3" t="s">
        <v>50</v>
      </c>
      <c r="B36" s="3">
        <v>3</v>
      </c>
      <c r="C36" s="3">
        <v>164</v>
      </c>
      <c r="D36" s="3">
        <v>254</v>
      </c>
      <c r="E36" s="3">
        <v>130</v>
      </c>
      <c r="F36" s="27">
        <v>96</v>
      </c>
      <c r="G36" s="3">
        <v>6</v>
      </c>
      <c r="H36" s="4">
        <f>VLOOKUP("Calls",Weightages!$B$2:$C$7,2,0)*VLOOKUP(C36,Weightages!$E$2:$F$7,2,1)</f>
        <v>0.03</v>
      </c>
      <c r="I36" s="4">
        <f>VLOOKUP("AHT",Weightages!$B$2:$C$7,2,0)*VLOOKUP(D36,Weightages!$H$2:$I$7,2,1)</f>
        <v>7.4999999999999997E-2</v>
      </c>
      <c r="J36" s="4">
        <f>VLOOKUP("Sale",Weightages!$B$2:$C$7,2,0)*VLOOKUP(E36,Weightages!$K$2:$L$7,2,1)</f>
        <v>0.2</v>
      </c>
      <c r="K36" s="4">
        <f>VLOOKUP("Quality",Weightages!$B$2:$C$7,2,0)*VLOOKUP(F36,Weightages!$N$2:$O$7,2,1)</f>
        <v>0.2</v>
      </c>
      <c r="L36" s="4">
        <f>VLOOKUP("Client Escalation",Weightages!$B$2:$C$7,2,0)*VLOOKUP(G36,Weightages!$Q$2:$R$7,2,1)</f>
        <v>0</v>
      </c>
      <c r="M36" s="5">
        <f t="shared" si="1"/>
        <v>0.505</v>
      </c>
      <c r="N36" s="6" t="str">
        <f>VLOOKUP(B36,Weightages!$E$11:$F$13,2,1)</f>
        <v>Not Eligible</v>
      </c>
      <c r="O36" s="7">
        <f>IF(N36="Not Eligible",0,Weightages!$I$9*VLOOKUP(M36,Weightages!$H$11:$I$16,2,1))</f>
        <v>0</v>
      </c>
    </row>
    <row r="37" spans="1:15" x14ac:dyDescent="0.25">
      <c r="A37" s="3" t="s">
        <v>51</v>
      </c>
      <c r="B37" s="3">
        <v>2</v>
      </c>
      <c r="C37" s="3">
        <v>163</v>
      </c>
      <c r="D37" s="3">
        <v>339</v>
      </c>
      <c r="E37" s="3">
        <v>74</v>
      </c>
      <c r="F37" s="27">
        <v>96</v>
      </c>
      <c r="G37" s="3">
        <v>9</v>
      </c>
      <c r="H37" s="4">
        <f>VLOOKUP("Calls",Weightages!$B$2:$C$7,2,0)*VLOOKUP(C37,Weightages!$E$2:$F$7,2,1)</f>
        <v>0.03</v>
      </c>
      <c r="I37" s="4">
        <f>VLOOKUP("AHT",Weightages!$B$2:$C$7,2,0)*VLOOKUP(D37,Weightages!$H$2:$I$7,2,1)</f>
        <v>0.03</v>
      </c>
      <c r="J37" s="4">
        <f>VLOOKUP("Sale",Weightages!$B$2:$C$7,2,0)*VLOOKUP(E37,Weightages!$K$2:$L$7,2,1)</f>
        <v>0.1</v>
      </c>
      <c r="K37" s="4">
        <f>VLOOKUP("Quality",Weightages!$B$2:$C$7,2,0)*VLOOKUP(F37,Weightages!$N$2:$O$7,2,1)</f>
        <v>0.2</v>
      </c>
      <c r="L37" s="4">
        <f>VLOOKUP("Client Escalation",Weightages!$B$2:$C$7,2,0)*VLOOKUP(G37,Weightages!$Q$2:$R$7,2,1)</f>
        <v>0</v>
      </c>
      <c r="M37" s="5">
        <f t="shared" si="1"/>
        <v>0.36</v>
      </c>
      <c r="N37" s="6" t="str">
        <f>VLOOKUP(B37,Weightages!$E$11:$F$13,2,1)</f>
        <v>Eligible</v>
      </c>
      <c r="O37" s="7">
        <f>IF(N37="Not Eligible",0,Weightages!$I$9*VLOOKUP(M37,Weightages!$H$11:$I$16,2,1))</f>
        <v>0</v>
      </c>
    </row>
    <row r="38" spans="1:15" x14ac:dyDescent="0.25">
      <c r="A38" s="3" t="s">
        <v>52</v>
      </c>
      <c r="B38" s="3">
        <v>2</v>
      </c>
      <c r="C38" s="3">
        <v>139</v>
      </c>
      <c r="D38" s="3">
        <v>339</v>
      </c>
      <c r="E38" s="3">
        <v>82</v>
      </c>
      <c r="F38" s="27">
        <v>53</v>
      </c>
      <c r="G38" s="3">
        <v>10</v>
      </c>
      <c r="H38" s="4">
        <f>VLOOKUP("Calls",Weightages!$B$2:$C$7,2,0)*VLOOKUP(C38,Weightages!$E$2:$F$7,2,1)</f>
        <v>0.03</v>
      </c>
      <c r="I38" s="4">
        <f>VLOOKUP("AHT",Weightages!$B$2:$C$7,2,0)*VLOOKUP(D38,Weightages!$H$2:$I$7,2,1)</f>
        <v>0.03</v>
      </c>
      <c r="J38" s="4">
        <f>VLOOKUP("Sale",Weightages!$B$2:$C$7,2,0)*VLOOKUP(E38,Weightages!$K$2:$L$7,2,1)</f>
        <v>0.1</v>
      </c>
      <c r="K38" s="4">
        <f>VLOOKUP("Quality",Weightages!$B$2:$C$7,2,0)*VLOOKUP(F38,Weightages!$N$2:$O$7,2,1)</f>
        <v>0</v>
      </c>
      <c r="L38" s="4">
        <f>VLOOKUP("Client Escalation",Weightages!$B$2:$C$7,2,0)*VLOOKUP(G38,Weightages!$Q$2:$R$7,2,1)</f>
        <v>0</v>
      </c>
      <c r="M38" s="5">
        <f t="shared" si="1"/>
        <v>0.16</v>
      </c>
      <c r="N38" s="6" t="str">
        <f>VLOOKUP(B38,Weightages!$E$11:$F$13,2,1)</f>
        <v>Eligible</v>
      </c>
      <c r="O38" s="7">
        <f>IF(N38="Not Eligible",0,Weightages!$I$9*VLOOKUP(M38,Weightages!$H$11:$I$16,2,1))</f>
        <v>0</v>
      </c>
    </row>
    <row r="39" spans="1:15" x14ac:dyDescent="0.25">
      <c r="A39" s="3" t="s">
        <v>53</v>
      </c>
      <c r="B39" s="3">
        <v>7</v>
      </c>
      <c r="C39" s="3">
        <v>206</v>
      </c>
      <c r="D39" s="3">
        <v>257</v>
      </c>
      <c r="E39" s="3">
        <v>126</v>
      </c>
      <c r="F39" s="27">
        <v>85</v>
      </c>
      <c r="G39" s="3">
        <v>9</v>
      </c>
      <c r="H39" s="4">
        <f>VLOOKUP("Calls",Weightages!$B$2:$C$7,2,0)*VLOOKUP(C39,Weightages!$E$2:$F$7,2,1)</f>
        <v>7.4999999999999997E-2</v>
      </c>
      <c r="I39" s="4">
        <f>VLOOKUP("AHT",Weightages!$B$2:$C$7,2,0)*VLOOKUP(D39,Weightages!$H$2:$I$7,2,1)</f>
        <v>7.4999999999999997E-2</v>
      </c>
      <c r="J39" s="4">
        <f>VLOOKUP("Sale",Weightages!$B$2:$C$7,2,0)*VLOOKUP(E39,Weightages!$K$2:$L$7,2,1)</f>
        <v>0.2</v>
      </c>
      <c r="K39" s="4">
        <f>VLOOKUP("Quality",Weightages!$B$2:$C$7,2,0)*VLOOKUP(F39,Weightages!$N$2:$O$7,2,1)</f>
        <v>0.16000000000000003</v>
      </c>
      <c r="L39" s="4">
        <f>VLOOKUP("Client Escalation",Weightages!$B$2:$C$7,2,0)*VLOOKUP(G39,Weightages!$Q$2:$R$7,2,1)</f>
        <v>0</v>
      </c>
      <c r="M39" s="5">
        <f t="shared" si="1"/>
        <v>0.51</v>
      </c>
      <c r="N39" s="6" t="str">
        <f>VLOOKUP(B39,Weightages!$E$11:$F$13,2,1)</f>
        <v>Not Eligible</v>
      </c>
      <c r="O39" s="7">
        <f>IF(N39="Not Eligible",0,Weightages!$I$9*VLOOKUP(M39,Weightages!$H$11:$I$16,2,1))</f>
        <v>0</v>
      </c>
    </row>
    <row r="40" spans="1:15" x14ac:dyDescent="0.25">
      <c r="A40" s="3" t="s">
        <v>54</v>
      </c>
      <c r="B40" s="3">
        <v>0</v>
      </c>
      <c r="C40" s="3">
        <v>209</v>
      </c>
      <c r="D40" s="3">
        <v>194</v>
      </c>
      <c r="E40" s="3">
        <v>148</v>
      </c>
      <c r="F40" s="27">
        <v>90</v>
      </c>
      <c r="G40" s="3">
        <v>1</v>
      </c>
      <c r="H40" s="4">
        <f>VLOOKUP("Calls",Weightages!$B$2:$C$7,2,0)*VLOOKUP(C40,Weightages!$E$2:$F$7,2,1)</f>
        <v>7.4999999999999997E-2</v>
      </c>
      <c r="I40" s="4">
        <f>VLOOKUP("AHT",Weightages!$B$2:$C$7,2,0)*VLOOKUP(D40,Weightages!$H$2:$I$7,2,1)</f>
        <v>0.15</v>
      </c>
      <c r="J40" s="4">
        <f>VLOOKUP("Sale",Weightages!$B$2:$C$7,2,0)*VLOOKUP(E40,Weightages!$K$2:$L$7,2,1)</f>
        <v>0.2</v>
      </c>
      <c r="K40" s="4">
        <f>VLOOKUP("Quality",Weightages!$B$2:$C$7,2,0)*VLOOKUP(F40,Weightages!$N$2:$O$7,2,1)</f>
        <v>0.2</v>
      </c>
      <c r="L40" s="4">
        <f>VLOOKUP("Client Escalation",Weightages!$B$2:$C$7,2,0)*VLOOKUP(G40,Weightages!$Q$2:$R$7,2,1)</f>
        <v>0.24</v>
      </c>
      <c r="M40" s="5">
        <f t="shared" si="1"/>
        <v>0.86499999999999999</v>
      </c>
      <c r="N40" s="6" t="str">
        <f>VLOOKUP(B40,Weightages!$E$11:$F$13,2,1)</f>
        <v>Eligible</v>
      </c>
      <c r="O40" s="7">
        <f>IF(N40="Not Eligible",0,Weightages!$I$9*VLOOKUP(M40,Weightages!$H$11:$I$16,2,1))</f>
        <v>240</v>
      </c>
    </row>
    <row r="41" spans="1:15" x14ac:dyDescent="0.25">
      <c r="A41" s="3" t="s">
        <v>55</v>
      </c>
      <c r="B41" s="3">
        <v>3</v>
      </c>
      <c r="C41" s="3">
        <v>289</v>
      </c>
      <c r="D41" s="3">
        <v>390</v>
      </c>
      <c r="E41" s="3">
        <v>150</v>
      </c>
      <c r="F41" s="27">
        <v>52</v>
      </c>
      <c r="G41" s="3">
        <v>7</v>
      </c>
      <c r="H41" s="4">
        <f>VLOOKUP("Calls",Weightages!$B$2:$C$7,2,0)*VLOOKUP(C41,Weightages!$E$2:$F$7,2,1)</f>
        <v>7.4999999999999997E-2</v>
      </c>
      <c r="I41" s="4">
        <f>VLOOKUP("AHT",Weightages!$B$2:$C$7,2,0)*VLOOKUP(D41,Weightages!$H$2:$I$7,2,1)</f>
        <v>0</v>
      </c>
      <c r="J41" s="4">
        <f>VLOOKUP("Sale",Weightages!$B$2:$C$7,2,0)*VLOOKUP(E41,Weightages!$K$2:$L$7,2,1)</f>
        <v>0.2</v>
      </c>
      <c r="K41" s="4">
        <f>VLOOKUP("Quality",Weightages!$B$2:$C$7,2,0)*VLOOKUP(F41,Weightages!$N$2:$O$7,2,1)</f>
        <v>0</v>
      </c>
      <c r="L41" s="4">
        <f>VLOOKUP("Client Escalation",Weightages!$B$2:$C$7,2,0)*VLOOKUP(G41,Weightages!$Q$2:$R$7,2,1)</f>
        <v>0</v>
      </c>
      <c r="M41" s="5">
        <f t="shared" si="1"/>
        <v>0.27500000000000002</v>
      </c>
      <c r="N41" s="6" t="str">
        <f>VLOOKUP(B41,Weightages!$E$11:$F$13,2,1)</f>
        <v>Not Eligible</v>
      </c>
      <c r="O41" s="7">
        <f>IF(N41="Not Eligible",0,Weightages!$I$9*VLOOKUP(M41,Weightages!$H$11:$I$16,2,1))</f>
        <v>0</v>
      </c>
    </row>
    <row r="42" spans="1:15" x14ac:dyDescent="0.25">
      <c r="A42" s="3" t="s">
        <v>56</v>
      </c>
      <c r="B42" s="3">
        <v>2</v>
      </c>
      <c r="C42" s="3">
        <v>170</v>
      </c>
      <c r="D42" s="3">
        <v>285</v>
      </c>
      <c r="E42" s="3">
        <v>32</v>
      </c>
      <c r="F42" s="27">
        <v>88</v>
      </c>
      <c r="G42" s="3">
        <v>10</v>
      </c>
      <c r="H42" s="4">
        <f>VLOOKUP("Calls",Weightages!$B$2:$C$7,2,0)*VLOOKUP(C42,Weightages!$E$2:$F$7,2,1)</f>
        <v>0.03</v>
      </c>
      <c r="I42" s="4">
        <f>VLOOKUP("AHT",Weightages!$B$2:$C$7,2,0)*VLOOKUP(D42,Weightages!$H$2:$I$7,2,1)</f>
        <v>7.4999999999999997E-2</v>
      </c>
      <c r="J42" s="4">
        <f>VLOOKUP("Sale",Weightages!$B$2:$C$7,2,0)*VLOOKUP(E42,Weightages!$K$2:$L$7,2,1)</f>
        <v>0</v>
      </c>
      <c r="K42" s="4">
        <f>VLOOKUP("Quality",Weightages!$B$2:$C$7,2,0)*VLOOKUP(F42,Weightages!$N$2:$O$7,2,1)</f>
        <v>0.16000000000000003</v>
      </c>
      <c r="L42" s="4">
        <f>VLOOKUP("Client Escalation",Weightages!$B$2:$C$7,2,0)*VLOOKUP(G42,Weightages!$Q$2:$R$7,2,1)</f>
        <v>0</v>
      </c>
      <c r="M42" s="5">
        <f t="shared" si="1"/>
        <v>0.26500000000000001</v>
      </c>
      <c r="N42" s="6" t="str">
        <f>VLOOKUP(B42,Weightages!$E$11:$F$13,2,1)</f>
        <v>Eligible</v>
      </c>
      <c r="O42" s="7">
        <f>IF(N42="Not Eligible",0,Weightages!$I$9*VLOOKUP(M42,Weightages!$H$11:$I$16,2,1))</f>
        <v>0</v>
      </c>
    </row>
    <row r="43" spans="1:15" x14ac:dyDescent="0.25">
      <c r="A43" s="3" t="s">
        <v>57</v>
      </c>
      <c r="B43" s="3">
        <v>1</v>
      </c>
      <c r="C43" s="3">
        <v>71</v>
      </c>
      <c r="D43" s="3">
        <v>176</v>
      </c>
      <c r="E43" s="3">
        <v>62</v>
      </c>
      <c r="F43" s="27">
        <v>41</v>
      </c>
      <c r="G43" s="3">
        <v>1</v>
      </c>
      <c r="H43" s="4">
        <f>VLOOKUP("Calls",Weightages!$B$2:$C$7,2,0)*VLOOKUP(C43,Weightages!$E$2:$F$7,2,1)</f>
        <v>0</v>
      </c>
      <c r="I43" s="4">
        <f>VLOOKUP("AHT",Weightages!$B$2:$C$7,2,0)*VLOOKUP(D43,Weightages!$H$2:$I$7,2,1)</f>
        <v>0.15</v>
      </c>
      <c r="J43" s="4">
        <f>VLOOKUP("Sale",Weightages!$B$2:$C$7,2,0)*VLOOKUP(E43,Weightages!$K$2:$L$7,2,1)</f>
        <v>4.0000000000000008E-2</v>
      </c>
      <c r="K43" s="4">
        <f>VLOOKUP("Quality",Weightages!$B$2:$C$7,2,0)*VLOOKUP(F43,Weightages!$N$2:$O$7,2,1)</f>
        <v>0</v>
      </c>
      <c r="L43" s="4">
        <f>VLOOKUP("Client Escalation",Weightages!$B$2:$C$7,2,0)*VLOOKUP(G43,Weightages!$Q$2:$R$7,2,1)</f>
        <v>0.24</v>
      </c>
      <c r="M43" s="5">
        <f t="shared" si="1"/>
        <v>0.43</v>
      </c>
      <c r="N43" s="6" t="str">
        <f>VLOOKUP(B43,Weightages!$E$11:$F$13,2,1)</f>
        <v>Eligible</v>
      </c>
      <c r="O43" s="7">
        <f>IF(N43="Not Eligible",0,Weightages!$I$9*VLOOKUP(M43,Weightages!$H$11:$I$16,2,1))</f>
        <v>60</v>
      </c>
    </row>
    <row r="44" spans="1:15" x14ac:dyDescent="0.25">
      <c r="A44" s="3" t="s">
        <v>58</v>
      </c>
      <c r="B44" s="3">
        <v>2</v>
      </c>
      <c r="C44" s="3">
        <v>111</v>
      </c>
      <c r="D44" s="3">
        <v>108</v>
      </c>
      <c r="E44" s="3">
        <v>147</v>
      </c>
      <c r="F44" s="27">
        <v>80</v>
      </c>
      <c r="G44" s="3">
        <v>6</v>
      </c>
      <c r="H44" s="4">
        <f>VLOOKUP("Calls",Weightages!$B$2:$C$7,2,0)*VLOOKUP(C44,Weightages!$E$2:$F$7,2,1)</f>
        <v>0.03</v>
      </c>
      <c r="I44" s="4">
        <f>VLOOKUP("AHT",Weightages!$B$2:$C$7,2,0)*VLOOKUP(D44,Weightages!$H$2:$I$7,2,1)</f>
        <v>0.15</v>
      </c>
      <c r="J44" s="4">
        <f>VLOOKUP("Sale",Weightages!$B$2:$C$7,2,0)*VLOOKUP(E44,Weightages!$K$2:$L$7,2,1)</f>
        <v>0.2</v>
      </c>
      <c r="K44" s="4">
        <f>VLOOKUP("Quality",Weightages!$B$2:$C$7,2,0)*VLOOKUP(F44,Weightages!$N$2:$O$7,2,1)</f>
        <v>0.16000000000000003</v>
      </c>
      <c r="L44" s="4">
        <f>VLOOKUP("Client Escalation",Weightages!$B$2:$C$7,2,0)*VLOOKUP(G44,Weightages!$Q$2:$R$7,2,1)</f>
        <v>0</v>
      </c>
      <c r="M44" s="5">
        <f t="shared" si="1"/>
        <v>0.54</v>
      </c>
      <c r="N44" s="6" t="str">
        <f>VLOOKUP(B44,Weightages!$E$11:$F$13,2,1)</f>
        <v>Eligible</v>
      </c>
      <c r="O44" s="7">
        <f>IF(N44="Not Eligible",0,Weightages!$I$9*VLOOKUP(M44,Weightages!$H$11:$I$16,2,1))</f>
        <v>150</v>
      </c>
    </row>
    <row r="45" spans="1:15" x14ac:dyDescent="0.25">
      <c r="A45" s="3" t="s">
        <v>59</v>
      </c>
      <c r="B45" s="3">
        <v>0</v>
      </c>
      <c r="C45" s="3">
        <v>86</v>
      </c>
      <c r="D45" s="3">
        <v>211</v>
      </c>
      <c r="E45" s="3">
        <v>124</v>
      </c>
      <c r="F45" s="27">
        <v>76</v>
      </c>
      <c r="G45" s="3">
        <v>0</v>
      </c>
      <c r="H45" s="4">
        <f>VLOOKUP("Calls",Weightages!$B$2:$C$7,2,0)*VLOOKUP(C45,Weightages!$E$2:$F$7,2,1)</f>
        <v>0</v>
      </c>
      <c r="I45" s="4">
        <f>VLOOKUP("AHT",Weightages!$B$2:$C$7,2,0)*VLOOKUP(D45,Weightages!$H$2:$I$7,2,1)</f>
        <v>0.12</v>
      </c>
      <c r="J45" s="4">
        <f>VLOOKUP("Sale",Weightages!$B$2:$C$7,2,0)*VLOOKUP(E45,Weightages!$K$2:$L$7,2,1)</f>
        <v>0.2</v>
      </c>
      <c r="K45" s="4">
        <f>VLOOKUP("Quality",Weightages!$B$2:$C$7,2,0)*VLOOKUP(F45,Weightages!$N$2:$O$7,2,1)</f>
        <v>0.1</v>
      </c>
      <c r="L45" s="4">
        <f>VLOOKUP("Client Escalation",Weightages!$B$2:$C$7,2,0)*VLOOKUP(G45,Weightages!$Q$2:$R$7,2,1)</f>
        <v>0.3</v>
      </c>
      <c r="M45" s="5">
        <f t="shared" si="1"/>
        <v>0.72</v>
      </c>
      <c r="N45" s="6" t="str">
        <f>VLOOKUP(B45,Weightages!$E$11:$F$13,2,1)</f>
        <v>Eligible</v>
      </c>
      <c r="O45" s="7">
        <f>IF(N45="Not Eligible",0,Weightages!$I$9*VLOOKUP(M45,Weightages!$H$11:$I$16,2,1))</f>
        <v>150</v>
      </c>
    </row>
    <row r="46" spans="1:15" x14ac:dyDescent="0.25">
      <c r="A46" s="3" t="s">
        <v>60</v>
      </c>
      <c r="B46" s="3">
        <v>3</v>
      </c>
      <c r="C46" s="3">
        <v>363</v>
      </c>
      <c r="D46" s="3">
        <v>120</v>
      </c>
      <c r="E46" s="3">
        <v>113</v>
      </c>
      <c r="F46" s="27">
        <v>73</v>
      </c>
      <c r="G46" s="3">
        <v>8</v>
      </c>
      <c r="H46" s="4">
        <f>VLOOKUP("Calls",Weightages!$B$2:$C$7,2,0)*VLOOKUP(C46,Weightages!$E$2:$F$7,2,1)</f>
        <v>0.15</v>
      </c>
      <c r="I46" s="4">
        <f>VLOOKUP("AHT",Weightages!$B$2:$C$7,2,0)*VLOOKUP(D46,Weightages!$H$2:$I$7,2,1)</f>
        <v>0.15</v>
      </c>
      <c r="J46" s="4">
        <f>VLOOKUP("Sale",Weightages!$B$2:$C$7,2,0)*VLOOKUP(E46,Weightages!$K$2:$L$7,2,1)</f>
        <v>0.16000000000000003</v>
      </c>
      <c r="K46" s="4">
        <f>VLOOKUP("Quality",Weightages!$B$2:$C$7,2,0)*VLOOKUP(F46,Weightages!$N$2:$O$7,2,1)</f>
        <v>0.1</v>
      </c>
      <c r="L46" s="4">
        <f>VLOOKUP("Client Escalation",Weightages!$B$2:$C$7,2,0)*VLOOKUP(G46,Weightages!$Q$2:$R$7,2,1)</f>
        <v>0</v>
      </c>
      <c r="M46" s="5">
        <f t="shared" si="1"/>
        <v>0.56000000000000005</v>
      </c>
      <c r="N46" s="6" t="str">
        <f>VLOOKUP(B46,Weightages!$E$11:$F$13,2,1)</f>
        <v>Not Eligible</v>
      </c>
      <c r="O46" s="7">
        <f>IF(N46="Not Eligible",0,Weightages!$I$9*VLOOKUP(M46,Weightages!$H$11:$I$16,2,1))</f>
        <v>0</v>
      </c>
    </row>
    <row r="47" spans="1:15" x14ac:dyDescent="0.25">
      <c r="A47" s="3" t="s">
        <v>61</v>
      </c>
      <c r="B47" s="3">
        <v>0</v>
      </c>
      <c r="C47" s="3">
        <v>164</v>
      </c>
      <c r="D47" s="3">
        <v>351</v>
      </c>
      <c r="E47" s="3">
        <v>118</v>
      </c>
      <c r="F47" s="27">
        <v>34</v>
      </c>
      <c r="G47" s="3">
        <v>5</v>
      </c>
      <c r="H47" s="4">
        <f>VLOOKUP("Calls",Weightages!$B$2:$C$7,2,0)*VLOOKUP(C47,Weightages!$E$2:$F$7,2,1)</f>
        <v>0.03</v>
      </c>
      <c r="I47" s="4">
        <f>VLOOKUP("AHT",Weightages!$B$2:$C$7,2,0)*VLOOKUP(D47,Weightages!$H$2:$I$7,2,1)</f>
        <v>0</v>
      </c>
      <c r="J47" s="4">
        <f>VLOOKUP("Sale",Weightages!$B$2:$C$7,2,0)*VLOOKUP(E47,Weightages!$K$2:$L$7,2,1)</f>
        <v>0.16000000000000003</v>
      </c>
      <c r="K47" s="4">
        <f>VLOOKUP("Quality",Weightages!$B$2:$C$7,2,0)*VLOOKUP(F47,Weightages!$N$2:$O$7,2,1)</f>
        <v>0</v>
      </c>
      <c r="L47" s="4">
        <f>VLOOKUP("Client Escalation",Weightages!$B$2:$C$7,2,0)*VLOOKUP(G47,Weightages!$Q$2:$R$7,2,1)</f>
        <v>0</v>
      </c>
      <c r="M47" s="5">
        <f t="shared" si="1"/>
        <v>0.19000000000000003</v>
      </c>
      <c r="N47" s="6" t="str">
        <f>VLOOKUP(B47,Weightages!$E$11:$F$13,2,1)</f>
        <v>Eligible</v>
      </c>
      <c r="O47" s="7">
        <f>IF(N47="Not Eligible",0,Weightages!$I$9*VLOOKUP(M47,Weightages!$H$11:$I$16,2,1))</f>
        <v>0</v>
      </c>
    </row>
    <row r="48" spans="1:15" x14ac:dyDescent="0.25">
      <c r="A48" s="3" t="s">
        <v>62</v>
      </c>
      <c r="B48" s="3">
        <v>6</v>
      </c>
      <c r="C48" s="3">
        <v>387</v>
      </c>
      <c r="D48" s="3">
        <v>188</v>
      </c>
      <c r="E48" s="3">
        <v>99</v>
      </c>
      <c r="F48" s="27">
        <v>79</v>
      </c>
      <c r="G48" s="3">
        <v>6</v>
      </c>
      <c r="H48" s="4">
        <f>VLOOKUP("Calls",Weightages!$B$2:$C$7,2,0)*VLOOKUP(C48,Weightages!$E$2:$F$7,2,1)</f>
        <v>0.15</v>
      </c>
      <c r="I48" s="4">
        <f>VLOOKUP("AHT",Weightages!$B$2:$C$7,2,0)*VLOOKUP(D48,Weightages!$H$2:$I$7,2,1)</f>
        <v>0.15</v>
      </c>
      <c r="J48" s="4">
        <f>VLOOKUP("Sale",Weightages!$B$2:$C$7,2,0)*VLOOKUP(E48,Weightages!$K$2:$L$7,2,1)</f>
        <v>0.1</v>
      </c>
      <c r="K48" s="4">
        <f>VLOOKUP("Quality",Weightages!$B$2:$C$7,2,0)*VLOOKUP(F48,Weightages!$N$2:$O$7,2,1)</f>
        <v>0.1</v>
      </c>
      <c r="L48" s="4">
        <f>VLOOKUP("Client Escalation",Weightages!$B$2:$C$7,2,0)*VLOOKUP(G48,Weightages!$Q$2:$R$7,2,1)</f>
        <v>0</v>
      </c>
      <c r="M48" s="5">
        <f t="shared" si="1"/>
        <v>0.5</v>
      </c>
      <c r="N48" s="6" t="str">
        <f>VLOOKUP(B48,Weightages!$E$11:$F$13,2,1)</f>
        <v>Not Eligible</v>
      </c>
      <c r="O48" s="7">
        <f>IF(N48="Not Eligible",0,Weightages!$I$9*VLOOKUP(M48,Weightages!$H$11:$I$16,2,1))</f>
        <v>0</v>
      </c>
    </row>
    <row r="49" spans="1:15" x14ac:dyDescent="0.25">
      <c r="A49" s="3" t="s">
        <v>63</v>
      </c>
      <c r="B49" s="3">
        <v>2</v>
      </c>
      <c r="C49" s="3">
        <v>103</v>
      </c>
      <c r="D49" s="3">
        <v>249</v>
      </c>
      <c r="E49" s="3">
        <v>72</v>
      </c>
      <c r="F49" s="27">
        <v>98</v>
      </c>
      <c r="G49" s="3">
        <v>2</v>
      </c>
      <c r="H49" s="4">
        <f>VLOOKUP("Calls",Weightages!$B$2:$C$7,2,0)*VLOOKUP(C49,Weightages!$E$2:$F$7,2,1)</f>
        <v>0.03</v>
      </c>
      <c r="I49" s="4">
        <f>VLOOKUP("AHT",Weightages!$B$2:$C$7,2,0)*VLOOKUP(D49,Weightages!$H$2:$I$7,2,1)</f>
        <v>0.12</v>
      </c>
      <c r="J49" s="4">
        <f>VLOOKUP("Sale",Weightages!$B$2:$C$7,2,0)*VLOOKUP(E49,Weightages!$K$2:$L$7,2,1)</f>
        <v>0.1</v>
      </c>
      <c r="K49" s="4">
        <f>VLOOKUP("Quality",Weightages!$B$2:$C$7,2,0)*VLOOKUP(F49,Weightages!$N$2:$O$7,2,1)</f>
        <v>0.2</v>
      </c>
      <c r="L49" s="4">
        <f>VLOOKUP("Client Escalation",Weightages!$B$2:$C$7,2,0)*VLOOKUP(G49,Weightages!$Q$2:$R$7,2,1)</f>
        <v>0.15</v>
      </c>
      <c r="M49" s="5">
        <f t="shared" si="1"/>
        <v>0.6</v>
      </c>
      <c r="N49" s="6" t="str">
        <f>VLOOKUP(B49,Weightages!$E$11:$F$13,2,1)</f>
        <v>Eligible</v>
      </c>
      <c r="O49" s="7">
        <f>IF(N49="Not Eligible",0,Weightages!$I$9*VLOOKUP(M49,Weightages!$H$11:$I$16,2,1))</f>
        <v>150</v>
      </c>
    </row>
    <row r="50" spans="1:15" x14ac:dyDescent="0.25">
      <c r="A50" s="3" t="s">
        <v>64</v>
      </c>
      <c r="B50" s="3">
        <v>1</v>
      </c>
      <c r="C50" s="3">
        <v>278</v>
      </c>
      <c r="D50" s="3">
        <v>367</v>
      </c>
      <c r="E50" s="3">
        <v>126</v>
      </c>
      <c r="F50" s="27">
        <v>37</v>
      </c>
      <c r="G50" s="3">
        <v>10</v>
      </c>
      <c r="H50" s="4">
        <f>VLOOKUP("Calls",Weightages!$B$2:$C$7,2,0)*VLOOKUP(C50,Weightages!$E$2:$F$7,2,1)</f>
        <v>7.4999999999999997E-2</v>
      </c>
      <c r="I50" s="4">
        <f>VLOOKUP("AHT",Weightages!$B$2:$C$7,2,0)*VLOOKUP(D50,Weightages!$H$2:$I$7,2,1)</f>
        <v>0</v>
      </c>
      <c r="J50" s="4">
        <f>VLOOKUP("Sale",Weightages!$B$2:$C$7,2,0)*VLOOKUP(E50,Weightages!$K$2:$L$7,2,1)</f>
        <v>0.2</v>
      </c>
      <c r="K50" s="4">
        <f>VLOOKUP("Quality",Weightages!$B$2:$C$7,2,0)*VLOOKUP(F50,Weightages!$N$2:$O$7,2,1)</f>
        <v>0</v>
      </c>
      <c r="L50" s="4">
        <f>VLOOKUP("Client Escalation",Weightages!$B$2:$C$7,2,0)*VLOOKUP(G50,Weightages!$Q$2:$R$7,2,1)</f>
        <v>0</v>
      </c>
      <c r="M50" s="5">
        <f t="shared" si="1"/>
        <v>0.27500000000000002</v>
      </c>
      <c r="N50" s="6" t="str">
        <f>VLOOKUP(B50,Weightages!$E$11:$F$13,2,1)</f>
        <v>Eligible</v>
      </c>
      <c r="O50" s="7">
        <f>IF(N50="Not Eligible",0,Weightages!$I$9*VLOOKUP(M50,Weightages!$H$11:$I$16,2,1))</f>
        <v>0</v>
      </c>
    </row>
    <row r="51" spans="1:15" x14ac:dyDescent="0.25">
      <c r="A51" s="3" t="s">
        <v>65</v>
      </c>
      <c r="B51" s="3">
        <v>1</v>
      </c>
      <c r="C51" s="3">
        <v>208</v>
      </c>
      <c r="D51" s="3">
        <v>130</v>
      </c>
      <c r="E51" s="3">
        <v>50</v>
      </c>
      <c r="F51" s="27">
        <v>83</v>
      </c>
      <c r="G51" s="3">
        <v>2</v>
      </c>
      <c r="H51" s="4">
        <f>VLOOKUP("Calls",Weightages!$B$2:$C$7,2,0)*VLOOKUP(C51,Weightages!$E$2:$F$7,2,1)</f>
        <v>7.4999999999999997E-2</v>
      </c>
      <c r="I51" s="4">
        <f>VLOOKUP("AHT",Weightages!$B$2:$C$7,2,0)*VLOOKUP(D51,Weightages!$H$2:$I$7,2,1)</f>
        <v>0.15</v>
      </c>
      <c r="J51" s="4">
        <f>VLOOKUP("Sale",Weightages!$B$2:$C$7,2,0)*VLOOKUP(E51,Weightages!$K$2:$L$7,2,1)</f>
        <v>4.0000000000000008E-2</v>
      </c>
      <c r="K51" s="4">
        <f>VLOOKUP("Quality",Weightages!$B$2:$C$7,2,0)*VLOOKUP(F51,Weightages!$N$2:$O$7,2,1)</f>
        <v>0.16000000000000003</v>
      </c>
      <c r="L51" s="4">
        <f>VLOOKUP("Client Escalation",Weightages!$B$2:$C$7,2,0)*VLOOKUP(G51,Weightages!$Q$2:$R$7,2,1)</f>
        <v>0.15</v>
      </c>
      <c r="M51" s="5">
        <f t="shared" si="1"/>
        <v>0.57500000000000007</v>
      </c>
      <c r="N51" s="6" t="str">
        <f>VLOOKUP(B51,Weightages!$E$11:$F$13,2,1)</f>
        <v>Eligible</v>
      </c>
      <c r="O51" s="7">
        <f>IF(N51="Not Eligible",0,Weightages!$I$9*VLOOKUP(M51,Weightages!$H$11:$I$16,2,1))</f>
        <v>150</v>
      </c>
    </row>
    <row r="52" spans="1:15" x14ac:dyDescent="0.25">
      <c r="A52" s="3" t="s">
        <v>66</v>
      </c>
      <c r="B52" s="3">
        <v>1</v>
      </c>
      <c r="C52" s="3">
        <v>65</v>
      </c>
      <c r="D52" s="3">
        <v>268</v>
      </c>
      <c r="E52" s="3">
        <v>62</v>
      </c>
      <c r="F52" s="27">
        <v>44</v>
      </c>
      <c r="G52" s="3">
        <v>10</v>
      </c>
      <c r="H52" s="4">
        <f>VLOOKUP("Calls",Weightages!$B$2:$C$7,2,0)*VLOOKUP(C52,Weightages!$E$2:$F$7,2,1)</f>
        <v>0</v>
      </c>
      <c r="I52" s="4">
        <f>VLOOKUP("AHT",Weightages!$B$2:$C$7,2,0)*VLOOKUP(D52,Weightages!$H$2:$I$7,2,1)</f>
        <v>7.4999999999999997E-2</v>
      </c>
      <c r="J52" s="4">
        <f>VLOOKUP("Sale",Weightages!$B$2:$C$7,2,0)*VLOOKUP(E52,Weightages!$K$2:$L$7,2,1)</f>
        <v>4.0000000000000008E-2</v>
      </c>
      <c r="K52" s="4">
        <f>VLOOKUP("Quality",Weightages!$B$2:$C$7,2,0)*VLOOKUP(F52,Weightages!$N$2:$O$7,2,1)</f>
        <v>0</v>
      </c>
      <c r="L52" s="4">
        <f>VLOOKUP("Client Escalation",Weightages!$B$2:$C$7,2,0)*VLOOKUP(G52,Weightages!$Q$2:$R$7,2,1)</f>
        <v>0</v>
      </c>
      <c r="M52" s="5">
        <f t="shared" si="1"/>
        <v>0.115</v>
      </c>
      <c r="N52" s="6" t="str">
        <f>VLOOKUP(B52,Weightages!$E$11:$F$13,2,1)</f>
        <v>Eligible</v>
      </c>
      <c r="O52" s="7">
        <f>IF(N52="Not Eligible",0,Weightages!$I$9*VLOOKUP(M52,Weightages!$H$11:$I$16,2,1))</f>
        <v>0</v>
      </c>
    </row>
  </sheetData>
  <conditionalFormatting sqref="N3:N52">
    <cfRule type="cellIs" dxfId="0" priority="1" operator="equal">
      <formula>"Not Eligible"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R16"/>
  <sheetViews>
    <sheetView workbookViewId="0"/>
  </sheetViews>
  <sheetFormatPr defaultRowHeight="15" x14ac:dyDescent="0.25"/>
  <cols>
    <col min="1" max="1" width="3.7109375" customWidth="1"/>
    <col min="2" max="2" width="16.85546875" customWidth="1"/>
    <col min="3" max="3" width="11.28515625" customWidth="1"/>
    <col min="4" max="4" width="2" customWidth="1"/>
    <col min="5" max="5" width="14.140625" customWidth="1"/>
    <col min="6" max="6" width="12.7109375" customWidth="1"/>
    <col min="7" max="7" width="2.85546875" customWidth="1"/>
    <col min="8" max="8" width="14.85546875" customWidth="1"/>
    <col min="9" max="9" width="12.85546875" customWidth="1"/>
    <col min="10" max="10" width="2.28515625" customWidth="1"/>
    <col min="11" max="11" width="13" customWidth="1"/>
    <col min="12" max="12" width="12.5703125" customWidth="1"/>
    <col min="13" max="13" width="2.42578125" customWidth="1"/>
    <col min="14" max="14" width="13" customWidth="1"/>
    <col min="15" max="15" width="11.42578125" customWidth="1"/>
    <col min="16" max="16" width="2.7109375" customWidth="1"/>
    <col min="17" max="17" width="11.7109375" customWidth="1"/>
    <col min="18" max="18" width="10.42578125" customWidth="1"/>
  </cols>
  <sheetData>
    <row r="1" spans="2:18" ht="53.25" customHeight="1" thickBot="1" x14ac:dyDescent="0.3"/>
    <row r="2" spans="2:18" x14ac:dyDescent="0.25">
      <c r="B2" s="46" t="s">
        <v>6</v>
      </c>
      <c r="C2" s="47"/>
      <c r="D2" s="1"/>
      <c r="E2" s="46" t="s">
        <v>1</v>
      </c>
      <c r="F2" s="47"/>
      <c r="H2" s="46" t="s">
        <v>2</v>
      </c>
      <c r="I2" s="47"/>
      <c r="K2" s="46" t="s">
        <v>3</v>
      </c>
      <c r="L2" s="47"/>
      <c r="N2" s="46" t="s">
        <v>4</v>
      </c>
      <c r="O2" s="47"/>
      <c r="Q2" s="46" t="s">
        <v>5</v>
      </c>
      <c r="R2" s="47"/>
    </row>
    <row r="3" spans="2:18" x14ac:dyDescent="0.25">
      <c r="B3" s="8" t="s">
        <v>1</v>
      </c>
      <c r="C3" s="9">
        <v>0.15</v>
      </c>
      <c r="E3" s="8">
        <v>0</v>
      </c>
      <c r="F3" s="9">
        <v>0</v>
      </c>
      <c r="H3" s="8">
        <v>0</v>
      </c>
      <c r="I3" s="9">
        <v>1</v>
      </c>
      <c r="K3" s="8">
        <v>0</v>
      </c>
      <c r="L3" s="9">
        <v>0</v>
      </c>
      <c r="N3" s="12">
        <v>0</v>
      </c>
      <c r="O3" s="9">
        <v>0</v>
      </c>
      <c r="Q3" s="12">
        <v>0</v>
      </c>
      <c r="R3" s="9">
        <v>1</v>
      </c>
    </row>
    <row r="4" spans="2:18" x14ac:dyDescent="0.25">
      <c r="B4" s="8" t="s">
        <v>2</v>
      </c>
      <c r="C4" s="9">
        <v>0.15</v>
      </c>
      <c r="E4" s="8">
        <v>100</v>
      </c>
      <c r="F4" s="9">
        <v>0.2</v>
      </c>
      <c r="H4" s="8">
        <v>200</v>
      </c>
      <c r="I4" s="9">
        <v>0.8</v>
      </c>
      <c r="K4" s="8">
        <v>50</v>
      </c>
      <c r="L4" s="9">
        <v>0.2</v>
      </c>
      <c r="N4" s="12">
        <v>60</v>
      </c>
      <c r="O4" s="9">
        <v>0.2</v>
      </c>
      <c r="Q4" s="12">
        <v>1</v>
      </c>
      <c r="R4" s="9">
        <v>0.8</v>
      </c>
    </row>
    <row r="5" spans="2:18" x14ac:dyDescent="0.25">
      <c r="B5" s="8" t="s">
        <v>3</v>
      </c>
      <c r="C5" s="9">
        <v>0.2</v>
      </c>
      <c r="E5" s="8">
        <v>200</v>
      </c>
      <c r="F5" s="9">
        <v>0.5</v>
      </c>
      <c r="H5" s="8">
        <v>250</v>
      </c>
      <c r="I5" s="9">
        <v>0.5</v>
      </c>
      <c r="K5" s="8">
        <v>70</v>
      </c>
      <c r="L5" s="9">
        <v>0.5</v>
      </c>
      <c r="N5" s="12">
        <v>70</v>
      </c>
      <c r="O5" s="9">
        <v>0.5</v>
      </c>
      <c r="Q5" s="12">
        <v>2</v>
      </c>
      <c r="R5" s="9">
        <v>0.5</v>
      </c>
    </row>
    <row r="6" spans="2:18" x14ac:dyDescent="0.25">
      <c r="B6" s="8" t="s">
        <v>4</v>
      </c>
      <c r="C6" s="9">
        <v>0.2</v>
      </c>
      <c r="E6" s="8">
        <v>300</v>
      </c>
      <c r="F6" s="9">
        <v>0.8</v>
      </c>
      <c r="H6" s="8">
        <v>300</v>
      </c>
      <c r="I6" s="9">
        <v>0.2</v>
      </c>
      <c r="K6" s="8">
        <v>100</v>
      </c>
      <c r="L6" s="9">
        <v>0.8</v>
      </c>
      <c r="N6" s="12">
        <v>80</v>
      </c>
      <c r="O6" s="9">
        <v>0.8</v>
      </c>
      <c r="Q6" s="12">
        <v>3</v>
      </c>
      <c r="R6" s="9">
        <v>0.2</v>
      </c>
    </row>
    <row r="7" spans="2:18" ht="15.75" thickBot="1" x14ac:dyDescent="0.3">
      <c r="B7" s="10" t="s">
        <v>5</v>
      </c>
      <c r="C7" s="11">
        <v>0.3</v>
      </c>
      <c r="E7" s="10">
        <v>350</v>
      </c>
      <c r="F7" s="11">
        <v>1</v>
      </c>
      <c r="H7" s="10">
        <v>350</v>
      </c>
      <c r="I7" s="11">
        <v>0</v>
      </c>
      <c r="K7" s="10">
        <v>120</v>
      </c>
      <c r="L7" s="11">
        <v>1</v>
      </c>
      <c r="N7" s="13">
        <v>90</v>
      </c>
      <c r="O7" s="11">
        <v>1</v>
      </c>
      <c r="Q7" s="13">
        <v>4</v>
      </c>
      <c r="R7" s="11">
        <v>0</v>
      </c>
    </row>
    <row r="8" spans="2:18" ht="15.75" thickBot="1" x14ac:dyDescent="0.3"/>
    <row r="9" spans="2:18" ht="31.5" customHeight="1" thickBot="1" x14ac:dyDescent="0.3">
      <c r="H9" s="43" t="s">
        <v>72</v>
      </c>
      <c r="I9" s="2">
        <v>300</v>
      </c>
    </row>
    <row r="10" spans="2:18" ht="15.75" thickBot="1" x14ac:dyDescent="0.3"/>
    <row r="11" spans="2:18" x14ac:dyDescent="0.25">
      <c r="E11" s="46" t="s">
        <v>34</v>
      </c>
      <c r="F11" s="47"/>
      <c r="H11" s="46" t="s">
        <v>67</v>
      </c>
      <c r="I11" s="47"/>
    </row>
    <row r="12" spans="2:18" x14ac:dyDescent="0.25">
      <c r="E12" s="23">
        <v>0</v>
      </c>
      <c r="F12" s="24" t="s">
        <v>35</v>
      </c>
      <c r="H12" s="19">
        <v>0</v>
      </c>
      <c r="I12" s="20">
        <v>0</v>
      </c>
    </row>
    <row r="13" spans="2:18" ht="15.75" thickBot="1" x14ac:dyDescent="0.3">
      <c r="E13" s="25">
        <v>3</v>
      </c>
      <c r="F13" s="26" t="s">
        <v>36</v>
      </c>
      <c r="H13" s="19">
        <v>0.4</v>
      </c>
      <c r="I13" s="20">
        <v>0.2</v>
      </c>
    </row>
    <row r="14" spans="2:18" x14ac:dyDescent="0.25">
      <c r="H14" s="19">
        <v>0.5</v>
      </c>
      <c r="I14" s="20">
        <v>0.5</v>
      </c>
    </row>
    <row r="15" spans="2:18" x14ac:dyDescent="0.25">
      <c r="H15" s="19">
        <v>0.75</v>
      </c>
      <c r="I15" s="20">
        <v>0.8</v>
      </c>
    </row>
    <row r="16" spans="2:18" ht="15.75" thickBot="1" x14ac:dyDescent="0.3">
      <c r="H16" s="21">
        <v>0.95</v>
      </c>
      <c r="I16" s="22">
        <v>1</v>
      </c>
    </row>
  </sheetData>
  <mergeCells count="8">
    <mergeCell ref="H11:I11"/>
    <mergeCell ref="Q2:R2"/>
    <mergeCell ref="B2:C2"/>
    <mergeCell ref="E2:F2"/>
    <mergeCell ref="H2:I2"/>
    <mergeCell ref="K2:L2"/>
    <mergeCell ref="N2:O2"/>
    <mergeCell ref="E11:F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19"/>
  <sheetViews>
    <sheetView showGridLines="0" workbookViewId="0">
      <selection activeCell="D14" sqref="D14"/>
    </sheetView>
  </sheetViews>
  <sheetFormatPr defaultRowHeight="15" x14ac:dyDescent="0.25"/>
  <cols>
    <col min="1" max="1" width="31.7109375" bestFit="1" customWidth="1"/>
    <col min="2" max="2" width="9.85546875" bestFit="1" customWidth="1"/>
    <col min="3" max="3" width="9.85546875" customWidth="1"/>
    <col min="4" max="4" width="12.5703125" bestFit="1" customWidth="1"/>
    <col min="5" max="5" width="9.85546875" bestFit="1" customWidth="1"/>
    <col min="10" max="10" width="7.5703125" bestFit="1" customWidth="1"/>
    <col min="11" max="11" width="11.28515625" bestFit="1" customWidth="1"/>
    <col min="12" max="12" width="13.42578125" bestFit="1" customWidth="1"/>
  </cols>
  <sheetData>
    <row r="1" spans="1:14" x14ac:dyDescent="0.25">
      <c r="A1" s="28" t="s">
        <v>81</v>
      </c>
      <c r="B1" s="32">
        <f>SUM(Data!O:O)</f>
        <v>2310</v>
      </c>
      <c r="D1" s="16" t="str">
        <f>INDEX(A13:A17,B19)</f>
        <v>Quality</v>
      </c>
      <c r="E1" s="16" t="s">
        <v>68</v>
      </c>
      <c r="F1" s="16" t="s">
        <v>69</v>
      </c>
      <c r="H1" s="29" t="s">
        <v>70</v>
      </c>
      <c r="I1" s="29">
        <f>COUNTA(Data!A:A)-1</f>
        <v>50</v>
      </c>
      <c r="L1" s="29" t="s">
        <v>75</v>
      </c>
      <c r="M1" s="30">
        <f>I2/I1</f>
        <v>0.64</v>
      </c>
      <c r="N1" s="14">
        <v>1</v>
      </c>
    </row>
    <row r="2" spans="1:14" x14ac:dyDescent="0.25">
      <c r="A2" s="28" t="s">
        <v>73</v>
      </c>
      <c r="B2" s="33">
        <f>B1/I2</f>
        <v>72.1875</v>
      </c>
      <c r="D2" s="17">
        <f>INDEX(Weightages!$E$2:$R$7,2,MATCH(D1,Weightages!$E$2:$R$2,0))</f>
        <v>0</v>
      </c>
      <c r="E2" s="17">
        <f ca="1">COUNTIF(INDIRECT(VLOOKUP($D$1,$A$13:$B$17,2,0)),"&lt;="&amp;D2)</f>
        <v>0</v>
      </c>
      <c r="F2" s="18">
        <f ca="1">E2/$I$1</f>
        <v>0</v>
      </c>
      <c r="H2" s="29" t="s">
        <v>35</v>
      </c>
      <c r="I2" s="29">
        <f>COUNTIF(Data!N:N,Support!H2)</f>
        <v>32</v>
      </c>
      <c r="M2" s="31">
        <v>0.01</v>
      </c>
      <c r="N2" s="14">
        <v>0.5</v>
      </c>
    </row>
    <row r="3" spans="1:14" x14ac:dyDescent="0.25">
      <c r="A3" s="28" t="s">
        <v>74</v>
      </c>
      <c r="B3" s="33">
        <f>B1/I1</f>
        <v>46.2</v>
      </c>
      <c r="D3" s="17">
        <f>INDEX(Weightages!$E$2:$R$7,3,MATCH(D1,Weightages!$E$2:$R$2,0))</f>
        <v>60</v>
      </c>
      <c r="E3" s="17">
        <f t="shared" ref="E3:E7" ca="1" si="0">COUNTIF(INDIRECT(VLOOKUP($D$1,$A$13:$B$17,2,0)),"&lt;="&amp;D3)</f>
        <v>25</v>
      </c>
      <c r="F3" s="18">
        <f t="shared" ref="F3:F7" ca="1" si="1">E3/$I$1</f>
        <v>0.5</v>
      </c>
      <c r="J3" s="15"/>
      <c r="K3" s="14"/>
      <c r="M3" s="14">
        <f>150%-SUM(M1:M2)</f>
        <v>0.85</v>
      </c>
    </row>
    <row r="4" spans="1:14" x14ac:dyDescent="0.25">
      <c r="D4" s="17">
        <f>INDEX(Weightages!$E$2:$R$7,4,MATCH(D1,Weightages!$E$2:$R$2,0))</f>
        <v>70</v>
      </c>
      <c r="E4" s="17">
        <f t="shared" ca="1" si="0"/>
        <v>26</v>
      </c>
      <c r="F4" s="18">
        <f t="shared" ca="1" si="1"/>
        <v>0.52</v>
      </c>
      <c r="J4" s="15"/>
    </row>
    <row r="5" spans="1:14" x14ac:dyDescent="0.25">
      <c r="D5" s="17">
        <f>INDEX(Weightages!$E$2:$R$7,5,MATCH(D1,Weightages!$E$2:$R$2,0))</f>
        <v>80</v>
      </c>
      <c r="E5" s="17">
        <f t="shared" ca="1" si="0"/>
        <v>33</v>
      </c>
      <c r="F5" s="18">
        <f t="shared" ca="1" si="1"/>
        <v>0.66</v>
      </c>
    </row>
    <row r="6" spans="1:14" x14ac:dyDescent="0.25">
      <c r="D6" s="17">
        <f>INDEX(Weightages!$E$2:$R$7,6,MATCH(D1,Weightages!$E$2:$R$2,0))</f>
        <v>90</v>
      </c>
      <c r="E6" s="17">
        <f t="shared" ca="1" si="0"/>
        <v>42</v>
      </c>
      <c r="F6" s="18">
        <f t="shared" ca="1" si="1"/>
        <v>0.84</v>
      </c>
    </row>
    <row r="7" spans="1:14" x14ac:dyDescent="0.25">
      <c r="D7" s="17">
        <f ca="1">IF(MAX(INDIRECT(VLOOKUP($D$1,$A$13:$B$17,2,0)))&gt;D6,MAX(INDIRECT(VLOOKUP($D$1,$A$13:$B$17,2,0))),NA())</f>
        <v>98</v>
      </c>
      <c r="E7" s="17">
        <f t="shared" ca="1" si="0"/>
        <v>50</v>
      </c>
      <c r="F7" s="18">
        <f t="shared" ca="1" si="1"/>
        <v>1</v>
      </c>
    </row>
    <row r="13" spans="1:14" x14ac:dyDescent="0.25">
      <c r="A13" t="s">
        <v>1</v>
      </c>
      <c r="B13" t="s">
        <v>76</v>
      </c>
    </row>
    <row r="14" spans="1:14" x14ac:dyDescent="0.25">
      <c r="A14" t="s">
        <v>2</v>
      </c>
      <c r="B14" t="s">
        <v>77</v>
      </c>
    </row>
    <row r="15" spans="1:14" x14ac:dyDescent="0.25">
      <c r="A15" t="s">
        <v>3</v>
      </c>
      <c r="B15" t="s">
        <v>78</v>
      </c>
    </row>
    <row r="16" spans="1:14" x14ac:dyDescent="0.25">
      <c r="A16" t="s">
        <v>4</v>
      </c>
      <c r="B16" t="s">
        <v>79</v>
      </c>
    </row>
    <row r="17" spans="1:2" x14ac:dyDescent="0.25">
      <c r="A17" t="s">
        <v>5</v>
      </c>
      <c r="B17" t="s">
        <v>80</v>
      </c>
    </row>
    <row r="19" spans="1:2" x14ac:dyDescent="0.25">
      <c r="A19" t="str">
        <f>D1&amp; " Analysis"</f>
        <v>Quality Analysis</v>
      </c>
      <c r="B1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0EFA-9C7D-448E-9F6B-43839021C96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Summary</vt:lpstr>
      <vt:lpstr>Data</vt:lpstr>
      <vt:lpstr>Weightages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2017-12-20T06:18:21Z</dcterms:created>
  <dcterms:modified xsi:type="dcterms:W3CDTF">2022-10-21T09:48:25Z</dcterms:modified>
</cp:coreProperties>
</file>