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33B136E-0964-4791-AA8F-594AB4FFDA0D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Model" sheetId="5" r:id="rId1"/>
    <sheet name="Lists" sheetId="2" r:id="rId2"/>
    <sheet name="Data" sheetId="1" r:id="rId3"/>
    <sheet name="Calcs" sheetId="4" r:id="rId4"/>
    <sheet name="Check" sheetId="6" r:id="rId5"/>
    <sheet name="Summary" sheetId="3" r:id="rId6"/>
  </sheets>
  <definedNames>
    <definedName name="_xlnm._FilterDatabase" localSheetId="2" hidden="1">Data!$A$1:$V$109</definedName>
    <definedName name="_xlnm.Extract" localSheetId="2">Data!$W$1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D15" i="6"/>
  <c r="D16" i="6"/>
  <c r="D13" i="6"/>
  <c r="D33" i="6"/>
  <c r="D34" i="6"/>
  <c r="D35" i="6"/>
  <c r="D36" i="6"/>
  <c r="D3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2" i="1"/>
  <c r="D18" i="6" l="1"/>
  <c r="D38" i="6"/>
  <c r="B34" i="4"/>
  <c r="C34" i="4" s="1"/>
  <c r="D34" i="4" s="1"/>
  <c r="E34" i="4" s="1"/>
  <c r="F34" i="4" s="1"/>
  <c r="G34" i="4" s="1"/>
  <c r="H34" i="4" s="1"/>
  <c r="I34" i="4" s="1"/>
  <c r="J34" i="4" s="1"/>
  <c r="K14" i="4"/>
  <c r="K16" i="4"/>
  <c r="B21" i="4"/>
  <c r="B9" i="4"/>
  <c r="C9" i="4" s="1"/>
  <c r="D9" i="4" s="1"/>
  <c r="E9" i="4" s="1"/>
  <c r="F9" i="4" s="1"/>
  <c r="G9" i="4" s="1"/>
  <c r="H9" i="4" s="1"/>
  <c r="I9" i="4" s="1"/>
  <c r="J9" i="4" s="1"/>
  <c r="B1" i="4"/>
  <c r="E7" i="5"/>
  <c r="E6" i="5"/>
  <c r="E5" i="5"/>
  <c r="E4" i="5"/>
  <c r="E3" i="5"/>
  <c r="E2" i="5"/>
  <c r="C1" i="4" l="1"/>
  <c r="O37" i="3"/>
  <c r="C19" i="3"/>
  <c r="O19" i="3"/>
  <c r="B17" i="4"/>
  <c r="C21" i="4"/>
  <c r="C37" i="3"/>
  <c r="D1" i="4"/>
  <c r="T21" i="1"/>
  <c r="H45" i="1"/>
  <c r="H44" i="1"/>
  <c r="H43" i="1"/>
  <c r="H42" i="1"/>
  <c r="H41" i="1"/>
  <c r="H40" i="1"/>
  <c r="H39" i="1"/>
  <c r="H38" i="1"/>
  <c r="H37" i="1"/>
  <c r="H36" i="1"/>
  <c r="H35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E1" i="4" l="1"/>
  <c r="E19" i="3"/>
  <c r="Q19" i="3"/>
  <c r="Q37" i="3"/>
  <c r="D17" i="4"/>
  <c r="P37" i="3"/>
  <c r="P19" i="3"/>
  <c r="D19" i="3"/>
  <c r="C17" i="4"/>
  <c r="D21" i="4"/>
  <c r="D37" i="3"/>
  <c r="B60" i="4"/>
  <c r="B61" i="4"/>
  <c r="E60" i="4"/>
  <c r="C60" i="4"/>
  <c r="E63" i="4"/>
  <c r="C63" i="4"/>
  <c r="F62" i="4"/>
  <c r="D62" i="4"/>
  <c r="B62" i="4"/>
  <c r="E61" i="4"/>
  <c r="C61" i="4"/>
  <c r="F60" i="4"/>
  <c r="D60" i="4"/>
  <c r="F63" i="4"/>
  <c r="D63" i="4"/>
  <c r="B63" i="4"/>
  <c r="E62" i="4"/>
  <c r="C62" i="4"/>
  <c r="F61" i="4"/>
  <c r="D61" i="4"/>
  <c r="U106" i="1"/>
  <c r="U99" i="1"/>
  <c r="U98" i="1"/>
  <c r="U88" i="1"/>
  <c r="B13" i="4"/>
  <c r="C13" i="4"/>
  <c r="P23" i="3" s="1"/>
  <c r="D13" i="4"/>
  <c r="Q23" i="3" s="1"/>
  <c r="U109" i="1"/>
  <c r="T109" i="1"/>
  <c r="U108" i="1"/>
  <c r="T108" i="1"/>
  <c r="U107" i="1"/>
  <c r="T107" i="1"/>
  <c r="V107" i="1" s="1"/>
  <c r="U105" i="1"/>
  <c r="T105" i="1"/>
  <c r="U104" i="1"/>
  <c r="T104" i="1"/>
  <c r="T2" i="1"/>
  <c r="U2" i="1"/>
  <c r="T3" i="1"/>
  <c r="U3" i="1"/>
  <c r="T4" i="1"/>
  <c r="U4" i="1"/>
  <c r="T5" i="1"/>
  <c r="U5" i="1"/>
  <c r="T6" i="1"/>
  <c r="U6" i="1"/>
  <c r="U7" i="1"/>
  <c r="T8" i="1"/>
  <c r="V8" i="1" s="1"/>
  <c r="D22" i="6" s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U21" i="1"/>
  <c r="T22" i="1"/>
  <c r="V22" i="1" s="1"/>
  <c r="U22" i="1"/>
  <c r="T23" i="1"/>
  <c r="U23" i="1"/>
  <c r="V23" i="1"/>
  <c r="T24" i="1"/>
  <c r="V24" i="1" s="1"/>
  <c r="U24" i="1"/>
  <c r="T25" i="1"/>
  <c r="U25" i="1"/>
  <c r="T26" i="1"/>
  <c r="V26" i="1" s="1"/>
  <c r="U26" i="1"/>
  <c r="T27" i="1"/>
  <c r="V27" i="1" s="1"/>
  <c r="U27" i="1"/>
  <c r="T28" i="1"/>
  <c r="V28" i="1" s="1"/>
  <c r="U28" i="1"/>
  <c r="T29" i="1"/>
  <c r="U29" i="1"/>
  <c r="T30" i="1"/>
  <c r="U30" i="1"/>
  <c r="T31" i="1"/>
  <c r="U31" i="1"/>
  <c r="T32" i="1"/>
  <c r="U32" i="1"/>
  <c r="T33" i="1"/>
  <c r="U33" i="1"/>
  <c r="T46" i="1"/>
  <c r="U46" i="1"/>
  <c r="T47" i="1"/>
  <c r="V47" i="1" s="1"/>
  <c r="U47" i="1"/>
  <c r="T48" i="1"/>
  <c r="V48" i="1" s="1"/>
  <c r="U48" i="1"/>
  <c r="T49" i="1"/>
  <c r="U49" i="1"/>
  <c r="T50" i="1"/>
  <c r="U50" i="1"/>
  <c r="T51" i="1"/>
  <c r="U51" i="1"/>
  <c r="U52" i="1"/>
  <c r="T53" i="1"/>
  <c r="U53" i="1"/>
  <c r="T54" i="1"/>
  <c r="U54" i="1"/>
  <c r="T55" i="1"/>
  <c r="V55" i="1" s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U70" i="1"/>
  <c r="T71" i="1"/>
  <c r="U71" i="1"/>
  <c r="T72" i="1"/>
  <c r="U72" i="1"/>
  <c r="T73" i="1"/>
  <c r="U73" i="1"/>
  <c r="T74" i="1"/>
  <c r="V74" i="1" s="1"/>
  <c r="U74" i="1"/>
  <c r="T75" i="1"/>
  <c r="U75" i="1"/>
  <c r="T76" i="1"/>
  <c r="U76" i="1"/>
  <c r="T77" i="1"/>
  <c r="U77" i="1"/>
  <c r="T78" i="1"/>
  <c r="U78" i="1"/>
  <c r="T79" i="1"/>
  <c r="U79" i="1"/>
  <c r="U80" i="1"/>
  <c r="U81" i="1"/>
  <c r="T82" i="1"/>
  <c r="U82" i="1"/>
  <c r="T83" i="1"/>
  <c r="U83" i="1"/>
  <c r="T84" i="1"/>
  <c r="U84" i="1"/>
  <c r="T85" i="1"/>
  <c r="U85" i="1"/>
  <c r="T86" i="1"/>
  <c r="U86" i="1"/>
  <c r="F1" i="4" l="1"/>
  <c r="R19" i="3"/>
  <c r="F19" i="3"/>
  <c r="R37" i="3"/>
  <c r="E17" i="4"/>
  <c r="E13" i="4"/>
  <c r="R23" i="3" s="1"/>
  <c r="E21" i="4"/>
  <c r="E37" i="3"/>
  <c r="D35" i="4"/>
  <c r="C35" i="4"/>
  <c r="O23" i="3"/>
  <c r="B74" i="4"/>
  <c r="B76" i="4"/>
  <c r="B78" i="4"/>
  <c r="B75" i="4"/>
  <c r="B77" i="4"/>
  <c r="C74" i="4"/>
  <c r="C75" i="4"/>
  <c r="C76" i="4"/>
  <c r="C77" i="4"/>
  <c r="C78" i="4"/>
  <c r="D74" i="4"/>
  <c r="D75" i="4"/>
  <c r="D76" i="4"/>
  <c r="D77" i="4"/>
  <c r="D78" i="4"/>
  <c r="G63" i="4"/>
  <c r="B70" i="4" s="1"/>
  <c r="G61" i="4"/>
  <c r="D68" i="4" s="1"/>
  <c r="G62" i="4"/>
  <c r="C69" i="4" s="1"/>
  <c r="E38" i="4"/>
  <c r="R41" i="3" s="1"/>
  <c r="C38" i="4"/>
  <c r="P41" i="3" s="1"/>
  <c r="F38" i="4"/>
  <c r="S41" i="3" s="1"/>
  <c r="D38" i="4"/>
  <c r="Q41" i="3" s="1"/>
  <c r="B38" i="4"/>
  <c r="C10" i="4"/>
  <c r="B12" i="4"/>
  <c r="G49" i="2"/>
  <c r="G46" i="2"/>
  <c r="G47" i="2"/>
  <c r="G48" i="2"/>
  <c r="G23" i="2"/>
  <c r="G24" i="2"/>
  <c r="G25" i="2"/>
  <c r="G16" i="2"/>
  <c r="F12" i="4"/>
  <c r="S22" i="3" s="1"/>
  <c r="E12" i="4"/>
  <c r="R22" i="3" s="1"/>
  <c r="D12" i="4"/>
  <c r="Q22" i="3" s="1"/>
  <c r="C12" i="4"/>
  <c r="P22" i="3" s="1"/>
  <c r="F11" i="4"/>
  <c r="S21" i="3" s="1"/>
  <c r="E11" i="4"/>
  <c r="R21" i="3" s="1"/>
  <c r="D11" i="4"/>
  <c r="Q21" i="3" s="1"/>
  <c r="C11" i="4"/>
  <c r="P21" i="3" s="1"/>
  <c r="B11" i="4"/>
  <c r="F10" i="4"/>
  <c r="E10" i="4"/>
  <c r="R20" i="3" s="1"/>
  <c r="D10" i="4"/>
  <c r="Q20" i="3" s="1"/>
  <c r="B10" i="4"/>
  <c r="K6" i="4"/>
  <c r="G1" i="4" l="1"/>
  <c r="S19" i="3"/>
  <c r="G19" i="3"/>
  <c r="S37" i="3"/>
  <c r="F17" i="4"/>
  <c r="F13" i="4"/>
  <c r="S23" i="3" s="1"/>
  <c r="F21" i="4"/>
  <c r="F37" i="3"/>
  <c r="O22" i="3"/>
  <c r="O41" i="3"/>
  <c r="O20" i="3"/>
  <c r="O21" i="3"/>
  <c r="E70" i="4"/>
  <c r="F69" i="4"/>
  <c r="B69" i="4"/>
  <c r="E69" i="4"/>
  <c r="D69" i="4"/>
  <c r="C68" i="4"/>
  <c r="D70" i="4"/>
  <c r="F68" i="4"/>
  <c r="B68" i="4"/>
  <c r="C70" i="4"/>
  <c r="E68" i="4"/>
  <c r="F70" i="4"/>
  <c r="P20" i="3"/>
  <c r="C15" i="4"/>
  <c r="C18" i="4" s="1"/>
  <c r="S20" i="3"/>
  <c r="E15" i="4"/>
  <c r="E18" i="4" s="1"/>
  <c r="D15" i="4"/>
  <c r="D18" i="4" s="1"/>
  <c r="B15" i="4"/>
  <c r="B18" i="4" s="1"/>
  <c r="R24" i="3"/>
  <c r="F15" i="4" l="1"/>
  <c r="F18" i="4"/>
  <c r="H1" i="4"/>
  <c r="T37" i="3"/>
  <c r="H19" i="3"/>
  <c r="T19" i="3"/>
  <c r="G17" i="4"/>
  <c r="G13" i="4"/>
  <c r="T23" i="3" s="1"/>
  <c r="G10" i="4"/>
  <c r="G38" i="4"/>
  <c r="G11" i="4"/>
  <c r="G12" i="4"/>
  <c r="G21" i="4"/>
  <c r="G37" i="3"/>
  <c r="G69" i="4"/>
  <c r="G70" i="4"/>
  <c r="G68" i="4"/>
  <c r="S24" i="3"/>
  <c r="P24" i="3"/>
  <c r="O24" i="3"/>
  <c r="Q24" i="3"/>
  <c r="T21" i="3" l="1"/>
  <c r="T41" i="3"/>
  <c r="H21" i="4"/>
  <c r="H37" i="3"/>
  <c r="T20" i="3"/>
  <c r="T24" i="3" s="1"/>
  <c r="G15" i="4"/>
  <c r="G18" i="4"/>
  <c r="I1" i="4"/>
  <c r="I19" i="3"/>
  <c r="U37" i="3"/>
  <c r="U19" i="3"/>
  <c r="H17" i="4"/>
  <c r="H13" i="4"/>
  <c r="H38" i="4"/>
  <c r="U41" i="3" s="1"/>
  <c r="H11" i="4"/>
  <c r="U21" i="3" s="1"/>
  <c r="H12" i="4"/>
  <c r="U22" i="3" s="1"/>
  <c r="H10" i="4"/>
  <c r="T22" i="3"/>
  <c r="F39" i="4"/>
  <c r="S42" i="3" s="1"/>
  <c r="B39" i="4"/>
  <c r="G37" i="4"/>
  <c r="T40" i="3" s="1"/>
  <c r="C37" i="4"/>
  <c r="P40" i="3" s="1"/>
  <c r="H36" i="4"/>
  <c r="U39" i="3" s="1"/>
  <c r="D36" i="4"/>
  <c r="Q39" i="3" s="1"/>
  <c r="E35" i="4"/>
  <c r="E39" i="4"/>
  <c r="R42" i="3" s="1"/>
  <c r="F37" i="4"/>
  <c r="S40" i="3" s="1"/>
  <c r="B37" i="4"/>
  <c r="G36" i="4"/>
  <c r="T39" i="3" s="1"/>
  <c r="C36" i="4"/>
  <c r="P39" i="3" s="1"/>
  <c r="H35" i="4"/>
  <c r="H39" i="4"/>
  <c r="U42" i="3" s="1"/>
  <c r="D39" i="4"/>
  <c r="Q42" i="3" s="1"/>
  <c r="E37" i="4"/>
  <c r="R40" i="3" s="1"/>
  <c r="F36" i="4"/>
  <c r="S39" i="3" s="1"/>
  <c r="B36" i="4"/>
  <c r="G35" i="4"/>
  <c r="G39" i="4"/>
  <c r="T42" i="3" s="1"/>
  <c r="C39" i="4"/>
  <c r="P42" i="3" s="1"/>
  <c r="H37" i="4"/>
  <c r="U40" i="3" s="1"/>
  <c r="D37" i="4"/>
  <c r="Q40" i="3" s="1"/>
  <c r="I36" i="4"/>
  <c r="V39" i="3" s="1"/>
  <c r="E36" i="4"/>
  <c r="R39" i="3" s="1"/>
  <c r="F35" i="4"/>
  <c r="B35" i="4"/>
  <c r="H18" i="4" l="1"/>
  <c r="J1" i="4"/>
  <c r="V19" i="3"/>
  <c r="J19" i="3"/>
  <c r="V37" i="3"/>
  <c r="I17" i="4"/>
  <c r="I13" i="4"/>
  <c r="V23" i="3" s="1"/>
  <c r="I38" i="4"/>
  <c r="V41" i="3" s="1"/>
  <c r="I12" i="4"/>
  <c r="V22" i="3" s="1"/>
  <c r="I11" i="4"/>
  <c r="V21" i="3" s="1"/>
  <c r="I10" i="4"/>
  <c r="I37" i="4"/>
  <c r="V40" i="3" s="1"/>
  <c r="I35" i="4"/>
  <c r="V38" i="3" s="1"/>
  <c r="I21" i="4"/>
  <c r="I37" i="3"/>
  <c r="I39" i="4"/>
  <c r="V42" i="3" s="1"/>
  <c r="H15" i="4"/>
  <c r="U20" i="3"/>
  <c r="U23" i="3"/>
  <c r="C41" i="4"/>
  <c r="O40" i="3"/>
  <c r="O42" i="3"/>
  <c r="O39" i="3"/>
  <c r="O38" i="3"/>
  <c r="B41" i="4"/>
  <c r="S38" i="3"/>
  <c r="F41" i="4"/>
  <c r="P38" i="3"/>
  <c r="G41" i="4"/>
  <c r="T38" i="3"/>
  <c r="T43" i="3" s="1"/>
  <c r="D41" i="4"/>
  <c r="Q38" i="3"/>
  <c r="Q43" i="3" s="1"/>
  <c r="U38" i="3"/>
  <c r="H41" i="4"/>
  <c r="E41" i="4"/>
  <c r="R38" i="3"/>
  <c r="R43" i="3" s="1"/>
  <c r="I18" i="4" l="1"/>
  <c r="K17" i="4"/>
  <c r="J21" i="4"/>
  <c r="K37" i="3" s="1"/>
  <c r="J37" i="3"/>
  <c r="K11" i="4"/>
  <c r="I15" i="4"/>
  <c r="V20" i="3"/>
  <c r="V24" i="3" s="1"/>
  <c r="W37" i="3"/>
  <c r="W19" i="3"/>
  <c r="K19" i="3"/>
  <c r="J17" i="4"/>
  <c r="J13" i="4"/>
  <c r="J12" i="4"/>
  <c r="J11" i="4"/>
  <c r="J38" i="4"/>
  <c r="J10" i="4"/>
  <c r="J36" i="4"/>
  <c r="J37" i="4"/>
  <c r="J35" i="4"/>
  <c r="J39" i="4"/>
  <c r="I41" i="4"/>
  <c r="U24" i="3"/>
  <c r="K10" i="4"/>
  <c r="U43" i="3"/>
  <c r="P43" i="3"/>
  <c r="S43" i="3"/>
  <c r="V43" i="3"/>
  <c r="O43" i="3"/>
  <c r="G30" i="2"/>
  <c r="G7" i="2"/>
  <c r="G17" i="2"/>
  <c r="G18" i="2"/>
  <c r="G19" i="2"/>
  <c r="G20" i="2"/>
  <c r="G21" i="2"/>
  <c r="G22" i="2"/>
  <c r="G43" i="2"/>
  <c r="G44" i="2"/>
  <c r="G45" i="2"/>
  <c r="G35" i="2"/>
  <c r="G36" i="2"/>
  <c r="G37" i="2"/>
  <c r="G38" i="2"/>
  <c r="G39" i="2"/>
  <c r="G40" i="2"/>
  <c r="G41" i="2"/>
  <c r="G42" i="2"/>
  <c r="G26" i="2"/>
  <c r="G27" i="2"/>
  <c r="G28" i="2"/>
  <c r="G29" i="2"/>
  <c r="G31" i="2"/>
  <c r="G32" i="2"/>
  <c r="G15" i="2"/>
  <c r="G14" i="2"/>
  <c r="G13" i="2"/>
  <c r="G12" i="2"/>
  <c r="G8" i="2"/>
  <c r="G9" i="2"/>
  <c r="G10" i="2"/>
  <c r="G11" i="2"/>
  <c r="G3" i="2"/>
  <c r="G4" i="2"/>
  <c r="G5" i="2"/>
  <c r="G6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W39" i="3" l="1"/>
  <c r="C33" i="6"/>
  <c r="K36" i="4"/>
  <c r="C32" i="6"/>
  <c r="K35" i="4"/>
  <c r="W38" i="3"/>
  <c r="J41" i="4"/>
  <c r="W41" i="3"/>
  <c r="C35" i="6"/>
  <c r="K38" i="4"/>
  <c r="J18" i="4"/>
  <c r="W40" i="3"/>
  <c r="C34" i="6"/>
  <c r="K37" i="4"/>
  <c r="W21" i="3"/>
  <c r="C14" i="6"/>
  <c r="W22" i="3"/>
  <c r="C15" i="6"/>
  <c r="K12" i="4"/>
  <c r="W42" i="3"/>
  <c r="C36" i="6"/>
  <c r="C13" i="6"/>
  <c r="W20" i="3"/>
  <c r="J15" i="4"/>
  <c r="K15" i="4" s="1"/>
  <c r="K18" i="4" s="1"/>
  <c r="W23" i="3"/>
  <c r="C16" i="6"/>
  <c r="K13" i="4"/>
  <c r="K39" i="4"/>
  <c r="V36" i="1"/>
  <c r="V44" i="1"/>
  <c r="V42" i="1"/>
  <c r="V40" i="1"/>
  <c r="V38" i="1"/>
  <c r="V45" i="1"/>
  <c r="V41" i="1"/>
  <c r="V37" i="1"/>
  <c r="V35" i="1"/>
  <c r="V43" i="1"/>
  <c r="V39" i="1"/>
  <c r="V34" i="1"/>
  <c r="V7" i="1"/>
  <c r="V21" i="1"/>
  <c r="V80" i="1"/>
  <c r="V10" i="1"/>
  <c r="V14" i="1"/>
  <c r="V17" i="1"/>
  <c r="V58" i="1"/>
  <c r="V66" i="1"/>
  <c r="V106" i="1"/>
  <c r="V52" i="1"/>
  <c r="V4" i="1"/>
  <c r="V63" i="1"/>
  <c r="V79" i="1"/>
  <c r="V51" i="1"/>
  <c r="V62" i="1"/>
  <c r="V59" i="1"/>
  <c r="V67" i="1"/>
  <c r="V70" i="1"/>
  <c r="V81" i="1"/>
  <c r="V3" i="1"/>
  <c r="V9" i="1"/>
  <c r="V13" i="1"/>
  <c r="V54" i="1"/>
  <c r="V73" i="1"/>
  <c r="V76" i="1"/>
  <c r="V72" i="1"/>
  <c r="V25" i="1"/>
  <c r="D24" i="6" s="1"/>
  <c r="V5" i="1"/>
  <c r="V11" i="1"/>
  <c r="V71" i="1"/>
  <c r="V56" i="1"/>
  <c r="V6" i="1"/>
  <c r="V78" i="1"/>
  <c r="V83" i="1"/>
  <c r="V104" i="1"/>
  <c r="D6" i="6" s="1"/>
  <c r="V18" i="1"/>
  <c r="V49" i="1"/>
  <c r="V85" i="1"/>
  <c r="V20" i="1"/>
  <c r="V16" i="1"/>
  <c r="V65" i="1"/>
  <c r="V53" i="1"/>
  <c r="V12" i="1"/>
  <c r="V68" i="1"/>
  <c r="V50" i="1"/>
  <c r="V2" i="1"/>
  <c r="V108" i="1"/>
  <c r="V32" i="1"/>
  <c r="V31" i="1"/>
  <c r="V109" i="1"/>
  <c r="V84" i="1"/>
  <c r="V57" i="1"/>
  <c r="V19" i="1"/>
  <c r="V69" i="1"/>
  <c r="V64" i="1"/>
  <c r="V33" i="1"/>
  <c r="V105" i="1"/>
  <c r="V82" i="1"/>
  <c r="V30" i="1"/>
  <c r="V86" i="1"/>
  <c r="B3" i="4" s="1"/>
  <c r="C21" i="3" s="1"/>
  <c r="V61" i="1"/>
  <c r="V46" i="1"/>
  <c r="V15" i="1"/>
  <c r="V60" i="1"/>
  <c r="V29" i="1"/>
  <c r="V75" i="1"/>
  <c r="V77" i="1"/>
  <c r="G26" i="4"/>
  <c r="H42" i="3" s="1"/>
  <c r="W43" i="3" l="1"/>
  <c r="W24" i="3"/>
  <c r="C18" i="6"/>
  <c r="F18" i="6" s="1"/>
  <c r="C38" i="6"/>
  <c r="F38" i="6" s="1"/>
  <c r="D26" i="6"/>
  <c r="D5" i="6"/>
  <c r="D25" i="6"/>
  <c r="D23" i="6"/>
  <c r="D28" i="6" s="1"/>
  <c r="D2" i="4"/>
  <c r="D3" i="6"/>
  <c r="I2" i="4"/>
  <c r="J20" i="3" s="1"/>
  <c r="D4" i="6"/>
  <c r="E26" i="4"/>
  <c r="F42" i="3" s="1"/>
  <c r="C26" i="4"/>
  <c r="D42" i="3" s="1"/>
  <c r="I4" i="4"/>
  <c r="J22" i="3" s="1"/>
  <c r="C4" i="4"/>
  <c r="D22" i="3" s="1"/>
  <c r="F23" i="4"/>
  <c r="G39" i="3" s="1"/>
  <c r="H23" i="4"/>
  <c r="I39" i="3" s="1"/>
  <c r="J26" i="4"/>
  <c r="G4" i="4"/>
  <c r="H22" i="3" s="1"/>
  <c r="J2" i="4"/>
  <c r="G3" i="4"/>
  <c r="H21" i="3" s="1"/>
  <c r="D26" i="4"/>
  <c r="E42" i="3" s="1"/>
  <c r="H4" i="4"/>
  <c r="I22" i="3" s="1"/>
  <c r="B22" i="4"/>
  <c r="C38" i="3" s="1"/>
  <c r="E2" i="4"/>
  <c r="F20" i="3" s="1"/>
  <c r="G23" i="4"/>
  <c r="H39" i="3" s="1"/>
  <c r="I23" i="4"/>
  <c r="J39" i="3" s="1"/>
  <c r="C22" i="4"/>
  <c r="D38" i="3" s="1"/>
  <c r="J23" i="4"/>
  <c r="H26" i="4"/>
  <c r="I42" i="3" s="1"/>
  <c r="E3" i="4"/>
  <c r="F21" i="3" s="1"/>
  <c r="D22" i="4"/>
  <c r="B24" i="4"/>
  <c r="C40" i="3" s="1"/>
  <c r="I26" i="4"/>
  <c r="J42" i="3" s="1"/>
  <c r="F3" i="4"/>
  <c r="G21" i="3" s="1"/>
  <c r="E22" i="4"/>
  <c r="C24" i="4"/>
  <c r="E20" i="3"/>
  <c r="B4" i="4"/>
  <c r="C22" i="3" s="1"/>
  <c r="F22" i="4"/>
  <c r="D24" i="4"/>
  <c r="E40" i="3" s="1"/>
  <c r="D3" i="4"/>
  <c r="E21" i="3" s="1"/>
  <c r="H3" i="4"/>
  <c r="I21" i="3" s="1"/>
  <c r="G22" i="4"/>
  <c r="H38" i="3" s="1"/>
  <c r="E24" i="4"/>
  <c r="F40" i="3" s="1"/>
  <c r="B2" i="4"/>
  <c r="C20" i="3" s="1"/>
  <c r="I3" i="4"/>
  <c r="J21" i="3" s="1"/>
  <c r="H22" i="4"/>
  <c r="F24" i="4"/>
  <c r="G40" i="3" s="1"/>
  <c r="C2" i="4"/>
  <c r="D20" i="3" s="1"/>
  <c r="J3" i="4"/>
  <c r="I22" i="4"/>
  <c r="J38" i="3" s="1"/>
  <c r="G24" i="4"/>
  <c r="H40" i="3" s="1"/>
  <c r="H2" i="4"/>
  <c r="I20" i="3" s="1"/>
  <c r="F4" i="4"/>
  <c r="G22" i="3" s="1"/>
  <c r="J22" i="4"/>
  <c r="C22" i="6" s="1"/>
  <c r="H24" i="4"/>
  <c r="I40" i="3" s="1"/>
  <c r="B25" i="4"/>
  <c r="D25" i="4"/>
  <c r="E41" i="3" s="1"/>
  <c r="E25" i="4"/>
  <c r="F41" i="3" s="1"/>
  <c r="J5" i="4"/>
  <c r="B5" i="4"/>
  <c r="H30" i="4"/>
  <c r="C30" i="4"/>
  <c r="E5" i="4"/>
  <c r="F23" i="3" s="1"/>
  <c r="G30" i="4"/>
  <c r="J25" i="4"/>
  <c r="C25" i="4"/>
  <c r="H5" i="4"/>
  <c r="I23" i="3" s="1"/>
  <c r="I5" i="4"/>
  <c r="J23" i="3" s="1"/>
  <c r="E30" i="4"/>
  <c r="I30" i="4"/>
  <c r="B30" i="4"/>
  <c r="F25" i="4"/>
  <c r="G41" i="3" s="1"/>
  <c r="D5" i="4"/>
  <c r="E23" i="3" s="1"/>
  <c r="H25" i="4"/>
  <c r="I41" i="3" s="1"/>
  <c r="I25" i="4"/>
  <c r="J41" i="3" s="1"/>
  <c r="C5" i="4"/>
  <c r="D23" i="3" s="1"/>
  <c r="F5" i="4"/>
  <c r="G23" i="3" s="1"/>
  <c r="G5" i="4"/>
  <c r="H23" i="3" s="1"/>
  <c r="F30" i="4"/>
  <c r="J30" i="4"/>
  <c r="G25" i="4"/>
  <c r="H41" i="3" s="1"/>
  <c r="D30" i="4"/>
  <c r="B26" i="4"/>
  <c r="C42" i="3" s="1"/>
  <c r="B23" i="4"/>
  <c r="C39" i="3" s="1"/>
  <c r="I24" i="4"/>
  <c r="J40" i="3" s="1"/>
  <c r="F2" i="4"/>
  <c r="G20" i="3" s="1"/>
  <c r="D4" i="4"/>
  <c r="E22" i="3" s="1"/>
  <c r="C23" i="4"/>
  <c r="D39" i="3" s="1"/>
  <c r="J24" i="4"/>
  <c r="G2" i="4"/>
  <c r="H20" i="3" s="1"/>
  <c r="E4" i="4"/>
  <c r="F22" i="3" s="1"/>
  <c r="D23" i="4"/>
  <c r="E39" i="3" s="1"/>
  <c r="F26" i="4"/>
  <c r="G42" i="3" s="1"/>
  <c r="C3" i="4"/>
  <c r="D21" i="3" s="1"/>
  <c r="J4" i="4"/>
  <c r="E23" i="4"/>
  <c r="F39" i="3" s="1"/>
  <c r="K38" i="3"/>
  <c r="E38" i="3"/>
  <c r="B54" i="4"/>
  <c r="I38" i="3"/>
  <c r="G38" i="3"/>
  <c r="B56" i="4" l="1"/>
  <c r="K42" i="3"/>
  <c r="C26" i="6"/>
  <c r="K22" i="3"/>
  <c r="C5" i="6"/>
  <c r="D8" i="6"/>
  <c r="K40" i="3"/>
  <c r="C24" i="6"/>
  <c r="K21" i="3"/>
  <c r="C4" i="6"/>
  <c r="K23" i="3"/>
  <c r="K24" i="3" s="1"/>
  <c r="C6" i="6"/>
  <c r="K39" i="3"/>
  <c r="C23" i="6"/>
  <c r="K41" i="3"/>
  <c r="C25" i="6"/>
  <c r="K20" i="3"/>
  <c r="C3" i="6"/>
  <c r="B53" i="4"/>
  <c r="G24" i="3"/>
  <c r="C28" i="4"/>
  <c r="C31" i="4" s="1"/>
  <c r="B52" i="4"/>
  <c r="D40" i="3"/>
  <c r="K22" i="4"/>
  <c r="C52" i="4" s="1"/>
  <c r="H24" i="3"/>
  <c r="J24" i="3"/>
  <c r="F38" i="3"/>
  <c r="F43" i="3" s="1"/>
  <c r="J28" i="4"/>
  <c r="J31" i="4" s="1"/>
  <c r="E24" i="3"/>
  <c r="I24" i="3"/>
  <c r="K3" i="4"/>
  <c r="B46" i="4" s="1"/>
  <c r="K4" i="4"/>
  <c r="B47" i="4" s="1"/>
  <c r="E28" i="4"/>
  <c r="E31" i="4" s="1"/>
  <c r="H28" i="4"/>
  <c r="H31" i="4" s="1"/>
  <c r="B28" i="4"/>
  <c r="B31" i="4" s="1"/>
  <c r="H7" i="4"/>
  <c r="D24" i="3"/>
  <c r="K23" i="4"/>
  <c r="C53" i="4" s="1"/>
  <c r="K2" i="4"/>
  <c r="G7" i="4"/>
  <c r="L42" i="3"/>
  <c r="L22" i="3"/>
  <c r="F24" i="3"/>
  <c r="D7" i="4"/>
  <c r="C7" i="4"/>
  <c r="B7" i="4"/>
  <c r="D28" i="4"/>
  <c r="D31" i="4" s="1"/>
  <c r="L21" i="3"/>
  <c r="I7" i="4"/>
  <c r="C23" i="3"/>
  <c r="L23" i="3" s="1"/>
  <c r="K5" i="4"/>
  <c r="B48" i="4" s="1"/>
  <c r="C41" i="3"/>
  <c r="C43" i="3" s="1"/>
  <c r="K25" i="4"/>
  <c r="C55" i="4" s="1"/>
  <c r="K24" i="4"/>
  <c r="C54" i="4" s="1"/>
  <c r="F28" i="4"/>
  <c r="F31" i="4" s="1"/>
  <c r="E43" i="3"/>
  <c r="J7" i="4"/>
  <c r="E7" i="4"/>
  <c r="K26" i="4"/>
  <c r="C56" i="4" s="1"/>
  <c r="G43" i="3"/>
  <c r="I28" i="4"/>
  <c r="I31" i="4" s="1"/>
  <c r="G28" i="4"/>
  <c r="G31" i="4" s="1"/>
  <c r="F7" i="4"/>
  <c r="B55" i="4"/>
  <c r="D41" i="3"/>
  <c r="J43" i="3"/>
  <c r="I43" i="3"/>
  <c r="H43" i="3"/>
  <c r="L39" i="3"/>
  <c r="L20" i="3"/>
  <c r="C28" i="6" l="1"/>
  <c r="F28" i="6" s="1"/>
  <c r="K43" i="3"/>
  <c r="L40" i="3"/>
  <c r="D43" i="3"/>
  <c r="B45" i="4"/>
  <c r="C8" i="6"/>
  <c r="L38" i="3"/>
  <c r="C24" i="3"/>
  <c r="L24" i="3"/>
  <c r="K7" i="4"/>
  <c r="K28" i="4"/>
  <c r="L41" i="3"/>
  <c r="D10" i="6" l="1"/>
  <c r="F8" i="6"/>
  <c r="F40" i="6" s="1"/>
  <c r="D40" i="6" s="1"/>
  <c r="D45" i="3" s="1"/>
  <c r="L43" i="3"/>
  <c r="G60" i="4"/>
  <c r="B67" i="4" l="1"/>
  <c r="F67" i="4"/>
  <c r="C67" i="4"/>
  <c r="D67" i="4"/>
  <c r="E67" i="4"/>
  <c r="G67" i="4" l="1"/>
</calcChain>
</file>

<file path=xl/sharedStrings.xml><?xml version="1.0" encoding="utf-8"?>
<sst xmlns="http://schemas.openxmlformats.org/spreadsheetml/2006/main" count="1168" uniqueCount="405">
  <si>
    <t>0001 Organizational Key</t>
  </si>
  <si>
    <t>0002 Last Name</t>
  </si>
  <si>
    <t>0002 First Name</t>
  </si>
  <si>
    <t>0002 Date of Birth</t>
  </si>
  <si>
    <t>0002 Age</t>
  </si>
  <si>
    <t>0000 Leaving date</t>
  </si>
  <si>
    <t>0000 Entry Date</t>
  </si>
  <si>
    <t>0000 Reason for Action</t>
  </si>
  <si>
    <t>0000 Begda</t>
  </si>
  <si>
    <t>0008 Payscale Group</t>
  </si>
  <si>
    <t>0008 Payscale Level</t>
  </si>
  <si>
    <t>0000 Action Change Date</t>
  </si>
  <si>
    <t>Leaving year</t>
  </si>
  <si>
    <t>Leaving Mth</t>
  </si>
  <si>
    <t>Action Mth</t>
  </si>
  <si>
    <t>NKRIRDTROP</t>
  </si>
  <si>
    <t>CI1</t>
  </si>
  <si>
    <t>2</t>
  </si>
  <si>
    <t>NKRICWNCTSYT</t>
  </si>
  <si>
    <t>Resigned</t>
  </si>
  <si>
    <t>ET2</t>
  </si>
  <si>
    <t>1</t>
  </si>
  <si>
    <t>NKRIRWCCAMCH</t>
  </si>
  <si>
    <t>CI2</t>
  </si>
  <si>
    <t>4</t>
  </si>
  <si>
    <t>NKSQSISMSOMY</t>
  </si>
  <si>
    <t>NKSQRCRC</t>
  </si>
  <si>
    <t>CONT</t>
  </si>
  <si>
    <t>NKSQRCUU</t>
  </si>
  <si>
    <t>CI3</t>
  </si>
  <si>
    <t>NKSQRCPO</t>
  </si>
  <si>
    <t>3</t>
  </si>
  <si>
    <t>NKRIRWAMTRCH</t>
  </si>
  <si>
    <t>NKSQFAAMST</t>
  </si>
  <si>
    <t>NKSQFAAMFS</t>
  </si>
  <si>
    <t>NKRIRWAMTOWT</t>
  </si>
  <si>
    <t>CI4</t>
  </si>
  <si>
    <t>NKRIRWCCAMTT</t>
  </si>
  <si>
    <t>Dismissed</t>
  </si>
  <si>
    <t>NKSQSISMSO</t>
  </si>
  <si>
    <t>AS3</t>
  </si>
  <si>
    <t>NKSQFAAMSO</t>
  </si>
  <si>
    <t>ET1</t>
  </si>
  <si>
    <t>NKPGTE</t>
  </si>
  <si>
    <t>NKPGAPAS</t>
  </si>
  <si>
    <t>NKPGTSCS</t>
  </si>
  <si>
    <t>NKRIERPE</t>
  </si>
  <si>
    <t>PT3</t>
  </si>
  <si>
    <t>NKRINOFN</t>
  </si>
  <si>
    <t>NKRINOER</t>
  </si>
  <si>
    <t>NKRIERET</t>
  </si>
  <si>
    <t>NKSQTCTOCH</t>
  </si>
  <si>
    <t>NKPGTSSE</t>
  </si>
  <si>
    <t>PT4</t>
  </si>
  <si>
    <t>NKSQSISMSOPR</t>
  </si>
  <si>
    <t>ET3</t>
  </si>
  <si>
    <t>NKRIERTC</t>
  </si>
  <si>
    <t>NKPGAPSY</t>
  </si>
  <si>
    <t>AS2</t>
  </si>
  <si>
    <t>5</t>
  </si>
  <si>
    <t>NKRIRWPE</t>
  </si>
  <si>
    <t>ET5</t>
  </si>
  <si>
    <t>NKRINOFNAMCT</t>
  </si>
  <si>
    <t>NKSQRCEM</t>
  </si>
  <si>
    <t>NKISSEPC</t>
  </si>
  <si>
    <t>AS5</t>
  </si>
  <si>
    <t>NKSQREPI</t>
  </si>
  <si>
    <t>NKSQOHTMTO</t>
  </si>
  <si>
    <t>NKSQFACMCW</t>
  </si>
  <si>
    <t>NKSQFACMIS</t>
  </si>
  <si>
    <t>NKSQFARMRP</t>
  </si>
  <si>
    <t>AS6</t>
  </si>
  <si>
    <t>NKSQFACM</t>
  </si>
  <si>
    <t>AS4</t>
  </si>
  <si>
    <t>NKSQFACMPM</t>
  </si>
  <si>
    <t>NKSQFARMSM</t>
  </si>
  <si>
    <t>ET4</t>
  </si>
  <si>
    <t>NKSQFACMGP</t>
  </si>
  <si>
    <t>NKSQTCTOTB</t>
  </si>
  <si>
    <t>NKSQRESR</t>
  </si>
  <si>
    <t>NKSQREEE</t>
  </si>
  <si>
    <t>NKSQRESC</t>
  </si>
  <si>
    <t>Data</t>
  </si>
  <si>
    <t>R</t>
  </si>
  <si>
    <t>S</t>
  </si>
  <si>
    <t>P</t>
  </si>
  <si>
    <t>Level</t>
  </si>
  <si>
    <t>List1</t>
  </si>
  <si>
    <t>I</t>
  </si>
  <si>
    <t>Lookup</t>
  </si>
  <si>
    <t>Payscale</t>
  </si>
  <si>
    <t>PS Level</t>
  </si>
  <si>
    <t>AS1</t>
  </si>
  <si>
    <t>Increment</t>
  </si>
  <si>
    <t>AS7</t>
  </si>
  <si>
    <t>Pay</t>
  </si>
  <si>
    <t>AS8</t>
  </si>
  <si>
    <t>PT1</t>
  </si>
  <si>
    <t>PT2</t>
  </si>
  <si>
    <t>PT5</t>
  </si>
  <si>
    <t>PT6</t>
  </si>
  <si>
    <t>Concat</t>
  </si>
  <si>
    <t>CI5</t>
  </si>
  <si>
    <t>MthlySalary</t>
  </si>
  <si>
    <t>Desc</t>
  </si>
  <si>
    <t>Contract Mger</t>
  </si>
  <si>
    <t>Savings by Area</t>
  </si>
  <si>
    <t>Savings by Position</t>
  </si>
  <si>
    <t>Administation</t>
  </si>
  <si>
    <t>Total</t>
  </si>
  <si>
    <t>Engineer</t>
  </si>
  <si>
    <t>Administration</t>
  </si>
  <si>
    <t>Job Type</t>
  </si>
  <si>
    <t>Rec</t>
  </si>
  <si>
    <t>Potential Salary Graph</t>
  </si>
  <si>
    <t>Count of Dept</t>
  </si>
  <si>
    <t>Nov</t>
  </si>
  <si>
    <t>Annual</t>
  </si>
  <si>
    <t>Potential Savings Graph</t>
  </si>
  <si>
    <t>CI6</t>
  </si>
  <si>
    <t>ET6</t>
  </si>
  <si>
    <t>Saving by Position</t>
  </si>
  <si>
    <t>Count by Positon</t>
  </si>
  <si>
    <t>Var</t>
  </si>
  <si>
    <t>Accountant</t>
  </si>
  <si>
    <t>England</t>
  </si>
  <si>
    <t>Scotland</t>
  </si>
  <si>
    <t>Wales</t>
  </si>
  <si>
    <t>ET21</t>
  </si>
  <si>
    <t>CI13</t>
  </si>
  <si>
    <t>PT33</t>
  </si>
  <si>
    <t>ET53</t>
  </si>
  <si>
    <t>AS44</t>
  </si>
  <si>
    <t>ET43</t>
  </si>
  <si>
    <t>CI15</t>
  </si>
  <si>
    <t>AS43</t>
  </si>
  <si>
    <t>CI22</t>
  </si>
  <si>
    <t>CI43</t>
  </si>
  <si>
    <t>Ireland</t>
  </si>
  <si>
    <t>LastName1</t>
  </si>
  <si>
    <t>LastName2</t>
  </si>
  <si>
    <t>LastName3</t>
  </si>
  <si>
    <t>LastName4</t>
  </si>
  <si>
    <t>LastName5</t>
  </si>
  <si>
    <t>LastName6</t>
  </si>
  <si>
    <t>LastName7</t>
  </si>
  <si>
    <t>LastName8</t>
  </si>
  <si>
    <t>LastName9</t>
  </si>
  <si>
    <t>LastName10</t>
  </si>
  <si>
    <t>LastName11</t>
  </si>
  <si>
    <t>LastName12</t>
  </si>
  <si>
    <t>LastName13</t>
  </si>
  <si>
    <t>LastName14</t>
  </si>
  <si>
    <t>LastName15</t>
  </si>
  <si>
    <t>LastName16</t>
  </si>
  <si>
    <t>LastName17</t>
  </si>
  <si>
    <t>LastName18</t>
  </si>
  <si>
    <t>LastName19</t>
  </si>
  <si>
    <t>LastName20</t>
  </si>
  <si>
    <t>LastName21</t>
  </si>
  <si>
    <t>LastName22</t>
  </si>
  <si>
    <t>LastName23</t>
  </si>
  <si>
    <t>LastName24</t>
  </si>
  <si>
    <t>LastName25</t>
  </si>
  <si>
    <t>LastName26</t>
  </si>
  <si>
    <t>LastName27</t>
  </si>
  <si>
    <t>LastName28</t>
  </si>
  <si>
    <t>LastName29</t>
  </si>
  <si>
    <t>LastName30</t>
  </si>
  <si>
    <t>LastName31</t>
  </si>
  <si>
    <t>LastName32</t>
  </si>
  <si>
    <t>LastName33</t>
  </si>
  <si>
    <t>LastName34</t>
  </si>
  <si>
    <t>LastName35</t>
  </si>
  <si>
    <t>LastName36</t>
  </si>
  <si>
    <t>LastName37</t>
  </si>
  <si>
    <t>LastName38</t>
  </si>
  <si>
    <t>LastName39</t>
  </si>
  <si>
    <t>LastName40</t>
  </si>
  <si>
    <t>LastName41</t>
  </si>
  <si>
    <t>LastName42</t>
  </si>
  <si>
    <t>LastName43</t>
  </si>
  <si>
    <t>LastName44</t>
  </si>
  <si>
    <t>LastName45</t>
  </si>
  <si>
    <t>LastName46</t>
  </si>
  <si>
    <t>LastName47</t>
  </si>
  <si>
    <t>LastName48</t>
  </si>
  <si>
    <t>LastName49</t>
  </si>
  <si>
    <t>LastName50</t>
  </si>
  <si>
    <t>LastName51</t>
  </si>
  <si>
    <t>LastName52</t>
  </si>
  <si>
    <t>LastName53</t>
  </si>
  <si>
    <t>LastName54</t>
  </si>
  <si>
    <t>LastName55</t>
  </si>
  <si>
    <t>LastName56</t>
  </si>
  <si>
    <t>LastName57</t>
  </si>
  <si>
    <t>LastName58</t>
  </si>
  <si>
    <t>LastName59</t>
  </si>
  <si>
    <t>LastName60</t>
  </si>
  <si>
    <t>LastName61</t>
  </si>
  <si>
    <t>LastName62</t>
  </si>
  <si>
    <t>LastName63</t>
  </si>
  <si>
    <t>LastName64</t>
  </si>
  <si>
    <t>LastName65</t>
  </si>
  <si>
    <t>LastName66</t>
  </si>
  <si>
    <t>LastName67</t>
  </si>
  <si>
    <t>LastName68</t>
  </si>
  <si>
    <t>LastName69</t>
  </si>
  <si>
    <t>LastName70</t>
  </si>
  <si>
    <t>LastName71</t>
  </si>
  <si>
    <t>LastName72</t>
  </si>
  <si>
    <t>LastName73</t>
  </si>
  <si>
    <t>LastName74</t>
  </si>
  <si>
    <t>LastName75</t>
  </si>
  <si>
    <t>LastName76</t>
  </si>
  <si>
    <t>LastName77</t>
  </si>
  <si>
    <t>LastName78</t>
  </si>
  <si>
    <t>LastName79</t>
  </si>
  <si>
    <t>LastName80</t>
  </si>
  <si>
    <t>LastName81</t>
  </si>
  <si>
    <t>LastName82</t>
  </si>
  <si>
    <t>LastName83</t>
  </si>
  <si>
    <t>LastName84</t>
  </si>
  <si>
    <t>LastName85</t>
  </si>
  <si>
    <t>LastName86</t>
  </si>
  <si>
    <t>LastName87</t>
  </si>
  <si>
    <t>LastName88</t>
  </si>
  <si>
    <t>LastName89</t>
  </si>
  <si>
    <t>LastName90</t>
  </si>
  <si>
    <t>LastName91</t>
  </si>
  <si>
    <t>LastName92</t>
  </si>
  <si>
    <t>LastName93</t>
  </si>
  <si>
    <t>LastName94</t>
  </si>
  <si>
    <t>LastName95</t>
  </si>
  <si>
    <t>LastName96</t>
  </si>
  <si>
    <t>FirstName1</t>
  </si>
  <si>
    <t>FirstName2</t>
  </si>
  <si>
    <t>FirstName3</t>
  </si>
  <si>
    <t>FirstName4</t>
  </si>
  <si>
    <t>FirstName5</t>
  </si>
  <si>
    <t>FirstName6</t>
  </si>
  <si>
    <t>FirstName7</t>
  </si>
  <si>
    <t>FirstName8</t>
  </si>
  <si>
    <t>FirstName9</t>
  </si>
  <si>
    <t>FirstName10</t>
  </si>
  <si>
    <t>FirstName11</t>
  </si>
  <si>
    <t>FirstName12</t>
  </si>
  <si>
    <t>FirstName13</t>
  </si>
  <si>
    <t>FirstName14</t>
  </si>
  <si>
    <t>FirstName15</t>
  </si>
  <si>
    <t>FirstName16</t>
  </si>
  <si>
    <t>FirstName17</t>
  </si>
  <si>
    <t>FirstName18</t>
  </si>
  <si>
    <t>FirstName19</t>
  </si>
  <si>
    <t>FirstName20</t>
  </si>
  <si>
    <t>FirstName21</t>
  </si>
  <si>
    <t>FirstName22</t>
  </si>
  <si>
    <t>FirstName23</t>
  </si>
  <si>
    <t>FirstName24</t>
  </si>
  <si>
    <t>FirstName25</t>
  </si>
  <si>
    <t>FirstName26</t>
  </si>
  <si>
    <t>FirstName27</t>
  </si>
  <si>
    <t>FirstName28</t>
  </si>
  <si>
    <t>FirstName29</t>
  </si>
  <si>
    <t>FirstName30</t>
  </si>
  <si>
    <t>FirstName31</t>
  </si>
  <si>
    <t>FirstName32</t>
  </si>
  <si>
    <t>FirstName33</t>
  </si>
  <si>
    <t>FirstName34</t>
  </si>
  <si>
    <t>FirstName35</t>
  </si>
  <si>
    <t>FirstName36</t>
  </si>
  <si>
    <t>FirstName37</t>
  </si>
  <si>
    <t>FirstName38</t>
  </si>
  <si>
    <t>FirstName39</t>
  </si>
  <si>
    <t>FirstName40</t>
  </si>
  <si>
    <t>FirstName41</t>
  </si>
  <si>
    <t>FirstName42</t>
  </si>
  <si>
    <t>FirstName43</t>
  </si>
  <si>
    <t>FirstName44</t>
  </si>
  <si>
    <t>FirstName45</t>
  </si>
  <si>
    <t>FirstName46</t>
  </si>
  <si>
    <t>FirstName47</t>
  </si>
  <si>
    <t>FirstName48</t>
  </si>
  <si>
    <t>FirstName49</t>
  </si>
  <si>
    <t>FirstName50</t>
  </si>
  <si>
    <t>FirstName51</t>
  </si>
  <si>
    <t>FirstName52</t>
  </si>
  <si>
    <t>FirstName53</t>
  </si>
  <si>
    <t>FirstName54</t>
  </si>
  <si>
    <t>FirstName55</t>
  </si>
  <si>
    <t>FirstName56</t>
  </si>
  <si>
    <t>FirstName57</t>
  </si>
  <si>
    <t>FirstName58</t>
  </si>
  <si>
    <t>FirstName59</t>
  </si>
  <si>
    <t>FirstName60</t>
  </si>
  <si>
    <t>FirstName61</t>
  </si>
  <si>
    <t>FirstName62</t>
  </si>
  <si>
    <t>FirstName63</t>
  </si>
  <si>
    <t>FirstName64</t>
  </si>
  <si>
    <t>FirstName65</t>
  </si>
  <si>
    <t>FirstName66</t>
  </si>
  <si>
    <t>FirstName67</t>
  </si>
  <si>
    <t>FirstName68</t>
  </si>
  <si>
    <t>FirstName69</t>
  </si>
  <si>
    <t>FirstName70</t>
  </si>
  <si>
    <t>FirstName71</t>
  </si>
  <si>
    <t>FirstName72</t>
  </si>
  <si>
    <t>FirstName73</t>
  </si>
  <si>
    <t>FirstName74</t>
  </si>
  <si>
    <t>FirstName75</t>
  </si>
  <si>
    <t>FirstName76</t>
  </si>
  <si>
    <t>FirstName77</t>
  </si>
  <si>
    <t>FirstName78</t>
  </si>
  <si>
    <t>FirstName79</t>
  </si>
  <si>
    <t>FirstName80</t>
  </si>
  <si>
    <t>FirstName81</t>
  </si>
  <si>
    <t>FirstName82</t>
  </si>
  <si>
    <t>FirstName83</t>
  </si>
  <si>
    <t>FirstName84</t>
  </si>
  <si>
    <t>FirstName85</t>
  </si>
  <si>
    <t>FirstName86</t>
  </si>
  <si>
    <t>FirstName87</t>
  </si>
  <si>
    <t>FirstName88</t>
  </si>
  <si>
    <t>FirstName89</t>
  </si>
  <si>
    <t>FirstName90</t>
  </si>
  <si>
    <t>FirstName91</t>
  </si>
  <si>
    <t>FirstName92</t>
  </si>
  <si>
    <t>FirstName93</t>
  </si>
  <si>
    <t>FirstName94</t>
  </si>
  <si>
    <t>FirstName95</t>
  </si>
  <si>
    <t>FirstName96</t>
  </si>
  <si>
    <t>LEG</t>
  </si>
  <si>
    <t>Legal</t>
  </si>
  <si>
    <t>LEG1</t>
  </si>
  <si>
    <t>LEG2</t>
  </si>
  <si>
    <t>0-2</t>
  </si>
  <si>
    <t>2-5</t>
  </si>
  <si>
    <t>5-7</t>
  </si>
  <si>
    <t>10+</t>
  </si>
  <si>
    <t>7-10</t>
  </si>
  <si>
    <t>Service</t>
  </si>
  <si>
    <t>Years</t>
  </si>
  <si>
    <t>CI23</t>
  </si>
  <si>
    <t>CI24</t>
  </si>
  <si>
    <t>CI31</t>
  </si>
  <si>
    <t>CI32</t>
  </si>
  <si>
    <t>CI33</t>
  </si>
  <si>
    <t>CI34</t>
  </si>
  <si>
    <t>LastName97</t>
  </si>
  <si>
    <t>FirstName97</t>
  </si>
  <si>
    <t>LastName98</t>
  </si>
  <si>
    <t>FirstName98</t>
  </si>
  <si>
    <t>LastName99</t>
  </si>
  <si>
    <t>FirstName99</t>
  </si>
  <si>
    <t>LastName100</t>
  </si>
  <si>
    <t>FirstName100</t>
  </si>
  <si>
    <t>LastName101</t>
  </si>
  <si>
    <t>FirstName101</t>
  </si>
  <si>
    <t>LastName102</t>
  </si>
  <si>
    <t>FirstName102</t>
  </si>
  <si>
    <t>LastName103</t>
  </si>
  <si>
    <t>FirstName103</t>
  </si>
  <si>
    <t>LastName104</t>
  </si>
  <si>
    <t>FirstName104</t>
  </si>
  <si>
    <t>LastName105</t>
  </si>
  <si>
    <t>FirstName105</t>
  </si>
  <si>
    <t>LastName106</t>
  </si>
  <si>
    <t>FirstName106</t>
  </si>
  <si>
    <t>LastName107</t>
  </si>
  <si>
    <t>FirstName107</t>
  </si>
  <si>
    <t>LastName108</t>
  </si>
  <si>
    <t>FirstName108</t>
  </si>
  <si>
    <t>Redundancy</t>
  </si>
  <si>
    <t>Total Sal</t>
  </si>
  <si>
    <t>Dismissal Type Graph</t>
  </si>
  <si>
    <t>Service Length Graph</t>
  </si>
  <si>
    <t>Sheets</t>
  </si>
  <si>
    <t>Sheet Type</t>
  </si>
  <si>
    <t>Description</t>
  </si>
  <si>
    <t>Links</t>
  </si>
  <si>
    <t>Model</t>
  </si>
  <si>
    <t>Assumptions</t>
  </si>
  <si>
    <t>Description of Sheets</t>
  </si>
  <si>
    <t>List</t>
  </si>
  <si>
    <t>Lists and model assumptions</t>
  </si>
  <si>
    <t>Input Sheet</t>
  </si>
  <si>
    <t>Calcs</t>
  </si>
  <si>
    <t>Calculations sheet</t>
  </si>
  <si>
    <t>Primary calculations page</t>
  </si>
  <si>
    <t>Check</t>
  </si>
  <si>
    <t>Error trapping</t>
  </si>
  <si>
    <t>Checks and balances for the model</t>
  </si>
  <si>
    <t>Summary</t>
  </si>
  <si>
    <t>Output Sheet</t>
  </si>
  <si>
    <t>Primary output page</t>
  </si>
  <si>
    <t xml:space="preserve">Primary Inputs Sheet </t>
  </si>
  <si>
    <t>Dates</t>
  </si>
  <si>
    <t>Savings</t>
  </si>
  <si>
    <t>Region</t>
  </si>
  <si>
    <t>Full Year</t>
  </si>
  <si>
    <t>Master Check</t>
  </si>
  <si>
    <t>Model OK</t>
  </si>
  <si>
    <t>Check Model</t>
  </si>
  <si>
    <t>Checks</t>
  </si>
  <si>
    <t>Chek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</si>
</sst>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mmm\ yy;@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0" applyFont="1" applyFill="1" applyBorder="1" applyAlignment="1">
      <alignment horizontal="center"/>
    </xf>
    <xf numFmtId="49" fontId="3" fillId="0" borderId="0" xfId="0" applyNumberFormat="1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49" fontId="0" fillId="0" borderId="0" xfId="0" applyNumberFormat="1"/>
    <xf numFmtId="166" fontId="0" fillId="0" borderId="0" xfId="1" applyNumberFormat="1" applyFont="1"/>
    <xf numFmtId="166" fontId="0" fillId="0" borderId="0" xfId="1" quotePrefix="1" applyNumberFormat="1" applyFont="1"/>
    <xf numFmtId="166" fontId="0" fillId="0" borderId="0" xfId="0" applyNumberFormat="1"/>
    <xf numFmtId="166" fontId="0" fillId="2" borderId="0" xfId="1" quotePrefix="1" applyNumberFormat="1" applyFont="1" applyFill="1"/>
    <xf numFmtId="0" fontId="0" fillId="0" borderId="0" xfId="0" applyFill="1"/>
    <xf numFmtId="0" fontId="8" fillId="0" borderId="0" xfId="3" applyFont="1" applyFill="1" applyBorder="1"/>
    <xf numFmtId="0" fontId="6" fillId="0" borderId="0" xfId="0" applyFont="1" applyAlignment="1">
      <alignment wrapText="1"/>
    </xf>
    <xf numFmtId="167" fontId="0" fillId="0" borderId="0" xfId="2" applyNumberFormat="1" applyFont="1"/>
    <xf numFmtId="167" fontId="0" fillId="0" borderId="0" xfId="0" applyNumberFormat="1"/>
    <xf numFmtId="17" fontId="4" fillId="0" borderId="0" xfId="0" applyNumberFormat="1" applyFont="1"/>
    <xf numFmtId="167" fontId="4" fillId="0" borderId="0" xfId="2" applyNumberFormat="1" applyFont="1"/>
    <xf numFmtId="3" fontId="0" fillId="3" borderId="0" xfId="0" applyNumberFormat="1" applyFill="1"/>
    <xf numFmtId="167" fontId="4" fillId="0" borderId="0" xfId="0" applyNumberFormat="1" applyFont="1"/>
    <xf numFmtId="167" fontId="0" fillId="3" borderId="0" xfId="2" applyNumberFormat="1" applyFont="1" applyFill="1"/>
    <xf numFmtId="166" fontId="0" fillId="0" borderId="0" xfId="1" applyNumberFormat="1" applyFont="1" applyFill="1"/>
    <xf numFmtId="0" fontId="4" fillId="0" borderId="0" xfId="0" applyFont="1"/>
    <xf numFmtId="0" fontId="9" fillId="4" borderId="2" xfId="3" applyNumberFormat="1" applyFont="1" applyFill="1" applyBorder="1" applyAlignment="1">
      <alignment horizontal="left" vertical="center"/>
    </xf>
    <xf numFmtId="167" fontId="7" fillId="4" borderId="2" xfId="2" applyNumberFormat="1" applyFont="1" applyFill="1" applyBorder="1" applyAlignment="1">
      <alignment horizontal="left" vertical="center"/>
    </xf>
    <xf numFmtId="167" fontId="6" fillId="4" borderId="2" xfId="2" applyNumberFormat="1" applyFont="1" applyFill="1" applyBorder="1" applyAlignment="1">
      <alignment horizontal="left" vertical="center"/>
    </xf>
    <xf numFmtId="0" fontId="0" fillId="4" borderId="0" xfId="0" applyFill="1"/>
    <xf numFmtId="168" fontId="7" fillId="4" borderId="2" xfId="2" applyNumberFormat="1" applyFont="1" applyFill="1" applyBorder="1" applyAlignment="1">
      <alignment horizontal="right" vertical="center"/>
    </xf>
    <xf numFmtId="16" fontId="0" fillId="0" borderId="0" xfId="0" quotePrefix="1" applyNumberFormat="1"/>
    <xf numFmtId="0" fontId="0" fillId="0" borderId="0" xfId="0" quotePrefix="1"/>
    <xf numFmtId="165" fontId="3" fillId="0" borderId="0" xfId="2" applyFont="1" applyFill="1" applyBorder="1"/>
    <xf numFmtId="9" fontId="0" fillId="0" borderId="0" xfId="6" applyFont="1"/>
    <xf numFmtId="0" fontId="9" fillId="4" borderId="2" xfId="3" applyNumberFormat="1" applyFont="1" applyFill="1" applyBorder="1" applyAlignment="1">
      <alignment horizontal="right" vertical="center"/>
    </xf>
    <xf numFmtId="0" fontId="9" fillId="5" borderId="2" xfId="3" applyNumberFormat="1" applyFont="1" applyFill="1" applyBorder="1" applyAlignment="1">
      <alignment horizontal="left" vertical="center"/>
    </xf>
    <xf numFmtId="168" fontId="7" fillId="5" borderId="2" xfId="2" applyNumberFormat="1" applyFont="1" applyFill="1" applyBorder="1" applyAlignment="1">
      <alignment horizontal="right" vertical="center"/>
    </xf>
    <xf numFmtId="0" fontId="9" fillId="5" borderId="2" xfId="3" applyNumberFormat="1" applyFont="1" applyFill="1" applyBorder="1" applyAlignment="1">
      <alignment horizontal="right" vertical="center"/>
    </xf>
    <xf numFmtId="167" fontId="6" fillId="5" borderId="2" xfId="2" applyNumberFormat="1" applyFont="1" applyFill="1" applyBorder="1" applyAlignment="1">
      <alignment horizontal="left" vertical="center"/>
    </xf>
    <xf numFmtId="167" fontId="7" fillId="5" borderId="2" xfId="2" applyNumberFormat="1" applyFont="1" applyFill="1" applyBorder="1" applyAlignment="1">
      <alignment horizontal="left" vertical="center"/>
    </xf>
    <xf numFmtId="0" fontId="6" fillId="0" borderId="3" xfId="3" applyFont="1" applyFill="1" applyBorder="1" applyAlignment="1">
      <alignment horizontal="left"/>
    </xf>
    <xf numFmtId="0" fontId="12" fillId="6" borderId="0" xfId="0" applyFont="1" applyFill="1"/>
    <xf numFmtId="166" fontId="12" fillId="6" borderId="0" xfId="1" applyNumberFormat="1" applyFont="1" applyFill="1" applyAlignment="1">
      <alignment horizontal="right"/>
    </xf>
    <xf numFmtId="0" fontId="13" fillId="6" borderId="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6" fontId="13" fillId="6" borderId="0" xfId="1" applyNumberFormat="1" applyFont="1" applyFill="1" applyBorder="1" applyAlignment="1">
      <alignment horizontal="center"/>
    </xf>
    <xf numFmtId="0" fontId="10" fillId="6" borderId="0" xfId="0" applyFont="1" applyFill="1" applyAlignment="1">
      <alignment wrapText="1"/>
    </xf>
    <xf numFmtId="17" fontId="13" fillId="6" borderId="0" xfId="0" applyNumberFormat="1" applyFont="1" applyFill="1"/>
    <xf numFmtId="17" fontId="13" fillId="6" borderId="0" xfId="0" applyNumberFormat="1" applyFont="1" applyFill="1" applyAlignment="1">
      <alignment wrapText="1"/>
    </xf>
    <xf numFmtId="16" fontId="12" fillId="6" borderId="0" xfId="0" quotePrefix="1" applyNumberFormat="1" applyFont="1" applyFill="1"/>
    <xf numFmtId="0" fontId="12" fillId="6" borderId="0" xfId="0" quotePrefix="1" applyFont="1" applyFill="1"/>
    <xf numFmtId="49" fontId="12" fillId="6" borderId="0" xfId="0" applyNumberFormat="1" applyFont="1" applyFill="1" applyBorder="1"/>
    <xf numFmtId="0" fontId="11" fillId="6" borderId="0" xfId="0" applyFont="1" applyFill="1"/>
    <xf numFmtId="0" fontId="11" fillId="7" borderId="0" xfId="0" applyFont="1" applyFill="1"/>
    <xf numFmtId="0" fontId="14" fillId="0" borderId="0" xfId="0" applyFont="1"/>
    <xf numFmtId="0" fontId="15" fillId="0" borderId="0" xfId="7"/>
    <xf numFmtId="0" fontId="11" fillId="8" borderId="0" xfId="0" applyFont="1" applyFill="1"/>
    <xf numFmtId="0" fontId="11" fillId="9" borderId="0" xfId="0" applyFont="1" applyFill="1"/>
    <xf numFmtId="0" fontId="11" fillId="10" borderId="0" xfId="0" applyFont="1" applyFill="1"/>
    <xf numFmtId="17" fontId="0" fillId="0" borderId="0" xfId="0" applyNumberFormat="1"/>
    <xf numFmtId="0" fontId="13" fillId="6" borderId="0" xfId="0" applyFont="1" applyFill="1"/>
    <xf numFmtId="0" fontId="13" fillId="6" borderId="0" xfId="0" applyFont="1" applyFill="1" applyAlignment="1">
      <alignment horizontal="right"/>
    </xf>
    <xf numFmtId="14" fontId="0" fillId="0" borderId="0" xfId="0" applyNumberFormat="1"/>
    <xf numFmtId="165" fontId="0" fillId="0" borderId="0" xfId="2" applyFont="1"/>
    <xf numFmtId="0" fontId="12" fillId="6" borderId="0" xfId="0" applyFont="1" applyFill="1" applyAlignment="1">
      <alignment horizontal="right"/>
    </xf>
    <xf numFmtId="0" fontId="16" fillId="0" borderId="0" xfId="3" applyFont="1" applyFill="1" applyBorder="1" applyAlignment="1">
      <alignment horizontal="left"/>
    </xf>
    <xf numFmtId="0" fontId="17" fillId="0" borderId="0" xfId="0" applyFont="1"/>
  </cellXfs>
  <cellStyles count="8">
    <cellStyle name="Comma" xfId="2" builtinId="3"/>
    <cellStyle name="Currency" xfId="1" builtinId="4"/>
    <cellStyle name="Currency 2" xfId="4" xr:uid="{00000000-0005-0000-0000-000002000000}"/>
    <cellStyle name="Hyperlink" xfId="7" builtinId="8"/>
    <cellStyle name="Normal" xfId="0" builtinId="0"/>
    <cellStyle name="Normal 2" xfId="3" xr:uid="{00000000-0005-0000-0000-000005000000}"/>
    <cellStyle name="Percent" xfId="6" builtinId="5"/>
    <cellStyle name="Percent 2" xfId="5" xr:uid="{00000000-0005-0000-0000-000007000000}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7FFB7"/>
      <color rgb="FFCCECFF"/>
      <color rgb="FFF4F7ED"/>
      <color rgb="FFF2F6EA"/>
      <color rgb="FFEFF4E4"/>
      <color rgb="FFF5F8EE"/>
      <color rgb="FFF4FAF4"/>
      <color rgb="FFF4F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Savings by Role</a:t>
            </a:r>
            <a:r>
              <a:rPr lang="en-US" sz="1400" b="1" baseline="0"/>
              <a:t> Type </a:t>
            </a:r>
            <a:r>
              <a:rPr lang="en-US" sz="1400" b="1"/>
              <a:t>Nov and Annual</a:t>
            </a:r>
          </a:p>
        </c:rich>
      </c:tx>
      <c:layout>
        <c:manualLayout>
          <c:xMode val="edge"/>
          <c:yMode val="edge"/>
          <c:x val="0.2214836011446181"/>
          <c:y val="2.69842889517963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86821126191569E-2"/>
          <c:y val="0.16286105684951721"/>
          <c:w val="0.8741331104841108"/>
          <c:h val="0.74201148275718842"/>
        </c:manualLayout>
      </c:layout>
      <c:lineChart>
        <c:grouping val="standard"/>
        <c:varyColors val="0"/>
        <c:ser>
          <c:idx val="0"/>
          <c:order val="0"/>
          <c:tx>
            <c:v>Monthly Savings</c:v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7.6054385652664869E-2"/>
                  <c:y val="-5.9738655313326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A4-440A-99AA-7C6CB385005F}"/>
                </c:ext>
              </c:extLst>
            </c:dLbl>
            <c:dLbl>
              <c:idx val="1"/>
              <c:layout>
                <c:manualLayout>
                  <c:x val="-5.9615743240821674E-2"/>
                  <c:y val="-6.5555562342583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A4-440A-99AA-7C6CB385005F}"/>
                </c:ext>
              </c:extLst>
            </c:dLbl>
            <c:dLbl>
              <c:idx val="2"/>
              <c:layout>
                <c:manualLayout>
                  <c:x val="-6.5942674724610323E-2"/>
                  <c:y val="-4.87406160856631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A4-440A-99AA-7C6CB385005F}"/>
                </c:ext>
              </c:extLst>
            </c:dLbl>
            <c:dLbl>
              <c:idx val="3"/>
              <c:layout>
                <c:manualLayout>
                  <c:x val="-5.4472517119283116E-2"/>
                  <c:y val="-5.3921493770526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A4-440A-99AA-7C6CB385005F}"/>
                </c:ext>
              </c:extLst>
            </c:dLbl>
            <c:dLbl>
              <c:idx val="4"/>
              <c:layout>
                <c:manualLayout>
                  <c:x val="-6.2818996547492276E-2"/>
                  <c:y val="-6.2335202480794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A4-440A-99AA-7C6CB385005F}"/>
                </c:ext>
              </c:extLst>
            </c:dLbl>
            <c:dLbl>
              <c:idx val="8"/>
              <c:layout>
                <c:manualLayout>
                  <c:x val="-4.8766499396293773E-2"/>
                  <c:y val="2.6357305384689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A4-440A-99AA-7C6CB385005F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Calcs!$A$52:$A$56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Calcs!$B$52:$B$56</c:f>
              <c:numCache>
                <c:formatCode>_-* #,##0_-;\-* #,##0_-;_-* "-"??_-;_-@_-</c:formatCode>
                <c:ptCount val="5"/>
                <c:pt idx="0">
                  <c:v>169000</c:v>
                </c:pt>
                <c:pt idx="1">
                  <c:v>188794.66666666666</c:v>
                </c:pt>
                <c:pt idx="2">
                  <c:v>59921.333333333328</c:v>
                </c:pt>
                <c:pt idx="3">
                  <c:v>74639.5</c:v>
                </c:pt>
                <c:pt idx="4">
                  <c:v>223712.6666666666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A4-440A-99AA-7C6CB385005F}"/>
            </c:ext>
          </c:extLst>
        </c:ser>
        <c:ser>
          <c:idx val="1"/>
          <c:order val="1"/>
          <c:tx>
            <c:v>Annual Savings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Lbl>
              <c:idx val="1"/>
              <c:layout>
                <c:manualLayout>
                  <c:x val="-4.4908798237081542E-2"/>
                  <c:y val="-4.7396797910814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A4-440A-99AA-7C6CB385005F}"/>
                </c:ext>
              </c:extLst>
            </c:dLbl>
            <c:dLbl>
              <c:idx val="2"/>
              <c:layout>
                <c:manualLayout>
                  <c:x val="-3.9993918723463348E-2"/>
                  <c:y val="-7.9030744312994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A4-440A-99AA-7C6CB385005F}"/>
                </c:ext>
              </c:extLst>
            </c:dLbl>
            <c:dLbl>
              <c:idx val="4"/>
              <c:layout>
                <c:manualLayout>
                  <c:x val="-4.4473282741256975E-2"/>
                  <c:y val="-6.0043805971598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A4-440A-99AA-7C6CB385005F}"/>
                </c:ext>
              </c:extLst>
            </c:dLbl>
            <c:dLbl>
              <c:idx val="6"/>
              <c:layout>
                <c:manualLayout>
                  <c:x val="-4.2569186427473135E-2"/>
                  <c:y val="-4.960012481302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A4-440A-99AA-7C6CB385005F}"/>
                </c:ext>
              </c:extLst>
            </c:dLbl>
            <c:dLbl>
              <c:idx val="7"/>
              <c:layout>
                <c:manualLayout>
                  <c:x val="-4.5420944157036305E-2"/>
                  <c:y val="-6.2073231734561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A4-440A-99AA-7C6CB385005F}"/>
                </c:ext>
              </c:extLst>
            </c:dLbl>
            <c:dLbl>
              <c:idx val="8"/>
              <c:layout>
                <c:manualLayout>
                  <c:x val="-4.0246093669706974E-2"/>
                  <c:y val="-6.660256036676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A4-440A-99AA-7C6CB385005F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Calcs!$A$52:$A$56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Calcs!$C$52:$C$56</c:f>
              <c:numCache>
                <c:formatCode>_-* #,##0_-;\-* #,##0_-;_-* "-"??_-;_-@_-</c:formatCode>
                <c:ptCount val="5"/>
                <c:pt idx="0">
                  <c:v>1521000</c:v>
                </c:pt>
                <c:pt idx="1">
                  <c:v>1699152.0000000002</c:v>
                </c:pt>
                <c:pt idx="2">
                  <c:v>539291.99999999988</c:v>
                </c:pt>
                <c:pt idx="3">
                  <c:v>671755.5</c:v>
                </c:pt>
                <c:pt idx="4">
                  <c:v>2013413.9999999991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A4-440A-99AA-7C6CB385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prstDash val="dash"/>
            </a:ln>
          </c:spPr>
        </c:hiLowLines>
        <c:smooth val="0"/>
        <c:axId val="-1803146496"/>
        <c:axId val="-1803137248"/>
      </c:lineChart>
      <c:catAx>
        <c:axId val="-18031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03137248"/>
        <c:crosses val="autoZero"/>
        <c:auto val="1"/>
        <c:lblAlgn val="ctr"/>
        <c:lblOffset val="100"/>
        <c:noMultiLvlLbl val="0"/>
      </c:catAx>
      <c:valAx>
        <c:axId val="-1803137248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-1803146496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AU" sz="1400"/>
              <a:t>Annual Salary Savings</a:t>
            </a:r>
          </a:p>
        </c:rich>
      </c:tx>
      <c:layout>
        <c:manualLayout>
          <c:xMode val="edge"/>
          <c:yMode val="edge"/>
          <c:x val="0.32328664246402011"/>
          <c:y val="4.835297212774779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8617484950732469E-2"/>
          <c:y val="0.3266582044036509"/>
          <c:w val="0.94651400578882239"/>
          <c:h val="0.67334179559634899"/>
        </c:manualLayout>
      </c:layout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97B-4C98-B2E0-8E892D82E5C8}"/>
              </c:ext>
            </c:extLst>
          </c:dPt>
          <c:dPt>
            <c:idx val="1"/>
            <c:invertIfNegative val="0"/>
            <c:bubble3D val="1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97B-4C98-B2E0-8E892D82E5C8}"/>
              </c:ext>
            </c:extLst>
          </c:dPt>
          <c:dPt>
            <c:idx val="2"/>
            <c:invertIfNegative val="0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97B-4C98-B2E0-8E892D82E5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Calcs!$A$45:$A$48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xVal>
          <c:yVal>
            <c:numRef>
              <c:f>Calcs!$B$45:$B$48</c:f>
              <c:numCache>
                <c:formatCode>_-* #,##0_-;\-* #,##0_-;_-* "-"??_-;_-@_-</c:formatCode>
                <c:ptCount val="4"/>
                <c:pt idx="0">
                  <c:v>1530457.4999999995</c:v>
                </c:pt>
                <c:pt idx="1">
                  <c:v>2056606.4999999991</c:v>
                </c:pt>
                <c:pt idx="2">
                  <c:v>1550932.5</c:v>
                </c:pt>
                <c:pt idx="3">
                  <c:v>1306617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6-A97B-4C98-B2E0-8E892D82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-1803144320"/>
        <c:axId val="-1803143232"/>
      </c:bubbleChart>
      <c:valAx>
        <c:axId val="-180314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3143232"/>
        <c:crosses val="autoZero"/>
        <c:crossBetween val="midCat"/>
      </c:valAx>
      <c:valAx>
        <c:axId val="-1803143232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-1803144320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AU" sz="1400" b="1" i="0" baseline="0">
                <a:effectLst/>
              </a:rPr>
              <a:t>Annual FTE Savings by Region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0.22126703156544272"/>
          <c:y val="4.182908356000728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066174451005279"/>
          <c:y val="0.1620216000413631"/>
          <c:w val="0.2881111640924216"/>
          <c:h val="0.715162000310222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BE1-47A7-8EA1-6622F85A6938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BE1-47A7-8EA1-6622F85A6938}"/>
              </c:ext>
            </c:extLst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BE1-47A7-8EA1-6622F85A693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BE1-47A7-8EA1-6622F85A693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Calcs!$A$10:$A$13</c:f>
              <c:strCache>
                <c:ptCount val="4"/>
                <c:pt idx="0">
                  <c:v>Scotland</c:v>
                </c:pt>
                <c:pt idx="1">
                  <c:v>England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Calcs!$J$10:$J$13</c:f>
              <c:numCache>
                <c:formatCode>_-* #,##0_-;\-* #,##0_-;_-* "-"??_-;_-@_-</c:formatCode>
                <c:ptCount val="4"/>
                <c:pt idx="0">
                  <c:v>23</c:v>
                </c:pt>
                <c:pt idx="1">
                  <c:v>37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E1-47A7-8EA1-6622F85A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475508443732666"/>
          <c:y val="0.24724872915914839"/>
          <c:w val="0.1468739649076376"/>
          <c:h val="0.49687394501346827"/>
        </c:manualLayout>
      </c:layout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AU" sz="1400" b="1" i="0" baseline="0">
                <a:effectLst/>
              </a:rPr>
              <a:t>Annual FTE Savings by Positoin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0.30605360121931918"/>
          <c:y val="1.7510967150414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6442760516012295E-2"/>
          <c:y val="0.16440556521075669"/>
          <c:w val="0.95585990245815622"/>
          <c:h val="0.722952416925744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1-BDE6-4B30-85CD-9EDA3C10488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3-BDE6-4B30-85CD-9EDA3C10488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5-BDE6-4B30-85CD-9EDA3C104882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7-BDE6-4B30-85CD-9EDA3C104882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9-BDE6-4B30-85CD-9EDA3C10488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Calcs!$A$35:$A$39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Calcs!$J$35:$J$39</c:f>
              <c:numCache>
                <c:formatCode>_-* #,##0_-;\-* #,##0_-;_-* "-"??_-;_-@_-</c:formatCode>
                <c:ptCount val="5"/>
                <c:pt idx="0">
                  <c:v>13</c:v>
                </c:pt>
                <c:pt idx="1">
                  <c:v>37</c:v>
                </c:pt>
                <c:pt idx="2">
                  <c:v>8</c:v>
                </c:pt>
                <c:pt idx="3">
                  <c:v>9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E6-4B30-85CD-9EDA3C1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1586864"/>
        <c:axId val="-1800826608"/>
      </c:barChart>
      <c:catAx>
        <c:axId val="-207158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00826608"/>
        <c:crosses val="autoZero"/>
        <c:auto val="1"/>
        <c:lblAlgn val="ctr"/>
        <c:lblOffset val="100"/>
        <c:noMultiLvlLbl val="0"/>
      </c:catAx>
      <c:valAx>
        <c:axId val="-1800826608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-207158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/>
              <a:t>Length of Service</a:t>
            </a:r>
          </a:p>
        </c:rich>
      </c:tx>
      <c:layout>
        <c:manualLayout>
          <c:xMode val="edge"/>
          <c:yMode val="edge"/>
          <c:x val="0.3920480907628481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3464156824147"/>
          <c:y val="0.15625277514543243"/>
          <c:w val="0.73157418799212603"/>
          <c:h val="0.7058162312015349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Calcs!$B$66</c:f>
              <c:strCache>
                <c:ptCount val="1"/>
                <c:pt idx="0">
                  <c:v>0-2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Calcs!$A$67:$A$70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Calcs!$B$67:$B$70</c:f>
              <c:numCache>
                <c:formatCode>0%</c:formatCode>
                <c:ptCount val="4"/>
                <c:pt idx="0">
                  <c:v>0.10810810810810811</c:v>
                </c:pt>
                <c:pt idx="1">
                  <c:v>0.21739130434782608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C-4751-B826-7787BF507760}"/>
            </c:ext>
          </c:extLst>
        </c:ser>
        <c:ser>
          <c:idx val="1"/>
          <c:order val="1"/>
          <c:tx>
            <c:strRef>
              <c:f>Calcs!$C$66</c:f>
              <c:strCache>
                <c:ptCount val="1"/>
                <c:pt idx="0">
                  <c:v>2-5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Calcs!$A$67:$A$70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Calcs!$C$67:$C$70</c:f>
              <c:numCache>
                <c:formatCode>0%</c:formatCode>
                <c:ptCount val="4"/>
                <c:pt idx="0">
                  <c:v>0.21621621621621623</c:v>
                </c:pt>
                <c:pt idx="1">
                  <c:v>8.6956521739130432E-2</c:v>
                </c:pt>
                <c:pt idx="2">
                  <c:v>0.36</c:v>
                </c:pt>
                <c:pt idx="3">
                  <c:v>0.30434782608695654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C-4751-B826-7787BF507760}"/>
            </c:ext>
          </c:extLst>
        </c:ser>
        <c:ser>
          <c:idx val="2"/>
          <c:order val="2"/>
          <c:tx>
            <c:strRef>
              <c:f>Calcs!$D$66</c:f>
              <c:strCache>
                <c:ptCount val="1"/>
                <c:pt idx="0">
                  <c:v>5-7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Calcs!$A$67:$A$70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Calcs!$D$67:$D$70</c:f>
              <c:numCache>
                <c:formatCode>0%</c:formatCode>
                <c:ptCount val="4"/>
                <c:pt idx="0">
                  <c:v>0.16216216216216217</c:v>
                </c:pt>
                <c:pt idx="1">
                  <c:v>8.6956521739130432E-2</c:v>
                </c:pt>
                <c:pt idx="2">
                  <c:v>0.08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C-4751-B826-7787BF507760}"/>
            </c:ext>
          </c:extLst>
        </c:ser>
        <c:ser>
          <c:idx val="3"/>
          <c:order val="3"/>
          <c:tx>
            <c:strRef>
              <c:f>Calcs!$E$66</c:f>
              <c:strCache>
                <c:ptCount val="1"/>
                <c:pt idx="0">
                  <c:v>7-10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Calcs!$A$67:$A$70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Calcs!$E$67:$E$70</c:f>
              <c:numCache>
                <c:formatCode>0%</c:formatCode>
                <c:ptCount val="4"/>
                <c:pt idx="0">
                  <c:v>0.16216216216216217</c:v>
                </c:pt>
                <c:pt idx="1">
                  <c:v>0.34782608695652173</c:v>
                </c:pt>
                <c:pt idx="2">
                  <c:v>0.16</c:v>
                </c:pt>
                <c:pt idx="3">
                  <c:v>0.17391304347826086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C-4751-B826-7787BF507760}"/>
            </c:ext>
          </c:extLst>
        </c:ser>
        <c:ser>
          <c:idx val="4"/>
          <c:order val="4"/>
          <c:tx>
            <c:strRef>
              <c:f>Calcs!$F$66</c:f>
              <c:strCache>
                <c:ptCount val="1"/>
                <c:pt idx="0">
                  <c:v>10+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Calcs!$A$67:$A$70</c:f>
              <c:strCache>
                <c:ptCount val="4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Ireland</c:v>
                </c:pt>
              </c:strCache>
            </c:strRef>
          </c:cat>
          <c:val>
            <c:numRef>
              <c:f>Calcs!$F$67:$F$70</c:f>
              <c:numCache>
                <c:formatCode>0%</c:formatCode>
                <c:ptCount val="4"/>
                <c:pt idx="0">
                  <c:v>0.35135135135135137</c:v>
                </c:pt>
                <c:pt idx="1">
                  <c:v>0.2608695652173913</c:v>
                </c:pt>
                <c:pt idx="2">
                  <c:v>0.4</c:v>
                </c:pt>
                <c:pt idx="3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C-4751-B826-7787BF50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800834768"/>
        <c:axId val="-1800834224"/>
      </c:barChart>
      <c:catAx>
        <c:axId val="-180083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00834224"/>
        <c:crosses val="autoZero"/>
        <c:auto val="1"/>
        <c:lblAlgn val="ctr"/>
        <c:lblOffset val="100"/>
        <c:noMultiLvlLbl val="0"/>
      </c:catAx>
      <c:valAx>
        <c:axId val="-1800834224"/>
        <c:scaling>
          <c:orientation val="minMax"/>
        </c:scaling>
        <c:delete val="1"/>
        <c:axPos val="b"/>
        <c:majorGridlines/>
        <c:numFmt formatCode="0%" sourceLinked="1"/>
        <c:majorTickMark val="out"/>
        <c:minorTickMark val="none"/>
        <c:tickLblPos val="none"/>
        <c:crossAx val="-180083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6212270341207347E-2"/>
          <c:y val="0.90456696680008419"/>
          <c:w val="0.83660022965879266"/>
          <c:h val="5.7001582667335113E-2"/>
        </c:manualLayout>
      </c:layout>
      <c:overlay val="0"/>
    </c:legend>
    <c:plotVisOnly val="1"/>
    <c:dispBlanksAs val="gap"/>
    <c:showDLblsOverMax val="0"/>
  </c:chart>
  <c:spPr>
    <a:ln>
      <a:solidFill>
        <a:schemeClr val="accent1">
          <a:lumMod val="20000"/>
          <a:lumOff val="80000"/>
        </a:schemeClr>
      </a:solidFill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 sz="1400" b="1"/>
              <a:t>Departures by Type</a:t>
            </a:r>
          </a:p>
        </c:rich>
      </c:tx>
      <c:layout>
        <c:manualLayout>
          <c:xMode val="edge"/>
          <c:yMode val="edge"/>
          <c:x val="0.3684362328634872"/>
          <c:y val="4.892473449663767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782239720034995"/>
          <c:y val="0.1536679682443802"/>
          <c:w val="0.76142760279965005"/>
          <c:h val="0.679426263105665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Calcs!$B$73</c:f>
              <c:strCache>
                <c:ptCount val="1"/>
                <c:pt idx="0">
                  <c:v>Resigned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Calcs!$A$74:$A$78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Calcs!$B$74:$B$78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2-407B-B7AE-7BDA4ABC59EB}"/>
            </c:ext>
          </c:extLst>
        </c:ser>
        <c:ser>
          <c:idx val="1"/>
          <c:order val="1"/>
          <c:tx>
            <c:strRef>
              <c:f>Calcs!$C$73</c:f>
              <c:strCache>
                <c:ptCount val="1"/>
                <c:pt idx="0">
                  <c:v>Redundancy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Calcs!$A$74:$A$78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Calcs!$C$74:$C$78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2-407B-B7AE-7BDA4ABC59EB}"/>
            </c:ext>
          </c:extLst>
        </c:ser>
        <c:ser>
          <c:idx val="2"/>
          <c:order val="2"/>
          <c:tx>
            <c:strRef>
              <c:f>Calcs!$D$73</c:f>
              <c:strCache>
                <c:ptCount val="1"/>
                <c:pt idx="0">
                  <c:v>Dismissed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cat>
            <c:strRef>
              <c:f>Calcs!$A$74:$A$78</c:f>
              <c:strCache>
                <c:ptCount val="5"/>
                <c:pt idx="0">
                  <c:v>Contract Mger</c:v>
                </c:pt>
                <c:pt idx="1">
                  <c:v>Engineer</c:v>
                </c:pt>
                <c:pt idx="2">
                  <c:v>Accountant</c:v>
                </c:pt>
                <c:pt idx="3">
                  <c:v>Legal</c:v>
                </c:pt>
                <c:pt idx="4">
                  <c:v>Administation</c:v>
                </c:pt>
              </c:strCache>
            </c:strRef>
          </c:cat>
          <c:val>
            <c:numRef>
              <c:f>Calcs!$D$74:$D$78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2-407B-B7AE-7BDA4ABC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800824432"/>
        <c:axId val="-1800825520"/>
      </c:barChart>
      <c:catAx>
        <c:axId val="-180082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1800825520"/>
        <c:crosses val="autoZero"/>
        <c:auto val="1"/>
        <c:lblAlgn val="ctr"/>
        <c:lblOffset val="100"/>
        <c:noMultiLvlLbl val="0"/>
      </c:catAx>
      <c:valAx>
        <c:axId val="-180082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0082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787457616392141"/>
          <c:y val="0.94386830540129074"/>
          <c:w val="0.67836045494313213"/>
          <c:h val="5.2077500729075521E-2"/>
        </c:manualLayout>
      </c:layout>
      <c:overlay val="0"/>
    </c:legend>
    <c:plotVisOnly val="1"/>
    <c:dispBlanksAs val="gap"/>
    <c:showDLblsOverMax val="0"/>
  </c:chart>
  <c:spPr>
    <a:noFill/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585772</xdr:colOff>
      <xdr:row>25</xdr:row>
      <xdr:rowOff>71437</xdr:rowOff>
    </xdr:from>
    <xdr:to>
      <xdr:col>7</xdr:col>
      <xdr:colOff>200026</xdr:colOff>
      <xdr:row>35</xdr:row>
      <xdr:rowOff>75482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47611</xdr:colOff>
      <xdr:row>6</xdr:row>
      <xdr:rowOff>4762</xdr:rowOff>
    </xdr:from>
    <xdr:to>
      <xdr:col>7</xdr:col>
      <xdr:colOff>239859</xdr:colOff>
      <xdr:row>17</xdr:row>
      <xdr:rowOff>64103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469093</xdr:colOff>
      <xdr:row>6</xdr:row>
      <xdr:rowOff>7142</xdr:rowOff>
    </xdr:from>
    <xdr:to>
      <xdr:col>22</xdr:col>
      <xdr:colOff>485774</xdr:colOff>
      <xdr:row>17</xdr:row>
      <xdr:rowOff>64214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309562</xdr:colOff>
      <xdr:row>25</xdr:row>
      <xdr:rowOff>66676</xdr:rowOff>
    </xdr:from>
    <xdr:to>
      <xdr:col>14</xdr:col>
      <xdr:colOff>371474</xdr:colOff>
      <xdr:row>35</xdr:row>
      <xdr:rowOff>75171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6</xdr:row>
      <xdr:rowOff>19049</xdr:rowOff>
    </xdr:from>
    <xdr:to>
      <xdr:col>14</xdr:col>
      <xdr:colOff>352425</xdr:colOff>
      <xdr:row>17</xdr:row>
      <xdr:rowOff>64768</xdr:rowOff>
    </xdr:to>
    <xdr:graphicFrame macro="">
      <xdr:nvGraphicFramePr>
        <xdr:cNvPr id="12" name="Graphique 5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481484</xdr:colOff>
      <xdr:row>25</xdr:row>
      <xdr:rowOff>62804</xdr:rowOff>
    </xdr:from>
    <xdr:to>
      <xdr:col>23</xdr:col>
      <xdr:colOff>31401</xdr:colOff>
      <xdr:row>35</xdr:row>
      <xdr:rowOff>74917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119470</xdr:colOff>
      <xdr:row>1</xdr:row>
      <xdr:rowOff>32482</xdr:rowOff>
    </xdr:from>
    <xdr:ext cx="6208381" cy="409279"/>
    <xdr:sp macro="" textlink="">
      <xdr:nvSpPr>
        <xdr:cNvPr id="22" name="Text 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119470" y="193016"/>
          <a:ext cx="6208381" cy="40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ctr" rtl="0">
            <a:defRPr sz="1000"/>
          </a:pPr>
          <a:r>
            <a:rPr lang="en-AU" sz="2400" b="1" i="0" u="none" strike="noStrike" baseline="0">
              <a:solidFill>
                <a:schemeClr val="tx2">
                  <a:lumMod val="75000"/>
                </a:schemeClr>
              </a:solidFill>
              <a:latin typeface="Arial"/>
              <a:cs typeface="Arial"/>
            </a:rPr>
            <a:t>Organisational Restructure Analysis</a:t>
          </a:r>
        </a:p>
      </xdr:txBody>
    </xdr:sp>
    <xdr:clientData/>
  </xdr:oneCellAnchor>
  <xdr:twoCellAnchor editAs="oneCell">
    <xdr:from>
      <xdr:col>4</xdr:col>
      <xdr:colOff>535781</xdr:colOff>
      <xdr:row>24</xdr:row>
      <xdr:rowOff>130968</xdr:rowOff>
    </xdr:from>
    <xdr:to>
      <xdr:col>7</xdr:col>
      <xdr:colOff>216403</xdr:colOff>
      <xdr:row>25</xdr:row>
      <xdr:rowOff>54748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219340-B7E2-4236-B620-A3B8ADC02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0" y="5298281"/>
          <a:ext cx="2323809" cy="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B1:E7"/>
  <sheetViews>
    <sheetView showGridLines="0" showRowColHeaders="0" workbookViewId="0">
      <selection activeCell="D45" sqref="D45"/>
    </sheetView>
  </sheetViews>
  <sheetFormatPr defaultRowHeight="12.75" x14ac:dyDescent="0.2"/>
  <cols>
    <col min="3" max="3" width="17.42578125" bestFit="1" customWidth="1"/>
    <col min="4" max="4" width="32.28515625" bestFit="1" customWidth="1"/>
  </cols>
  <sheetData>
    <row r="1" spans="2:5" ht="15" x14ac:dyDescent="0.25">
      <c r="B1" s="50" t="s">
        <v>376</v>
      </c>
      <c r="C1" s="50" t="s">
        <v>377</v>
      </c>
      <c r="D1" s="50" t="s">
        <v>378</v>
      </c>
      <c r="E1" s="50" t="s">
        <v>379</v>
      </c>
    </row>
    <row r="2" spans="2:5" ht="15" x14ac:dyDescent="0.25">
      <c r="B2" s="51" t="s">
        <v>380</v>
      </c>
      <c r="C2" s="52" t="s">
        <v>381</v>
      </c>
      <c r="D2" s="52" t="s">
        <v>382</v>
      </c>
      <c r="E2" s="53" t="str">
        <f>HYPERLINK("#"&amp;B2&amp;"!A2",B2)</f>
        <v>Model</v>
      </c>
    </row>
    <row r="3" spans="2:5" ht="15" x14ac:dyDescent="0.25">
      <c r="B3" s="51" t="s">
        <v>383</v>
      </c>
      <c r="C3" s="52" t="s">
        <v>381</v>
      </c>
      <c r="D3" s="52" t="s">
        <v>384</v>
      </c>
      <c r="E3" s="53" t="str">
        <f t="shared" ref="E3:E7" si="0">HYPERLINK("#"&amp;B3&amp;"!A2",B3)</f>
        <v>List</v>
      </c>
    </row>
    <row r="4" spans="2:5" ht="15" x14ac:dyDescent="0.25">
      <c r="B4" s="50" t="s">
        <v>82</v>
      </c>
      <c r="C4" s="52" t="s">
        <v>385</v>
      </c>
      <c r="D4" s="52" t="s">
        <v>395</v>
      </c>
      <c r="E4" s="53" t="str">
        <f t="shared" si="0"/>
        <v>Data</v>
      </c>
    </row>
    <row r="5" spans="2:5" ht="15" x14ac:dyDescent="0.25">
      <c r="B5" s="54" t="s">
        <v>386</v>
      </c>
      <c r="C5" s="52" t="s">
        <v>387</v>
      </c>
      <c r="D5" s="52" t="s">
        <v>388</v>
      </c>
      <c r="E5" s="53" t="str">
        <f t="shared" si="0"/>
        <v>Calcs</v>
      </c>
    </row>
    <row r="6" spans="2:5" ht="15" x14ac:dyDescent="0.25">
      <c r="B6" s="55" t="s">
        <v>389</v>
      </c>
      <c r="C6" s="52" t="s">
        <v>390</v>
      </c>
      <c r="D6" s="52" t="s">
        <v>391</v>
      </c>
      <c r="E6" s="53" t="str">
        <f t="shared" si="0"/>
        <v>Check</v>
      </c>
    </row>
    <row r="7" spans="2:5" ht="15" x14ac:dyDescent="0.25">
      <c r="B7" s="56" t="s">
        <v>392</v>
      </c>
      <c r="C7" s="52" t="s">
        <v>393</v>
      </c>
      <c r="D7" s="52" t="s">
        <v>394</v>
      </c>
      <c r="E7" s="53" t="str">
        <f t="shared" si="0"/>
        <v>Summary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7" tint="0.59999389629810485"/>
  </sheetPr>
  <dimension ref="A1:Q114"/>
  <sheetViews>
    <sheetView topLeftCell="C1" workbookViewId="0">
      <selection activeCell="O2" sqref="O2:O10"/>
    </sheetView>
  </sheetViews>
  <sheetFormatPr defaultRowHeight="12.75" x14ac:dyDescent="0.2"/>
  <cols>
    <col min="2" max="2" width="15" customWidth="1"/>
    <col min="3" max="3" width="4.85546875" customWidth="1"/>
    <col min="4" max="4" width="10.42578125" customWidth="1"/>
    <col min="5" max="5" width="15.5703125" customWidth="1"/>
    <col min="6" max="6" width="3.7109375" customWidth="1"/>
    <col min="10" max="10" width="11.28515625" style="7" bestFit="1" customWidth="1"/>
    <col min="11" max="11" width="3.5703125" customWidth="1"/>
    <col min="14" max="14" width="3.5703125" customWidth="1"/>
    <col min="16" max="16" width="3.5703125" customWidth="1"/>
    <col min="17" max="17" width="11.140625" customWidth="1"/>
  </cols>
  <sheetData>
    <row r="1" spans="1:17" x14ac:dyDescent="0.2">
      <c r="A1" t="s">
        <v>87</v>
      </c>
      <c r="B1" t="s">
        <v>89</v>
      </c>
      <c r="C1" s="39"/>
      <c r="D1" s="42" t="s">
        <v>90</v>
      </c>
      <c r="E1" s="41" t="s">
        <v>104</v>
      </c>
      <c r="G1" s="39" t="s">
        <v>101</v>
      </c>
      <c r="H1" s="39" t="s">
        <v>91</v>
      </c>
      <c r="I1" s="39" t="s">
        <v>93</v>
      </c>
      <c r="J1" s="40" t="s">
        <v>95</v>
      </c>
      <c r="L1" s="39" t="s">
        <v>340</v>
      </c>
      <c r="M1" s="39" t="s">
        <v>341</v>
      </c>
      <c r="O1" s="39" t="s">
        <v>396</v>
      </c>
      <c r="Q1" s="39" t="s">
        <v>403</v>
      </c>
    </row>
    <row r="2" spans="1:17" x14ac:dyDescent="0.2">
      <c r="A2" t="s">
        <v>83</v>
      </c>
      <c r="B2" t="s">
        <v>126</v>
      </c>
      <c r="D2" s="2" t="s">
        <v>16</v>
      </c>
      <c r="E2" s="2" t="s">
        <v>110</v>
      </c>
      <c r="G2" t="s">
        <v>27</v>
      </c>
      <c r="H2" t="s">
        <v>27</v>
      </c>
      <c r="J2" s="21">
        <v>6000</v>
      </c>
      <c r="L2">
        <v>0</v>
      </c>
      <c r="M2" t="s">
        <v>335</v>
      </c>
      <c r="O2" s="57">
        <v>44835</v>
      </c>
      <c r="Q2" t="s">
        <v>401</v>
      </c>
    </row>
    <row r="3" spans="1:17" x14ac:dyDescent="0.2">
      <c r="A3" t="s">
        <v>84</v>
      </c>
      <c r="B3" t="s">
        <v>125</v>
      </c>
      <c r="D3" s="2" t="s">
        <v>20</v>
      </c>
      <c r="E3" s="2" t="s">
        <v>108</v>
      </c>
      <c r="G3" t="str">
        <f t="shared" ref="G3:G5" si="0">H3&amp;I3</f>
        <v>CI11</v>
      </c>
      <c r="H3" t="s">
        <v>16</v>
      </c>
      <c r="I3">
        <v>1</v>
      </c>
      <c r="J3" s="21">
        <v>1803</v>
      </c>
      <c r="L3">
        <v>2</v>
      </c>
      <c r="M3" s="28" t="s">
        <v>336</v>
      </c>
      <c r="O3" s="57">
        <v>44866</v>
      </c>
      <c r="Q3" t="s">
        <v>402</v>
      </c>
    </row>
    <row r="4" spans="1:17" x14ac:dyDescent="0.2">
      <c r="A4" t="s">
        <v>85</v>
      </c>
      <c r="B4" t="s">
        <v>127</v>
      </c>
      <c r="D4" s="2" t="s">
        <v>23</v>
      </c>
      <c r="E4" s="2" t="s">
        <v>110</v>
      </c>
      <c r="G4" t="str">
        <f t="shared" si="0"/>
        <v>CI12</v>
      </c>
      <c r="H4" t="s">
        <v>16</v>
      </c>
      <c r="I4">
        <v>2</v>
      </c>
      <c r="J4" s="21">
        <v>1848</v>
      </c>
      <c r="L4">
        <v>5</v>
      </c>
      <c r="M4" s="29" t="s">
        <v>337</v>
      </c>
      <c r="O4" s="57">
        <v>44896</v>
      </c>
    </row>
    <row r="5" spans="1:17" x14ac:dyDescent="0.2">
      <c r="A5" t="s">
        <v>88</v>
      </c>
      <c r="B5" t="s">
        <v>126</v>
      </c>
      <c r="D5" s="2" t="s">
        <v>27</v>
      </c>
      <c r="E5" s="2" t="s">
        <v>105</v>
      </c>
      <c r="G5" t="str">
        <f t="shared" si="0"/>
        <v>CI13</v>
      </c>
      <c r="H5" t="s">
        <v>16</v>
      </c>
      <c r="I5">
        <v>3</v>
      </c>
      <c r="J5" s="21">
        <v>1911</v>
      </c>
      <c r="L5">
        <v>7</v>
      </c>
      <c r="M5" s="28" t="s">
        <v>339</v>
      </c>
      <c r="O5" s="57">
        <v>44927</v>
      </c>
    </row>
    <row r="6" spans="1:17" x14ac:dyDescent="0.2">
      <c r="D6" s="2" t="s">
        <v>29</v>
      </c>
      <c r="E6" s="2" t="s">
        <v>110</v>
      </c>
      <c r="G6" t="str">
        <f>H6&amp;I6</f>
        <v>CI14</v>
      </c>
      <c r="H6" t="s">
        <v>16</v>
      </c>
      <c r="I6">
        <v>4</v>
      </c>
      <c r="J6" s="21">
        <v>2007</v>
      </c>
      <c r="L6">
        <v>10</v>
      </c>
      <c r="M6" t="s">
        <v>338</v>
      </c>
      <c r="O6" s="57">
        <v>44958</v>
      </c>
    </row>
    <row r="7" spans="1:17" x14ac:dyDescent="0.2">
      <c r="D7" s="2" t="s">
        <v>36</v>
      </c>
      <c r="E7" s="2" t="s">
        <v>110</v>
      </c>
      <c r="G7" t="str">
        <f>H7&amp;I7</f>
        <v>CI15</v>
      </c>
      <c r="H7" t="s">
        <v>16</v>
      </c>
      <c r="I7">
        <v>5</v>
      </c>
      <c r="J7" s="21">
        <v>2086</v>
      </c>
      <c r="O7" s="57">
        <v>44986</v>
      </c>
    </row>
    <row r="8" spans="1:17" x14ac:dyDescent="0.2">
      <c r="D8" s="2" t="s">
        <v>40</v>
      </c>
      <c r="E8" s="2" t="s">
        <v>108</v>
      </c>
      <c r="G8" t="str">
        <f t="shared" ref="G8:G11" si="1">H8&amp;I8</f>
        <v>CI21</v>
      </c>
      <c r="H8" t="s">
        <v>23</v>
      </c>
      <c r="I8">
        <v>1</v>
      </c>
      <c r="J8" s="21">
        <v>2127</v>
      </c>
      <c r="O8" s="57">
        <v>45017</v>
      </c>
    </row>
    <row r="9" spans="1:17" x14ac:dyDescent="0.2">
      <c r="D9" s="2" t="s">
        <v>42</v>
      </c>
      <c r="E9" s="2" t="s">
        <v>108</v>
      </c>
      <c r="G9" t="str">
        <f t="shared" si="1"/>
        <v>CI22</v>
      </c>
      <c r="H9" t="s">
        <v>23</v>
      </c>
      <c r="I9">
        <v>2</v>
      </c>
      <c r="J9" s="21">
        <v>2228</v>
      </c>
      <c r="O9" s="57">
        <v>45047</v>
      </c>
    </row>
    <row r="10" spans="1:17" x14ac:dyDescent="0.2">
      <c r="D10" s="2" t="s">
        <v>47</v>
      </c>
      <c r="E10" s="2" t="s">
        <v>124</v>
      </c>
      <c r="G10" t="str">
        <f t="shared" si="1"/>
        <v>CI23</v>
      </c>
      <c r="H10" t="s">
        <v>23</v>
      </c>
      <c r="I10">
        <v>3</v>
      </c>
      <c r="J10" s="21">
        <v>2332</v>
      </c>
      <c r="O10" s="57">
        <v>45078</v>
      </c>
    </row>
    <row r="11" spans="1:17" x14ac:dyDescent="0.2">
      <c r="D11" s="2" t="s">
        <v>53</v>
      </c>
      <c r="E11" s="2" t="s">
        <v>124</v>
      </c>
      <c r="G11" t="str">
        <f t="shared" si="1"/>
        <v>CI24</v>
      </c>
      <c r="H11" t="s">
        <v>23</v>
      </c>
      <c r="I11">
        <v>4</v>
      </c>
      <c r="J11" s="21">
        <v>2436</v>
      </c>
    </row>
    <row r="12" spans="1:17" x14ac:dyDescent="0.2">
      <c r="D12" s="2" t="s">
        <v>55</v>
      </c>
      <c r="E12" s="2" t="s">
        <v>108</v>
      </c>
      <c r="G12" t="str">
        <f t="shared" ref="G12:G15" si="2">H12&amp;I12</f>
        <v>CI31</v>
      </c>
      <c r="H12" t="s">
        <v>29</v>
      </c>
      <c r="I12">
        <v>1</v>
      </c>
      <c r="J12" s="21">
        <v>2539</v>
      </c>
    </row>
    <row r="13" spans="1:17" x14ac:dyDescent="0.2">
      <c r="D13" s="2" t="s">
        <v>58</v>
      </c>
      <c r="E13" s="2" t="s">
        <v>108</v>
      </c>
      <c r="G13" t="str">
        <f t="shared" si="2"/>
        <v>CI32</v>
      </c>
      <c r="H13" t="s">
        <v>29</v>
      </c>
      <c r="I13">
        <v>2</v>
      </c>
      <c r="J13" s="21">
        <v>2643</v>
      </c>
    </row>
    <row r="14" spans="1:17" x14ac:dyDescent="0.2">
      <c r="D14" s="2" t="s">
        <v>61</v>
      </c>
      <c r="E14" s="2" t="s">
        <v>108</v>
      </c>
      <c r="G14" t="str">
        <f t="shared" si="2"/>
        <v>CI33</v>
      </c>
      <c r="H14" t="s">
        <v>29</v>
      </c>
      <c r="I14">
        <v>3</v>
      </c>
      <c r="J14" s="21">
        <v>2747</v>
      </c>
    </row>
    <row r="15" spans="1:17" x14ac:dyDescent="0.2">
      <c r="D15" s="2" t="s">
        <v>65</v>
      </c>
      <c r="E15" s="2" t="s">
        <v>108</v>
      </c>
      <c r="G15" t="str">
        <f t="shared" si="2"/>
        <v>CI34</v>
      </c>
      <c r="H15" t="s">
        <v>29</v>
      </c>
      <c r="I15">
        <v>4</v>
      </c>
      <c r="J15" s="21">
        <v>2850</v>
      </c>
    </row>
    <row r="16" spans="1:17" x14ac:dyDescent="0.2">
      <c r="D16" s="2" t="s">
        <v>71</v>
      </c>
      <c r="E16" s="2" t="s">
        <v>108</v>
      </c>
      <c r="G16" t="str">
        <f t="shared" ref="G16" si="3">H16&amp;I16</f>
        <v>CI35</v>
      </c>
      <c r="H16" t="s">
        <v>29</v>
      </c>
      <c r="I16">
        <v>5</v>
      </c>
      <c r="J16" s="21">
        <v>2954</v>
      </c>
    </row>
    <row r="17" spans="4:10" x14ac:dyDescent="0.2">
      <c r="D17" s="2" t="s">
        <v>73</v>
      </c>
      <c r="E17" s="2" t="s">
        <v>108</v>
      </c>
      <c r="G17" t="str">
        <f t="shared" ref="G17:G22" si="4">H17&amp;I17</f>
        <v>CI41</v>
      </c>
      <c r="H17" t="s">
        <v>36</v>
      </c>
      <c r="I17">
        <v>1</v>
      </c>
      <c r="J17" s="21">
        <v>3058</v>
      </c>
    </row>
    <row r="18" spans="4:10" x14ac:dyDescent="0.2">
      <c r="D18" s="2" t="s">
        <v>331</v>
      </c>
      <c r="E18" s="2" t="s">
        <v>332</v>
      </c>
      <c r="G18" t="str">
        <f t="shared" si="4"/>
        <v>CI42</v>
      </c>
      <c r="H18" t="s">
        <v>36</v>
      </c>
      <c r="I18">
        <v>2</v>
      </c>
      <c r="J18" s="21">
        <v>3163</v>
      </c>
    </row>
    <row r="19" spans="4:10" x14ac:dyDescent="0.2">
      <c r="D19" s="2" t="s">
        <v>76</v>
      </c>
      <c r="E19" s="2" t="s">
        <v>108</v>
      </c>
      <c r="G19" t="str">
        <f t="shared" si="4"/>
        <v>CI43</v>
      </c>
      <c r="H19" t="s">
        <v>36</v>
      </c>
      <c r="I19">
        <v>3</v>
      </c>
      <c r="J19" s="21">
        <v>3369</v>
      </c>
    </row>
    <row r="20" spans="4:10" x14ac:dyDescent="0.2">
      <c r="G20" t="str">
        <f t="shared" si="4"/>
        <v>CI51</v>
      </c>
      <c r="H20" t="s">
        <v>102</v>
      </c>
      <c r="I20">
        <v>1</v>
      </c>
      <c r="J20" s="21">
        <v>3619</v>
      </c>
    </row>
    <row r="21" spans="4:10" x14ac:dyDescent="0.2">
      <c r="G21" t="str">
        <f t="shared" si="4"/>
        <v>CI52</v>
      </c>
      <c r="H21" t="s">
        <v>102</v>
      </c>
      <c r="I21">
        <v>2</v>
      </c>
      <c r="J21" s="21">
        <v>3701</v>
      </c>
    </row>
    <row r="22" spans="4:10" x14ac:dyDescent="0.2">
      <c r="G22" t="str">
        <f t="shared" si="4"/>
        <v>CI53</v>
      </c>
      <c r="H22" t="s">
        <v>102</v>
      </c>
      <c r="I22">
        <v>3</v>
      </c>
      <c r="J22" s="21">
        <v>3846</v>
      </c>
    </row>
    <row r="23" spans="4:10" x14ac:dyDescent="0.2">
      <c r="G23" t="str">
        <f t="shared" ref="G23:G25" si="5">H23&amp;I23</f>
        <v>CI61</v>
      </c>
      <c r="H23" t="s">
        <v>119</v>
      </c>
      <c r="I23">
        <v>1</v>
      </c>
      <c r="J23" s="21">
        <v>3937</v>
      </c>
    </row>
    <row r="24" spans="4:10" x14ac:dyDescent="0.2">
      <c r="G24" t="str">
        <f t="shared" si="5"/>
        <v>CI62</v>
      </c>
      <c r="H24" t="s">
        <v>119</v>
      </c>
      <c r="I24">
        <v>2</v>
      </c>
      <c r="J24" s="21">
        <v>4026</v>
      </c>
    </row>
    <row r="25" spans="4:10" x14ac:dyDescent="0.2">
      <c r="G25" t="str">
        <f t="shared" si="5"/>
        <v>CI63</v>
      </c>
      <c r="H25" t="s">
        <v>119</v>
      </c>
      <c r="I25">
        <v>3</v>
      </c>
      <c r="J25" s="21">
        <v>4117</v>
      </c>
    </row>
    <row r="26" spans="4:10" x14ac:dyDescent="0.2">
      <c r="G26" t="str">
        <f t="shared" ref="G26:G48" si="6">H26&amp;I26</f>
        <v>ET11</v>
      </c>
      <c r="H26" t="s">
        <v>42</v>
      </c>
      <c r="I26">
        <v>1</v>
      </c>
      <c r="J26" s="21">
        <v>1773</v>
      </c>
    </row>
    <row r="27" spans="4:10" x14ac:dyDescent="0.2">
      <c r="G27" t="str">
        <f t="shared" si="6"/>
        <v>ET12</v>
      </c>
      <c r="H27" t="s">
        <v>42</v>
      </c>
      <c r="I27">
        <v>2</v>
      </c>
      <c r="J27" s="21">
        <v>1817</v>
      </c>
    </row>
    <row r="28" spans="4:10" x14ac:dyDescent="0.2">
      <c r="G28" t="str">
        <f t="shared" si="6"/>
        <v>ET13</v>
      </c>
      <c r="H28" t="s">
        <v>42</v>
      </c>
      <c r="I28">
        <v>3</v>
      </c>
      <c r="J28" s="21">
        <v>1879</v>
      </c>
    </row>
    <row r="29" spans="4:10" x14ac:dyDescent="0.2">
      <c r="G29" t="str">
        <f t="shared" si="6"/>
        <v>ET14</v>
      </c>
      <c r="H29" t="s">
        <v>42</v>
      </c>
      <c r="I29">
        <v>4</v>
      </c>
      <c r="J29" s="21">
        <v>1973</v>
      </c>
    </row>
    <row r="30" spans="4:10" x14ac:dyDescent="0.2">
      <c r="G30" t="str">
        <f t="shared" si="6"/>
        <v>ET15</v>
      </c>
      <c r="H30" t="s">
        <v>42</v>
      </c>
      <c r="I30">
        <v>5</v>
      </c>
      <c r="J30" s="21">
        <v>2051</v>
      </c>
    </row>
    <row r="31" spans="4:10" x14ac:dyDescent="0.2">
      <c r="G31" t="str">
        <f t="shared" si="6"/>
        <v>ET21</v>
      </c>
      <c r="H31" t="s">
        <v>20</v>
      </c>
      <c r="I31">
        <v>1</v>
      </c>
      <c r="J31" s="21">
        <v>2118</v>
      </c>
    </row>
    <row r="32" spans="4:10" x14ac:dyDescent="0.2">
      <c r="G32" t="str">
        <f t="shared" si="6"/>
        <v>ET22</v>
      </c>
      <c r="H32" t="s">
        <v>20</v>
      </c>
      <c r="I32">
        <v>2</v>
      </c>
      <c r="J32" s="21">
        <v>2219</v>
      </c>
    </row>
    <row r="33" spans="7:15" x14ac:dyDescent="0.2">
      <c r="G33" t="s">
        <v>333</v>
      </c>
      <c r="H33" t="s">
        <v>20</v>
      </c>
      <c r="I33">
        <v>3</v>
      </c>
      <c r="J33" s="21">
        <v>4549</v>
      </c>
    </row>
    <row r="34" spans="7:15" x14ac:dyDescent="0.2">
      <c r="G34" t="s">
        <v>334</v>
      </c>
      <c r="H34" t="s">
        <v>20</v>
      </c>
      <c r="I34">
        <v>4</v>
      </c>
      <c r="J34" s="21">
        <v>4632</v>
      </c>
    </row>
    <row r="35" spans="7:15" x14ac:dyDescent="0.2">
      <c r="G35" t="str">
        <f t="shared" si="6"/>
        <v>ET31</v>
      </c>
      <c r="H35" t="s">
        <v>55</v>
      </c>
      <c r="I35">
        <v>1</v>
      </c>
      <c r="J35" s="21">
        <v>2528</v>
      </c>
    </row>
    <row r="36" spans="7:15" x14ac:dyDescent="0.2">
      <c r="G36" t="str">
        <f t="shared" si="6"/>
        <v>ET32</v>
      </c>
      <c r="H36" t="s">
        <v>55</v>
      </c>
      <c r="I36">
        <v>2</v>
      </c>
      <c r="J36" s="21">
        <v>2632</v>
      </c>
    </row>
    <row r="37" spans="7:15" x14ac:dyDescent="0.2">
      <c r="G37" t="str">
        <f t="shared" si="6"/>
        <v>ET33</v>
      </c>
      <c r="H37" t="s">
        <v>55</v>
      </c>
      <c r="I37">
        <v>3</v>
      </c>
      <c r="J37" s="21">
        <v>2736</v>
      </c>
    </row>
    <row r="38" spans="7:15" x14ac:dyDescent="0.2">
      <c r="G38" t="str">
        <f t="shared" si="6"/>
        <v>ET34</v>
      </c>
      <c r="H38" t="s">
        <v>55</v>
      </c>
      <c r="I38">
        <v>4</v>
      </c>
      <c r="J38" s="21">
        <v>2788</v>
      </c>
    </row>
    <row r="39" spans="7:15" x14ac:dyDescent="0.2">
      <c r="G39" t="str">
        <f t="shared" si="6"/>
        <v>ET41</v>
      </c>
      <c r="H39" t="s">
        <v>76</v>
      </c>
      <c r="I39">
        <v>1</v>
      </c>
      <c r="J39" s="21">
        <v>2838</v>
      </c>
    </row>
    <row r="40" spans="7:15" x14ac:dyDescent="0.2">
      <c r="G40" t="str">
        <f t="shared" si="6"/>
        <v>ET42</v>
      </c>
      <c r="H40" t="s">
        <v>76</v>
      </c>
      <c r="I40">
        <v>2</v>
      </c>
      <c r="J40" s="21">
        <v>2983</v>
      </c>
    </row>
    <row r="41" spans="7:15" x14ac:dyDescent="0.2">
      <c r="G41" t="str">
        <f t="shared" si="6"/>
        <v>ET43</v>
      </c>
      <c r="H41" t="s">
        <v>76</v>
      </c>
      <c r="I41">
        <v>3</v>
      </c>
      <c r="J41" s="21">
        <v>3151</v>
      </c>
      <c r="O41" s="7"/>
    </row>
    <row r="42" spans="7:15" x14ac:dyDescent="0.2">
      <c r="G42" t="str">
        <f t="shared" si="6"/>
        <v>ET44</v>
      </c>
      <c r="H42" t="s">
        <v>76</v>
      </c>
      <c r="I42">
        <v>4</v>
      </c>
      <c r="J42" s="21">
        <v>3253</v>
      </c>
      <c r="O42" s="7"/>
    </row>
    <row r="43" spans="7:15" x14ac:dyDescent="0.2">
      <c r="G43" t="str">
        <f t="shared" si="6"/>
        <v>ET51</v>
      </c>
      <c r="H43" t="s">
        <v>61</v>
      </c>
      <c r="I43">
        <v>1</v>
      </c>
      <c r="J43" s="21">
        <v>3355</v>
      </c>
      <c r="O43" s="7"/>
    </row>
    <row r="44" spans="7:15" x14ac:dyDescent="0.2">
      <c r="G44" t="str">
        <f t="shared" si="6"/>
        <v>ET52</v>
      </c>
      <c r="H44" t="s">
        <v>61</v>
      </c>
      <c r="I44">
        <v>2</v>
      </c>
      <c r="J44" s="21">
        <v>3459</v>
      </c>
      <c r="O44" s="7"/>
    </row>
    <row r="45" spans="7:15" x14ac:dyDescent="0.2">
      <c r="G45" t="str">
        <f t="shared" si="6"/>
        <v>ET53</v>
      </c>
      <c r="H45" t="s">
        <v>61</v>
      </c>
      <c r="I45">
        <v>3</v>
      </c>
      <c r="J45" s="21">
        <v>3562</v>
      </c>
      <c r="O45" s="7"/>
    </row>
    <row r="46" spans="7:15" x14ac:dyDescent="0.2">
      <c r="G46" t="str">
        <f t="shared" si="6"/>
        <v>ET61</v>
      </c>
      <c r="H46" t="s">
        <v>120</v>
      </c>
      <c r="I46">
        <v>1</v>
      </c>
      <c r="J46" s="21">
        <v>3831</v>
      </c>
      <c r="O46" s="7"/>
    </row>
    <row r="47" spans="7:15" x14ac:dyDescent="0.2">
      <c r="G47" t="str">
        <f t="shared" si="6"/>
        <v>ET62</v>
      </c>
      <c r="H47" t="s">
        <v>120</v>
      </c>
      <c r="I47">
        <v>2</v>
      </c>
      <c r="J47" s="21">
        <v>3921</v>
      </c>
    </row>
    <row r="48" spans="7:15" x14ac:dyDescent="0.2">
      <c r="G48" t="str">
        <f t="shared" si="6"/>
        <v>ET63</v>
      </c>
      <c r="H48" t="s">
        <v>120</v>
      </c>
      <c r="I48">
        <v>3</v>
      </c>
      <c r="J48" s="21">
        <v>4010</v>
      </c>
    </row>
    <row r="49" spans="7:10" x14ac:dyDescent="0.2">
      <c r="G49" t="str">
        <f t="shared" ref="G49" si="7">H49&amp;I49</f>
        <v>ET64</v>
      </c>
      <c r="H49" t="s">
        <v>120</v>
      </c>
      <c r="I49">
        <v>4</v>
      </c>
      <c r="J49" s="21">
        <v>4100</v>
      </c>
    </row>
    <row r="50" spans="7:10" x14ac:dyDescent="0.2">
      <c r="G50" t="str">
        <f>H50&amp;I50</f>
        <v>AS11</v>
      </c>
      <c r="H50" t="s">
        <v>92</v>
      </c>
      <c r="I50">
        <v>1</v>
      </c>
      <c r="J50" s="11">
        <v>1205</v>
      </c>
    </row>
    <row r="51" spans="7:10" x14ac:dyDescent="0.2">
      <c r="G51" t="str">
        <f t="shared" ref="G51:G114" si="8">H51&amp;I51</f>
        <v>AS12</v>
      </c>
      <c r="H51" t="s">
        <v>92</v>
      </c>
      <c r="I51">
        <v>2</v>
      </c>
      <c r="J51" s="11">
        <v>1316</v>
      </c>
    </row>
    <row r="52" spans="7:10" x14ac:dyDescent="0.2">
      <c r="G52" t="str">
        <f t="shared" si="8"/>
        <v>AS13</v>
      </c>
      <c r="H52" t="s">
        <v>92</v>
      </c>
      <c r="I52">
        <v>3</v>
      </c>
      <c r="J52" s="11">
        <v>1426</v>
      </c>
    </row>
    <row r="53" spans="7:10" x14ac:dyDescent="0.2">
      <c r="G53" t="str">
        <f t="shared" si="8"/>
        <v>AS21</v>
      </c>
      <c r="H53" t="s">
        <v>58</v>
      </c>
      <c r="I53">
        <v>1</v>
      </c>
      <c r="J53" s="11">
        <v>1676</v>
      </c>
    </row>
    <row r="54" spans="7:10" x14ac:dyDescent="0.2">
      <c r="G54" t="str">
        <f t="shared" si="8"/>
        <v>AS22</v>
      </c>
      <c r="H54" t="s">
        <v>58</v>
      </c>
      <c r="I54">
        <v>2</v>
      </c>
      <c r="J54">
        <v>1742</v>
      </c>
    </row>
    <row r="55" spans="7:10" x14ac:dyDescent="0.2">
      <c r="G55" t="str">
        <f t="shared" si="8"/>
        <v>AS23</v>
      </c>
      <c r="H55" t="s">
        <v>58</v>
      </c>
      <c r="I55">
        <v>3</v>
      </c>
      <c r="J55">
        <v>1806</v>
      </c>
    </row>
    <row r="56" spans="7:10" x14ac:dyDescent="0.2">
      <c r="G56" t="str">
        <f t="shared" si="8"/>
        <v>AS24</v>
      </c>
      <c r="H56" t="s">
        <v>58</v>
      </c>
      <c r="I56">
        <v>4</v>
      </c>
      <c r="J56">
        <v>1871</v>
      </c>
    </row>
    <row r="57" spans="7:10" x14ac:dyDescent="0.2">
      <c r="G57" t="str">
        <f t="shared" si="8"/>
        <v>AS25</v>
      </c>
      <c r="H57" t="s">
        <v>58</v>
      </c>
      <c r="I57">
        <v>5</v>
      </c>
      <c r="J57">
        <v>1940</v>
      </c>
    </row>
    <row r="58" spans="7:10" x14ac:dyDescent="0.2">
      <c r="G58" t="str">
        <f t="shared" si="8"/>
        <v>AS26</v>
      </c>
      <c r="H58" t="s">
        <v>58</v>
      </c>
      <c r="I58">
        <v>6</v>
      </c>
      <c r="J58">
        <v>2008</v>
      </c>
    </row>
    <row r="59" spans="7:10" x14ac:dyDescent="0.2">
      <c r="G59" t="str">
        <f t="shared" si="8"/>
        <v>AS27</v>
      </c>
      <c r="H59" t="s">
        <v>58</v>
      </c>
      <c r="I59">
        <v>7</v>
      </c>
      <c r="J59">
        <v>2079</v>
      </c>
    </row>
    <row r="60" spans="7:10" x14ac:dyDescent="0.2">
      <c r="G60" t="str">
        <f t="shared" si="8"/>
        <v>AS28</v>
      </c>
      <c r="H60" t="s">
        <v>58</v>
      </c>
      <c r="I60">
        <v>8</v>
      </c>
      <c r="J60">
        <v>2149</v>
      </c>
    </row>
    <row r="61" spans="7:10" x14ac:dyDescent="0.2">
      <c r="G61" t="str">
        <f t="shared" si="8"/>
        <v>AS21</v>
      </c>
      <c r="H61" t="s">
        <v>58</v>
      </c>
      <c r="I61">
        <v>1</v>
      </c>
      <c r="J61">
        <v>2239</v>
      </c>
    </row>
    <row r="62" spans="7:10" x14ac:dyDescent="0.2">
      <c r="G62" t="str">
        <f t="shared" si="8"/>
        <v>AS32</v>
      </c>
      <c r="H62" t="s">
        <v>40</v>
      </c>
      <c r="I62">
        <v>2</v>
      </c>
      <c r="J62">
        <v>2325</v>
      </c>
    </row>
    <row r="63" spans="7:10" x14ac:dyDescent="0.2">
      <c r="G63" t="str">
        <f t="shared" si="8"/>
        <v>AS33</v>
      </c>
      <c r="H63" t="s">
        <v>40</v>
      </c>
      <c r="I63">
        <v>3</v>
      </c>
      <c r="J63">
        <v>2412</v>
      </c>
    </row>
    <row r="64" spans="7:10" x14ac:dyDescent="0.2">
      <c r="G64" t="str">
        <f t="shared" si="8"/>
        <v>AS34</v>
      </c>
      <c r="H64" t="s">
        <v>40</v>
      </c>
      <c r="I64">
        <v>4</v>
      </c>
      <c r="J64">
        <v>2499</v>
      </c>
    </row>
    <row r="65" spans="7:10" x14ac:dyDescent="0.2">
      <c r="G65" t="str">
        <f t="shared" si="8"/>
        <v>AS31</v>
      </c>
      <c r="H65" t="s">
        <v>40</v>
      </c>
      <c r="I65">
        <v>1</v>
      </c>
      <c r="J65">
        <v>2650</v>
      </c>
    </row>
    <row r="66" spans="7:10" x14ac:dyDescent="0.2">
      <c r="G66" t="str">
        <f t="shared" si="8"/>
        <v>AS42</v>
      </c>
      <c r="H66" t="s">
        <v>73</v>
      </c>
      <c r="I66">
        <v>2</v>
      </c>
      <c r="J66">
        <v>2738</v>
      </c>
    </row>
    <row r="67" spans="7:10" x14ac:dyDescent="0.2">
      <c r="G67" t="str">
        <f t="shared" si="8"/>
        <v>AS43</v>
      </c>
      <c r="H67" t="s">
        <v>73</v>
      </c>
      <c r="I67">
        <v>3</v>
      </c>
      <c r="J67">
        <v>2827</v>
      </c>
    </row>
    <row r="68" spans="7:10" x14ac:dyDescent="0.2">
      <c r="G68" t="str">
        <f t="shared" si="8"/>
        <v>AS44</v>
      </c>
      <c r="H68" t="s">
        <v>73</v>
      </c>
      <c r="I68">
        <v>4</v>
      </c>
      <c r="J68">
        <v>2916</v>
      </c>
    </row>
    <row r="69" spans="7:10" x14ac:dyDescent="0.2">
      <c r="G69" t="str">
        <f t="shared" si="8"/>
        <v>AS41</v>
      </c>
      <c r="H69" t="s">
        <v>73</v>
      </c>
      <c r="I69">
        <v>1</v>
      </c>
      <c r="J69">
        <v>3074</v>
      </c>
    </row>
    <row r="70" spans="7:10" x14ac:dyDescent="0.2">
      <c r="G70" t="str">
        <f t="shared" si="8"/>
        <v>AS52</v>
      </c>
      <c r="H70" t="s">
        <v>65</v>
      </c>
      <c r="I70">
        <v>2</v>
      </c>
      <c r="J70">
        <v>3164</v>
      </c>
    </row>
    <row r="71" spans="7:10" x14ac:dyDescent="0.2">
      <c r="G71" t="str">
        <f t="shared" si="8"/>
        <v>AS53</v>
      </c>
      <c r="H71" t="s">
        <v>65</v>
      </c>
      <c r="I71">
        <v>3</v>
      </c>
      <c r="J71">
        <v>3252</v>
      </c>
    </row>
    <row r="72" spans="7:10" x14ac:dyDescent="0.2">
      <c r="G72" t="str">
        <f t="shared" si="8"/>
        <v>AS54</v>
      </c>
      <c r="H72" t="s">
        <v>65</v>
      </c>
      <c r="I72">
        <v>4</v>
      </c>
      <c r="J72">
        <v>3343</v>
      </c>
    </row>
    <row r="73" spans="7:10" x14ac:dyDescent="0.2">
      <c r="G73" t="str">
        <f t="shared" si="8"/>
        <v>AS51</v>
      </c>
      <c r="H73" t="s">
        <v>65</v>
      </c>
      <c r="I73">
        <v>1</v>
      </c>
      <c r="J73">
        <v>3530</v>
      </c>
    </row>
    <row r="74" spans="7:10" x14ac:dyDescent="0.2">
      <c r="G74" t="str">
        <f t="shared" si="8"/>
        <v>AS62</v>
      </c>
      <c r="H74" t="s">
        <v>71</v>
      </c>
      <c r="I74">
        <v>2</v>
      </c>
      <c r="J74">
        <v>3613</v>
      </c>
    </row>
    <row r="75" spans="7:10" x14ac:dyDescent="0.2">
      <c r="G75" t="str">
        <f t="shared" si="8"/>
        <v>AS63</v>
      </c>
      <c r="H75" t="s">
        <v>71</v>
      </c>
      <c r="I75">
        <v>3</v>
      </c>
      <c r="J75">
        <v>3694</v>
      </c>
    </row>
    <row r="76" spans="7:10" x14ac:dyDescent="0.2">
      <c r="G76" t="str">
        <f t="shared" si="8"/>
        <v>AS64</v>
      </c>
      <c r="H76" t="s">
        <v>71</v>
      </c>
      <c r="I76">
        <v>4</v>
      </c>
      <c r="J76">
        <v>3777</v>
      </c>
    </row>
    <row r="77" spans="7:10" x14ac:dyDescent="0.2">
      <c r="G77" t="str">
        <f t="shared" si="8"/>
        <v>AS71</v>
      </c>
      <c r="H77" t="s">
        <v>94</v>
      </c>
      <c r="I77">
        <v>1</v>
      </c>
      <c r="J77">
        <v>3952</v>
      </c>
    </row>
    <row r="78" spans="7:10" x14ac:dyDescent="0.2">
      <c r="G78" t="str">
        <f t="shared" si="8"/>
        <v>AS72</v>
      </c>
      <c r="H78" t="s">
        <v>94</v>
      </c>
      <c r="I78">
        <v>2</v>
      </c>
      <c r="J78">
        <v>4047</v>
      </c>
    </row>
    <row r="79" spans="7:10" x14ac:dyDescent="0.2">
      <c r="G79" t="str">
        <f t="shared" si="8"/>
        <v>AS73</v>
      </c>
      <c r="H79" t="s">
        <v>94</v>
      </c>
      <c r="I79">
        <v>3</v>
      </c>
      <c r="J79">
        <v>4143</v>
      </c>
    </row>
    <row r="80" spans="7:10" x14ac:dyDescent="0.2">
      <c r="G80" t="str">
        <f t="shared" si="8"/>
        <v>AS74</v>
      </c>
      <c r="H80" t="s">
        <v>94</v>
      </c>
      <c r="I80">
        <v>4</v>
      </c>
      <c r="J80">
        <v>4238</v>
      </c>
    </row>
    <row r="81" spans="7:10" x14ac:dyDescent="0.2">
      <c r="G81" t="str">
        <f t="shared" si="8"/>
        <v>AS81</v>
      </c>
      <c r="H81" t="s">
        <v>96</v>
      </c>
      <c r="I81">
        <v>1</v>
      </c>
      <c r="J81">
        <v>4379</v>
      </c>
    </row>
    <row r="82" spans="7:10" x14ac:dyDescent="0.2">
      <c r="G82" t="str">
        <f t="shared" si="8"/>
        <v>AS82</v>
      </c>
      <c r="H82" t="s">
        <v>96</v>
      </c>
      <c r="I82">
        <v>2</v>
      </c>
      <c r="J82">
        <v>4464</v>
      </c>
    </row>
    <row r="83" spans="7:10" x14ac:dyDescent="0.2">
      <c r="G83" t="str">
        <f t="shared" si="8"/>
        <v>AS83</v>
      </c>
      <c r="H83" t="s">
        <v>96</v>
      </c>
      <c r="I83">
        <v>3</v>
      </c>
      <c r="J83">
        <v>4549</v>
      </c>
    </row>
    <row r="84" spans="7:10" x14ac:dyDescent="0.2">
      <c r="G84" t="str">
        <f t="shared" si="8"/>
        <v>AS84</v>
      </c>
      <c r="H84" t="s">
        <v>96</v>
      </c>
      <c r="I84">
        <v>4</v>
      </c>
      <c r="J84">
        <v>4632</v>
      </c>
    </row>
    <row r="85" spans="7:10" x14ac:dyDescent="0.2">
      <c r="G85" t="str">
        <f t="shared" si="8"/>
        <v>PT11</v>
      </c>
      <c r="H85" t="s">
        <v>97</v>
      </c>
      <c r="I85">
        <v>1</v>
      </c>
      <c r="J85">
        <v>1272</v>
      </c>
    </row>
    <row r="86" spans="7:10" x14ac:dyDescent="0.2">
      <c r="G86" t="str">
        <f t="shared" si="8"/>
        <v>PT12</v>
      </c>
      <c r="H86" t="s">
        <v>97</v>
      </c>
      <c r="I86">
        <v>2</v>
      </c>
      <c r="J86">
        <v>1520</v>
      </c>
    </row>
    <row r="87" spans="7:10" x14ac:dyDescent="0.2">
      <c r="G87" t="str">
        <f t="shared" si="8"/>
        <v>PT13</v>
      </c>
      <c r="H87" t="s">
        <v>97</v>
      </c>
      <c r="I87">
        <v>3</v>
      </c>
      <c r="J87">
        <v>1603</v>
      </c>
    </row>
    <row r="88" spans="7:10" x14ac:dyDescent="0.2">
      <c r="G88" t="str">
        <f t="shared" si="8"/>
        <v>PT14</v>
      </c>
      <c r="H88" t="s">
        <v>97</v>
      </c>
      <c r="I88">
        <v>4</v>
      </c>
      <c r="J88">
        <v>1685</v>
      </c>
    </row>
    <row r="89" spans="7:10" x14ac:dyDescent="0.2">
      <c r="G89" t="str">
        <f t="shared" si="8"/>
        <v>PT15</v>
      </c>
      <c r="H89" t="s">
        <v>97</v>
      </c>
      <c r="I89">
        <v>5</v>
      </c>
      <c r="J89">
        <v>1768</v>
      </c>
    </row>
    <row r="90" spans="7:10" x14ac:dyDescent="0.2">
      <c r="G90" t="str">
        <f t="shared" si="8"/>
        <v>PT16</v>
      </c>
      <c r="H90" t="s">
        <v>97</v>
      </c>
      <c r="I90">
        <v>6</v>
      </c>
      <c r="J90">
        <v>1851</v>
      </c>
    </row>
    <row r="91" spans="7:10" x14ac:dyDescent="0.2">
      <c r="G91" t="str">
        <f t="shared" si="8"/>
        <v>PT17</v>
      </c>
      <c r="H91" t="s">
        <v>97</v>
      </c>
      <c r="I91">
        <v>7</v>
      </c>
      <c r="J91">
        <v>1937</v>
      </c>
    </row>
    <row r="92" spans="7:10" x14ac:dyDescent="0.2">
      <c r="G92" t="str">
        <f t="shared" si="8"/>
        <v>PT18</v>
      </c>
      <c r="H92" t="s">
        <v>97</v>
      </c>
      <c r="I92">
        <v>8</v>
      </c>
      <c r="J92">
        <v>2024</v>
      </c>
    </row>
    <row r="93" spans="7:10" x14ac:dyDescent="0.2">
      <c r="G93" t="str">
        <f t="shared" si="8"/>
        <v>PT21</v>
      </c>
      <c r="H93" t="s">
        <v>98</v>
      </c>
      <c r="I93">
        <v>1</v>
      </c>
      <c r="J93">
        <v>2114</v>
      </c>
    </row>
    <row r="94" spans="7:10" x14ac:dyDescent="0.2">
      <c r="G94" t="str">
        <f t="shared" si="8"/>
        <v>PT22</v>
      </c>
      <c r="H94" t="s">
        <v>98</v>
      </c>
      <c r="I94">
        <v>2</v>
      </c>
      <c r="J94">
        <v>2294</v>
      </c>
    </row>
    <row r="95" spans="7:10" x14ac:dyDescent="0.2">
      <c r="G95" t="str">
        <f t="shared" si="8"/>
        <v>PT23</v>
      </c>
      <c r="H95" t="s">
        <v>98</v>
      </c>
      <c r="I95">
        <v>3</v>
      </c>
      <c r="J95">
        <v>2384</v>
      </c>
    </row>
    <row r="96" spans="7:10" x14ac:dyDescent="0.2">
      <c r="G96" t="str">
        <f t="shared" si="8"/>
        <v>PT24</v>
      </c>
      <c r="H96" t="s">
        <v>98</v>
      </c>
      <c r="I96">
        <v>4</v>
      </c>
      <c r="J96">
        <v>2474</v>
      </c>
    </row>
    <row r="97" spans="7:10" x14ac:dyDescent="0.2">
      <c r="G97" t="str">
        <f t="shared" si="8"/>
        <v>PT25</v>
      </c>
      <c r="H97" t="s">
        <v>98</v>
      </c>
      <c r="I97">
        <v>5</v>
      </c>
      <c r="J97">
        <v>2618</v>
      </c>
    </row>
    <row r="98" spans="7:10" x14ac:dyDescent="0.2">
      <c r="G98" t="str">
        <f t="shared" si="8"/>
        <v>PT26</v>
      </c>
      <c r="H98" t="s">
        <v>98</v>
      </c>
      <c r="I98">
        <v>6</v>
      </c>
      <c r="J98">
        <v>2779</v>
      </c>
    </row>
    <row r="99" spans="7:10" x14ac:dyDescent="0.2">
      <c r="G99" t="str">
        <f t="shared" si="8"/>
        <v>PT27</v>
      </c>
      <c r="H99" t="s">
        <v>98</v>
      </c>
      <c r="I99">
        <v>7</v>
      </c>
      <c r="J99">
        <v>2923</v>
      </c>
    </row>
    <row r="100" spans="7:10" x14ac:dyDescent="0.2">
      <c r="G100" t="str">
        <f t="shared" si="8"/>
        <v>PT31</v>
      </c>
      <c r="H100" t="s">
        <v>47</v>
      </c>
      <c r="I100">
        <v>1</v>
      </c>
      <c r="J100">
        <v>3103</v>
      </c>
    </row>
    <row r="101" spans="7:10" x14ac:dyDescent="0.2">
      <c r="G101" t="str">
        <f t="shared" si="8"/>
        <v>PT32</v>
      </c>
      <c r="H101" t="s">
        <v>47</v>
      </c>
      <c r="I101">
        <v>2</v>
      </c>
      <c r="J101">
        <v>3193</v>
      </c>
    </row>
    <row r="102" spans="7:10" x14ac:dyDescent="0.2">
      <c r="G102" t="str">
        <f t="shared" si="8"/>
        <v>PT33</v>
      </c>
      <c r="H102" t="s">
        <v>47</v>
      </c>
      <c r="I102">
        <v>3</v>
      </c>
      <c r="J102">
        <v>3283</v>
      </c>
    </row>
    <row r="103" spans="7:10" x14ac:dyDescent="0.2">
      <c r="G103" t="str">
        <f t="shared" si="8"/>
        <v>PT41</v>
      </c>
      <c r="H103" t="s">
        <v>53</v>
      </c>
      <c r="I103">
        <v>1</v>
      </c>
      <c r="J103">
        <v>3530</v>
      </c>
    </row>
    <row r="104" spans="7:10" x14ac:dyDescent="0.2">
      <c r="G104" t="str">
        <f t="shared" si="8"/>
        <v>PT42</v>
      </c>
      <c r="H104" t="s">
        <v>53</v>
      </c>
      <c r="I104">
        <v>2</v>
      </c>
      <c r="J104">
        <v>3613</v>
      </c>
    </row>
    <row r="105" spans="7:10" x14ac:dyDescent="0.2">
      <c r="G105" t="str">
        <f t="shared" si="8"/>
        <v>PT43</v>
      </c>
      <c r="H105" t="s">
        <v>53</v>
      </c>
      <c r="I105">
        <v>3</v>
      </c>
      <c r="J105">
        <v>3694</v>
      </c>
    </row>
    <row r="106" spans="7:10" x14ac:dyDescent="0.2">
      <c r="G106" t="str">
        <f t="shared" si="8"/>
        <v>PT44</v>
      </c>
      <c r="H106" t="s">
        <v>53</v>
      </c>
      <c r="I106">
        <v>4</v>
      </c>
      <c r="J106">
        <v>3777</v>
      </c>
    </row>
    <row r="107" spans="7:10" x14ac:dyDescent="0.2">
      <c r="G107" t="str">
        <f t="shared" si="8"/>
        <v>PT51</v>
      </c>
      <c r="H107" t="s">
        <v>99</v>
      </c>
      <c r="I107">
        <v>1</v>
      </c>
      <c r="J107">
        <v>3952</v>
      </c>
    </row>
    <row r="108" spans="7:10" x14ac:dyDescent="0.2">
      <c r="G108" t="str">
        <f t="shared" si="8"/>
        <v>PT52</v>
      </c>
      <c r="H108" t="s">
        <v>99</v>
      </c>
      <c r="I108">
        <v>2</v>
      </c>
      <c r="J108">
        <v>4047</v>
      </c>
    </row>
    <row r="109" spans="7:10" x14ac:dyDescent="0.2">
      <c r="G109" t="str">
        <f t="shared" si="8"/>
        <v>PT53</v>
      </c>
      <c r="H109" t="s">
        <v>99</v>
      </c>
      <c r="I109">
        <v>3</v>
      </c>
      <c r="J109">
        <v>4143</v>
      </c>
    </row>
    <row r="110" spans="7:10" x14ac:dyDescent="0.2">
      <c r="G110" t="str">
        <f t="shared" si="8"/>
        <v>PT54</v>
      </c>
      <c r="H110" t="s">
        <v>99</v>
      </c>
      <c r="I110">
        <v>4</v>
      </c>
      <c r="J110">
        <v>4238</v>
      </c>
    </row>
    <row r="111" spans="7:10" x14ac:dyDescent="0.2">
      <c r="G111" t="str">
        <f t="shared" si="8"/>
        <v>PT61</v>
      </c>
      <c r="H111" t="s">
        <v>100</v>
      </c>
      <c r="I111">
        <v>1</v>
      </c>
      <c r="J111">
        <v>4379</v>
      </c>
    </row>
    <row r="112" spans="7:10" x14ac:dyDescent="0.2">
      <c r="G112" t="str">
        <f t="shared" si="8"/>
        <v>PT62</v>
      </c>
      <c r="H112" t="s">
        <v>100</v>
      </c>
      <c r="I112">
        <v>2</v>
      </c>
      <c r="J112">
        <v>4464</v>
      </c>
    </row>
    <row r="113" spans="7:10" x14ac:dyDescent="0.2">
      <c r="G113" t="str">
        <f t="shared" si="8"/>
        <v>PT63</v>
      </c>
      <c r="H113" t="s">
        <v>100</v>
      </c>
      <c r="I113">
        <v>3</v>
      </c>
      <c r="J113">
        <v>4549</v>
      </c>
    </row>
    <row r="114" spans="7:10" x14ac:dyDescent="0.2">
      <c r="G114" t="str">
        <f t="shared" si="8"/>
        <v>PT64</v>
      </c>
      <c r="H114" t="s">
        <v>100</v>
      </c>
      <c r="I114">
        <v>4</v>
      </c>
      <c r="J114">
        <v>4632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W109"/>
  <sheetViews>
    <sheetView topLeftCell="E1" workbookViewId="0">
      <pane ySplit="1" topLeftCell="A2" activePane="bottomLeft" state="frozen"/>
      <selection pane="bottomLeft" activeCell="G1" sqref="G1"/>
    </sheetView>
  </sheetViews>
  <sheetFormatPr defaultRowHeight="12.75" x14ac:dyDescent="0.2"/>
  <cols>
    <col min="1" max="1" width="20.85546875" customWidth="1"/>
    <col min="2" max="2" width="15.28515625" bestFit="1" customWidth="1"/>
    <col min="3" max="3" width="15.42578125" bestFit="1" customWidth="1"/>
    <col min="4" max="4" width="17" bestFit="1" customWidth="1"/>
    <col min="6" max="6" width="12.28515625" style="11" customWidth="1"/>
    <col min="7" max="7" width="15" bestFit="1" customWidth="1"/>
    <col min="8" max="8" width="15" customWidth="1"/>
    <col min="9" max="9" width="28.42578125" bestFit="1" customWidth="1"/>
    <col min="10" max="10" width="28.42578125" customWidth="1"/>
    <col min="11" max="11" width="11.42578125" bestFit="1" customWidth="1"/>
    <col min="12" max="12" width="9" customWidth="1"/>
    <col min="13" max="14" width="6.140625" customWidth="1"/>
    <col min="15" max="15" width="11.140625" customWidth="1"/>
    <col min="16" max="16" width="12.85546875" bestFit="1" customWidth="1"/>
    <col min="17" max="17" width="12.140625" bestFit="1" customWidth="1"/>
    <col min="18" max="18" width="10.5703125" bestFit="1" customWidth="1"/>
    <col min="19" max="19" width="15.28515625" customWidth="1"/>
    <col min="21" max="21" width="14" bestFit="1" customWidth="1"/>
    <col min="22" max="22" width="11" style="7" customWidth="1"/>
  </cols>
  <sheetData>
    <row r="1" spans="1:23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340</v>
      </c>
      <c r="I1" s="42" t="s">
        <v>7</v>
      </c>
      <c r="J1" s="42"/>
      <c r="K1" s="42" t="s">
        <v>8</v>
      </c>
      <c r="L1" s="42" t="s">
        <v>9</v>
      </c>
      <c r="M1" s="42" t="s">
        <v>10</v>
      </c>
      <c r="N1" s="42"/>
      <c r="O1" s="42" t="s">
        <v>11</v>
      </c>
      <c r="P1" s="42" t="s">
        <v>12</v>
      </c>
      <c r="Q1" s="42" t="s">
        <v>13</v>
      </c>
      <c r="R1" s="42" t="s">
        <v>14</v>
      </c>
      <c r="S1" s="41" t="s">
        <v>82</v>
      </c>
      <c r="T1" s="41" t="s">
        <v>86</v>
      </c>
      <c r="U1" s="41" t="s">
        <v>104</v>
      </c>
      <c r="V1" s="43" t="s">
        <v>103</v>
      </c>
      <c r="W1" s="1"/>
    </row>
    <row r="2" spans="1:23" x14ac:dyDescent="0.2">
      <c r="A2" s="2" t="s">
        <v>15</v>
      </c>
      <c r="B2" s="2" t="s">
        <v>139</v>
      </c>
      <c r="C2" s="2" t="s">
        <v>235</v>
      </c>
      <c r="D2" s="3">
        <v>24367</v>
      </c>
      <c r="E2" s="4">
        <v>47</v>
      </c>
      <c r="F2" s="3">
        <v>43739</v>
      </c>
      <c r="G2" s="3">
        <v>43093</v>
      </c>
      <c r="H2" s="30" t="str">
        <f>VLOOKUP((F2-G2)/365,Lists!$L$2:$M$6,2,1)</f>
        <v>0-2</v>
      </c>
      <c r="I2" s="2" t="s">
        <v>19</v>
      </c>
      <c r="J2" s="60">
        <f>Data!K2+2000</f>
        <v>45549</v>
      </c>
      <c r="K2" s="3">
        <v>43549</v>
      </c>
      <c r="L2" s="2" t="s">
        <v>16</v>
      </c>
      <c r="M2" s="2" t="s">
        <v>17</v>
      </c>
      <c r="N2" s="2"/>
      <c r="O2" s="3">
        <v>43739</v>
      </c>
      <c r="P2" s="5">
        <f>YEAR(O2)</f>
        <v>2019</v>
      </c>
      <c r="Q2" s="5">
        <v>10</v>
      </c>
      <c r="R2" s="5">
        <v>10</v>
      </c>
      <c r="S2" t="s">
        <v>126</v>
      </c>
      <c r="T2" s="6" t="str">
        <f t="shared" ref="T2:T78" si="0">L2&amp;M2</f>
        <v>CI12</v>
      </c>
      <c r="U2" s="9" t="str">
        <f>VLOOKUP(L2,Lists!$D$2:$E$19,2,0)</f>
        <v>Engineer</v>
      </c>
      <c r="V2" s="8">
        <f>VLOOKUP(T2,Lists!$G$2:$J$114,4,0)/2*52/12</f>
        <v>4004</v>
      </c>
      <c r="W2" s="2"/>
    </row>
    <row r="3" spans="1:23" x14ac:dyDescent="0.2">
      <c r="A3" s="2" t="s">
        <v>15</v>
      </c>
      <c r="B3" s="2" t="s">
        <v>140</v>
      </c>
      <c r="C3" s="2" t="s">
        <v>236</v>
      </c>
      <c r="D3" s="3">
        <v>28251</v>
      </c>
      <c r="E3" s="4">
        <v>36</v>
      </c>
      <c r="F3" s="3">
        <v>43739</v>
      </c>
      <c r="G3" s="3">
        <v>43043</v>
      </c>
      <c r="H3" s="30" t="str">
        <f>VLOOKUP((F3-G3)/365,Lists!$L$2:$M$6,2,1)</f>
        <v>0-2</v>
      </c>
      <c r="I3" s="2" t="s">
        <v>19</v>
      </c>
      <c r="J3" s="60">
        <f>Data!K3+2000</f>
        <v>45549</v>
      </c>
      <c r="K3" s="3">
        <v>43549</v>
      </c>
      <c r="L3" s="2" t="s">
        <v>16</v>
      </c>
      <c r="M3" s="2" t="s">
        <v>17</v>
      </c>
      <c r="N3" s="2"/>
      <c r="O3" s="3">
        <v>43739</v>
      </c>
      <c r="P3" s="5">
        <f t="shared" ref="P3:P66" si="1">YEAR(O3)</f>
        <v>2019</v>
      </c>
      <c r="Q3" s="5">
        <v>10</v>
      </c>
      <c r="R3" s="5">
        <v>10</v>
      </c>
      <c r="S3" t="s">
        <v>126</v>
      </c>
      <c r="T3" s="6" t="str">
        <f t="shared" si="0"/>
        <v>CI12</v>
      </c>
      <c r="U3" s="9" t="str">
        <f>VLOOKUP(L3,Lists!$D$2:$E$19,2,0)</f>
        <v>Engineer</v>
      </c>
      <c r="V3" s="8">
        <f>VLOOKUP(T3,Lists!$G$2:$J$114,4,0)/2*52/12</f>
        <v>4004</v>
      </c>
      <c r="W3" s="2"/>
    </row>
    <row r="4" spans="1:23" x14ac:dyDescent="0.2">
      <c r="A4" s="2" t="s">
        <v>15</v>
      </c>
      <c r="B4" s="2" t="s">
        <v>141</v>
      </c>
      <c r="C4" s="2" t="s">
        <v>237</v>
      </c>
      <c r="D4" s="3">
        <v>31076</v>
      </c>
      <c r="E4" s="4">
        <v>28</v>
      </c>
      <c r="F4" s="3">
        <v>43739</v>
      </c>
      <c r="G4" s="3">
        <v>43065</v>
      </c>
      <c r="H4" s="30" t="str">
        <f>VLOOKUP((F4-G4)/365,Lists!$L$2:$M$6,2,1)</f>
        <v>0-2</v>
      </c>
      <c r="I4" s="2" t="s">
        <v>372</v>
      </c>
      <c r="J4" s="60">
        <f>Data!K4+2000</f>
        <v>45549</v>
      </c>
      <c r="K4" s="3">
        <v>43549</v>
      </c>
      <c r="L4" s="2" t="s">
        <v>16</v>
      </c>
      <c r="M4" s="2" t="s">
        <v>17</v>
      </c>
      <c r="N4" s="2"/>
      <c r="O4" s="3">
        <v>43739</v>
      </c>
      <c r="P4" s="5">
        <f t="shared" si="1"/>
        <v>2019</v>
      </c>
      <c r="Q4" s="5">
        <v>10</v>
      </c>
      <c r="R4" s="5">
        <v>10</v>
      </c>
      <c r="S4" t="s">
        <v>126</v>
      </c>
      <c r="T4" s="6" t="str">
        <f t="shared" si="0"/>
        <v>CI12</v>
      </c>
      <c r="U4" s="9" t="str">
        <f>VLOOKUP(L4,Lists!$D$2:$E$19,2,0)</f>
        <v>Engineer</v>
      </c>
      <c r="V4" s="8">
        <f>VLOOKUP(T4,Lists!$G$2:$J$114,4,0)/2*52/12</f>
        <v>4004</v>
      </c>
      <c r="W4" s="2"/>
    </row>
    <row r="5" spans="1:23" x14ac:dyDescent="0.2">
      <c r="A5" s="2" t="s">
        <v>18</v>
      </c>
      <c r="B5" s="2" t="s">
        <v>142</v>
      </c>
      <c r="C5" s="2" t="s">
        <v>238</v>
      </c>
      <c r="D5" s="3">
        <v>30559</v>
      </c>
      <c r="E5" s="4">
        <v>30</v>
      </c>
      <c r="F5" s="3">
        <v>43742</v>
      </c>
      <c r="G5" s="3">
        <v>42189</v>
      </c>
      <c r="H5" s="30" t="str">
        <f>VLOOKUP((F5-G5)/365,Lists!$L$2:$M$6,2,1)</f>
        <v>2-5</v>
      </c>
      <c r="I5" s="2" t="s">
        <v>19</v>
      </c>
      <c r="J5" s="60">
        <f>Data!K5+2000</f>
        <v>45552</v>
      </c>
      <c r="K5" s="3">
        <v>43552</v>
      </c>
      <c r="L5" s="2" t="s">
        <v>20</v>
      </c>
      <c r="M5" s="2" t="s">
        <v>21</v>
      </c>
      <c r="N5" s="2"/>
      <c r="O5" s="3">
        <v>43741</v>
      </c>
      <c r="P5" s="5">
        <f t="shared" si="1"/>
        <v>2019</v>
      </c>
      <c r="Q5" s="5">
        <v>10</v>
      </c>
      <c r="R5" s="5">
        <v>10</v>
      </c>
      <c r="S5" t="s">
        <v>126</v>
      </c>
      <c r="T5" s="6" t="str">
        <f t="shared" si="0"/>
        <v>ET21</v>
      </c>
      <c r="U5" s="9" t="str">
        <f>VLOOKUP(L5,Lists!$D$2:$E$19,2,0)</f>
        <v>Administation</v>
      </c>
      <c r="V5" s="8">
        <f>VLOOKUP(T5,Lists!$G$2:$J$114,4,0)/2*52/12</f>
        <v>4589</v>
      </c>
      <c r="W5" s="2"/>
    </row>
    <row r="6" spans="1:23" x14ac:dyDescent="0.2">
      <c r="A6" s="2" t="s">
        <v>22</v>
      </c>
      <c r="B6" s="2" t="s">
        <v>143</v>
      </c>
      <c r="C6" s="2" t="s">
        <v>239</v>
      </c>
      <c r="D6" s="3">
        <v>24319</v>
      </c>
      <c r="E6" s="4">
        <v>47</v>
      </c>
      <c r="F6" s="3">
        <v>43742</v>
      </c>
      <c r="G6" s="3">
        <v>40359</v>
      </c>
      <c r="H6" s="30" t="str">
        <f>VLOOKUP((F6-G6)/365,Lists!$L$2:$M$6,2,1)</f>
        <v>7-10</v>
      </c>
      <c r="I6" s="2" t="s">
        <v>19</v>
      </c>
      <c r="J6" s="60">
        <f>Data!K6+2000</f>
        <v>45552</v>
      </c>
      <c r="K6" s="3">
        <v>43552</v>
      </c>
      <c r="L6" s="2" t="s">
        <v>23</v>
      </c>
      <c r="M6" s="2" t="s">
        <v>24</v>
      </c>
      <c r="N6" s="2"/>
      <c r="O6" s="3">
        <v>43742</v>
      </c>
      <c r="P6" s="5">
        <f t="shared" si="1"/>
        <v>2019</v>
      </c>
      <c r="Q6" s="5">
        <v>10</v>
      </c>
      <c r="R6" s="5">
        <v>10</v>
      </c>
      <c r="S6" t="s">
        <v>126</v>
      </c>
      <c r="T6" s="6" t="str">
        <f t="shared" si="0"/>
        <v>CI24</v>
      </c>
      <c r="U6" s="9" t="str">
        <f>VLOOKUP(L6,Lists!$D$2:$E$19,2,0)</f>
        <v>Engineer</v>
      </c>
      <c r="V6" s="8">
        <f>VLOOKUP(T6,Lists!$G$2:$J$114,4,0)/2*52/12</f>
        <v>5278</v>
      </c>
      <c r="W6" s="2"/>
    </row>
    <row r="7" spans="1:23" x14ac:dyDescent="0.2">
      <c r="A7" s="2" t="s">
        <v>25</v>
      </c>
      <c r="B7" s="2" t="s">
        <v>144</v>
      </c>
      <c r="C7" s="2" t="s">
        <v>240</v>
      </c>
      <c r="D7" s="3">
        <v>31988</v>
      </c>
      <c r="E7" s="4">
        <v>26</v>
      </c>
      <c r="F7" s="3">
        <v>43742</v>
      </c>
      <c r="G7" s="3">
        <v>40747</v>
      </c>
      <c r="H7" s="30" t="str">
        <f>VLOOKUP((F7-G7)/365,Lists!$L$2:$M$6,2,1)</f>
        <v>7-10</v>
      </c>
      <c r="I7" s="2" t="s">
        <v>19</v>
      </c>
      <c r="J7" s="60">
        <f>Data!K7+2000</f>
        <v>45552</v>
      </c>
      <c r="K7" s="3">
        <v>43552</v>
      </c>
      <c r="L7" s="2" t="s">
        <v>331</v>
      </c>
      <c r="M7" s="2" t="s">
        <v>24</v>
      </c>
      <c r="N7" s="2"/>
      <c r="O7" s="3">
        <v>43747</v>
      </c>
      <c r="P7" s="5">
        <f t="shared" si="1"/>
        <v>2019</v>
      </c>
      <c r="Q7" s="5">
        <v>10</v>
      </c>
      <c r="R7" s="5">
        <v>10</v>
      </c>
      <c r="S7" t="s">
        <v>127</v>
      </c>
      <c r="T7" s="6" t="s">
        <v>333</v>
      </c>
      <c r="U7" s="9" t="str">
        <f>VLOOKUP(L7,Lists!$D$2:$E$19,2,0)</f>
        <v>Legal</v>
      </c>
      <c r="V7" s="8">
        <f>VLOOKUP(T7,Lists!$G$2:$J$114,4,0)/2*52/12</f>
        <v>9856.1666666666661</v>
      </c>
      <c r="W7" s="2"/>
    </row>
    <row r="8" spans="1:23" x14ac:dyDescent="0.2">
      <c r="A8" s="2" t="s">
        <v>26</v>
      </c>
      <c r="B8" s="2" t="s">
        <v>145</v>
      </c>
      <c r="C8" s="2" t="s">
        <v>241</v>
      </c>
      <c r="D8" s="3">
        <v>18808</v>
      </c>
      <c r="E8" s="4">
        <v>62</v>
      </c>
      <c r="F8" s="3">
        <v>43742</v>
      </c>
      <c r="G8" s="3">
        <v>40359</v>
      </c>
      <c r="H8" s="30" t="str">
        <f>VLOOKUP((F8-G8)/365,Lists!$L$2:$M$6,2,1)</f>
        <v>7-10</v>
      </c>
      <c r="I8" s="2" t="s">
        <v>372</v>
      </c>
      <c r="J8" s="60">
        <f>Data!K8+2000</f>
        <v>45552</v>
      </c>
      <c r="K8" s="3">
        <v>43552</v>
      </c>
      <c r="L8" s="2" t="s">
        <v>27</v>
      </c>
      <c r="M8" s="2"/>
      <c r="N8" s="2"/>
      <c r="O8" s="3">
        <v>43747</v>
      </c>
      <c r="P8" s="5">
        <f t="shared" si="1"/>
        <v>2019</v>
      </c>
      <c r="Q8" s="5">
        <v>10</v>
      </c>
      <c r="R8" s="5">
        <v>10</v>
      </c>
      <c r="S8" t="s">
        <v>127</v>
      </c>
      <c r="T8" s="6" t="str">
        <f t="shared" si="0"/>
        <v>CONT</v>
      </c>
      <c r="U8" s="9" t="str">
        <f>VLOOKUP(L8,Lists!$D$2:$E$19,2,0)</f>
        <v>Contract Mger</v>
      </c>
      <c r="V8" s="8">
        <f>VLOOKUP(T8,Lists!$G$2:$J$114,4,0)/2*52/12</f>
        <v>13000</v>
      </c>
      <c r="W8" s="2"/>
    </row>
    <row r="9" spans="1:23" x14ac:dyDescent="0.2">
      <c r="A9" s="2" t="s">
        <v>28</v>
      </c>
      <c r="B9" s="2" t="s">
        <v>146</v>
      </c>
      <c r="C9" s="2" t="s">
        <v>242</v>
      </c>
      <c r="D9" s="3">
        <v>16195</v>
      </c>
      <c r="E9" s="4">
        <v>69</v>
      </c>
      <c r="F9" s="3">
        <v>43742</v>
      </c>
      <c r="G9" s="3">
        <v>27608</v>
      </c>
      <c r="H9" s="30" t="str">
        <f>VLOOKUP((F9-G9)/365,Lists!$L$2:$M$6,2,1)</f>
        <v>10+</v>
      </c>
      <c r="I9" s="2" t="s">
        <v>372</v>
      </c>
      <c r="J9" s="60">
        <f>Data!K9+2000</f>
        <v>45552</v>
      </c>
      <c r="K9" s="3">
        <v>43552</v>
      </c>
      <c r="L9" s="2" t="s">
        <v>29</v>
      </c>
      <c r="M9" s="2" t="s">
        <v>17</v>
      </c>
      <c r="N9" s="2"/>
      <c r="O9" s="3">
        <v>43747</v>
      </c>
      <c r="P9" s="5">
        <f t="shared" si="1"/>
        <v>2019</v>
      </c>
      <c r="Q9" s="5">
        <v>10</v>
      </c>
      <c r="R9" s="5">
        <v>10</v>
      </c>
      <c r="S9" t="s">
        <v>127</v>
      </c>
      <c r="T9" s="6" t="str">
        <f t="shared" si="0"/>
        <v>CI32</v>
      </c>
      <c r="U9" s="9" t="str">
        <f>VLOOKUP(L9,Lists!$D$2:$E$19,2,0)</f>
        <v>Engineer</v>
      </c>
      <c r="V9" s="8">
        <f>VLOOKUP(T9,Lists!$G$2:$J$114,4,0)/2*52/12</f>
        <v>5726.5</v>
      </c>
      <c r="W9" s="2"/>
    </row>
    <row r="10" spans="1:23" x14ac:dyDescent="0.2">
      <c r="A10" s="2" t="s">
        <v>30</v>
      </c>
      <c r="B10" s="2" t="s">
        <v>147</v>
      </c>
      <c r="C10" s="2" t="s">
        <v>243</v>
      </c>
      <c r="D10" s="3">
        <v>27388</v>
      </c>
      <c r="E10" s="4">
        <v>38</v>
      </c>
      <c r="F10" s="3">
        <v>43744</v>
      </c>
      <c r="G10" s="3">
        <v>41289</v>
      </c>
      <c r="H10" s="30" t="str">
        <f>VLOOKUP((F10-G10)/365,Lists!$L$2:$M$6,2,1)</f>
        <v>5-7</v>
      </c>
      <c r="I10" s="2" t="s">
        <v>19</v>
      </c>
      <c r="J10" s="60">
        <f>Data!K10+2000</f>
        <v>45554</v>
      </c>
      <c r="K10" s="3">
        <v>43554</v>
      </c>
      <c r="L10" s="2" t="s">
        <v>23</v>
      </c>
      <c r="M10" s="2" t="s">
        <v>31</v>
      </c>
      <c r="N10" s="2"/>
      <c r="O10" s="3">
        <v>43754</v>
      </c>
      <c r="P10" s="5">
        <f t="shared" si="1"/>
        <v>2019</v>
      </c>
      <c r="Q10" s="5">
        <v>10</v>
      </c>
      <c r="R10" s="5">
        <v>10</v>
      </c>
      <c r="S10" t="s">
        <v>127</v>
      </c>
      <c r="T10" s="6" t="str">
        <f t="shared" si="0"/>
        <v>CI23</v>
      </c>
      <c r="U10" s="9" t="str">
        <f>VLOOKUP(L10,Lists!$D$2:$E$19,2,0)</f>
        <v>Engineer</v>
      </c>
      <c r="V10" s="8">
        <f>VLOOKUP(T10,Lists!$G$2:$J$114,4,0)/2*52/12</f>
        <v>5052.666666666667</v>
      </c>
      <c r="W10" s="2"/>
    </row>
    <row r="11" spans="1:23" x14ac:dyDescent="0.2">
      <c r="A11" s="2" t="s">
        <v>32</v>
      </c>
      <c r="B11" s="2" t="s">
        <v>148</v>
      </c>
      <c r="C11" s="2" t="s">
        <v>244</v>
      </c>
      <c r="D11" s="3">
        <v>22634</v>
      </c>
      <c r="E11" s="4">
        <v>51</v>
      </c>
      <c r="F11" s="3">
        <v>43746</v>
      </c>
      <c r="G11" s="3">
        <v>32082</v>
      </c>
      <c r="H11" s="30" t="str">
        <f>VLOOKUP((F11-G11)/365,Lists!$L$2:$M$6,2,1)</f>
        <v>10+</v>
      </c>
      <c r="I11" s="2" t="s">
        <v>19</v>
      </c>
      <c r="J11" s="60">
        <f>Data!K11+2000</f>
        <v>45556</v>
      </c>
      <c r="K11" s="3">
        <v>43556</v>
      </c>
      <c r="L11" s="2" t="s">
        <v>23</v>
      </c>
      <c r="M11" s="2" t="s">
        <v>21</v>
      </c>
      <c r="N11" s="2"/>
      <c r="O11" s="3">
        <v>43748</v>
      </c>
      <c r="P11" s="5">
        <f t="shared" si="1"/>
        <v>2019</v>
      </c>
      <c r="Q11" s="5">
        <v>10</v>
      </c>
      <c r="R11" s="5">
        <v>10</v>
      </c>
      <c r="S11" t="s">
        <v>126</v>
      </c>
      <c r="T11" s="6" t="str">
        <f t="shared" si="0"/>
        <v>CI21</v>
      </c>
      <c r="U11" s="9" t="str">
        <f>VLOOKUP(L11,Lists!$D$2:$E$19,2,0)</f>
        <v>Engineer</v>
      </c>
      <c r="V11" s="8">
        <f>VLOOKUP(T11,Lists!$G$2:$J$114,4,0)/2*52/12</f>
        <v>4608.5</v>
      </c>
      <c r="W11" s="2"/>
    </row>
    <row r="12" spans="1:23" x14ac:dyDescent="0.2">
      <c r="A12" s="2" t="s">
        <v>33</v>
      </c>
      <c r="B12" s="2" t="s">
        <v>149</v>
      </c>
      <c r="C12" s="2" t="s">
        <v>245</v>
      </c>
      <c r="D12" s="3">
        <v>29307</v>
      </c>
      <c r="E12" s="4">
        <v>33</v>
      </c>
      <c r="F12" s="3">
        <v>43748</v>
      </c>
      <c r="G12" s="3">
        <v>42098</v>
      </c>
      <c r="H12" s="30" t="str">
        <f>VLOOKUP((F12-G12)/365,Lists!$L$2:$M$6,2,1)</f>
        <v>2-5</v>
      </c>
      <c r="I12" s="2" t="s">
        <v>372</v>
      </c>
      <c r="J12" s="60">
        <f>Data!K12+2000</f>
        <v>45558</v>
      </c>
      <c r="K12" s="3">
        <v>43558</v>
      </c>
      <c r="L12" s="2" t="s">
        <v>20</v>
      </c>
      <c r="M12" s="2" t="s">
        <v>21</v>
      </c>
      <c r="N12" s="2"/>
      <c r="O12" s="3">
        <v>43748</v>
      </c>
      <c r="P12" s="5">
        <f t="shared" si="1"/>
        <v>2019</v>
      </c>
      <c r="Q12" s="5">
        <v>10</v>
      </c>
      <c r="R12" s="5">
        <v>10</v>
      </c>
      <c r="S12" t="s">
        <v>127</v>
      </c>
      <c r="T12" s="6" t="str">
        <f t="shared" si="0"/>
        <v>ET21</v>
      </c>
      <c r="U12" s="9" t="str">
        <f>VLOOKUP(L12,Lists!$D$2:$E$19,2,0)</f>
        <v>Administation</v>
      </c>
      <c r="V12" s="8">
        <f>VLOOKUP(T12,Lists!$G$2:$J$114,4,0)/2*52/12</f>
        <v>4589</v>
      </c>
      <c r="W12" s="2"/>
    </row>
    <row r="13" spans="1:23" x14ac:dyDescent="0.2">
      <c r="A13" s="2" t="s">
        <v>33</v>
      </c>
      <c r="B13" s="2" t="s">
        <v>150</v>
      </c>
      <c r="C13" s="2" t="s">
        <v>246</v>
      </c>
      <c r="D13" s="3">
        <v>33588</v>
      </c>
      <c r="E13" s="4">
        <v>21</v>
      </c>
      <c r="F13" s="3">
        <v>43748</v>
      </c>
      <c r="G13" s="3">
        <v>42098</v>
      </c>
      <c r="H13" s="30" t="str">
        <f>VLOOKUP((F13-G13)/365,Lists!$L$2:$M$6,2,1)</f>
        <v>2-5</v>
      </c>
      <c r="I13" s="2" t="s">
        <v>38</v>
      </c>
      <c r="J13" s="60">
        <f>Data!K13+2000</f>
        <v>45558</v>
      </c>
      <c r="K13" s="3">
        <v>43558</v>
      </c>
      <c r="L13" s="2" t="s">
        <v>20</v>
      </c>
      <c r="M13" s="2" t="s">
        <v>21</v>
      </c>
      <c r="N13" s="2"/>
      <c r="O13" s="3">
        <v>43748</v>
      </c>
      <c r="P13" s="5">
        <f t="shared" si="1"/>
        <v>2019</v>
      </c>
      <c r="Q13" s="5">
        <v>10</v>
      </c>
      <c r="R13" s="5">
        <v>10</v>
      </c>
      <c r="S13" t="s">
        <v>127</v>
      </c>
      <c r="T13" s="6" t="str">
        <f t="shared" si="0"/>
        <v>ET21</v>
      </c>
      <c r="U13" s="9" t="str">
        <f>VLOOKUP(L13,Lists!$D$2:$E$19,2,0)</f>
        <v>Administation</v>
      </c>
      <c r="V13" s="8">
        <f>VLOOKUP(T13,Lists!$G$2:$J$114,4,0)/2*52/12</f>
        <v>4589</v>
      </c>
      <c r="W13" s="2"/>
    </row>
    <row r="14" spans="1:23" x14ac:dyDescent="0.2">
      <c r="A14" s="2" t="s">
        <v>33</v>
      </c>
      <c r="B14" s="2" t="s">
        <v>151</v>
      </c>
      <c r="C14" s="2" t="s">
        <v>247</v>
      </c>
      <c r="D14" s="3">
        <v>32574</v>
      </c>
      <c r="E14" s="4">
        <v>24</v>
      </c>
      <c r="F14" s="3">
        <v>43748</v>
      </c>
      <c r="G14" s="3">
        <v>42098</v>
      </c>
      <c r="H14" s="30" t="str">
        <f>VLOOKUP((F14-G14)/365,Lists!$L$2:$M$6,2,1)</f>
        <v>2-5</v>
      </c>
      <c r="I14" s="2" t="s">
        <v>38</v>
      </c>
      <c r="J14" s="60">
        <f>Data!K14+2000</f>
        <v>45558</v>
      </c>
      <c r="K14" s="3">
        <v>43558</v>
      </c>
      <c r="L14" s="2" t="s">
        <v>20</v>
      </c>
      <c r="M14" s="2" t="s">
        <v>21</v>
      </c>
      <c r="N14" s="2"/>
      <c r="O14" s="3">
        <v>43748</v>
      </c>
      <c r="P14" s="5">
        <f t="shared" si="1"/>
        <v>2019</v>
      </c>
      <c r="Q14" s="5">
        <v>10</v>
      </c>
      <c r="R14" s="5">
        <v>10</v>
      </c>
      <c r="S14" t="s">
        <v>127</v>
      </c>
      <c r="T14" s="6" t="str">
        <f t="shared" si="0"/>
        <v>ET21</v>
      </c>
      <c r="U14" s="9" t="str">
        <f>VLOOKUP(L14,Lists!$D$2:$E$19,2,0)</f>
        <v>Administation</v>
      </c>
      <c r="V14" s="8">
        <f>VLOOKUP(T14,Lists!$G$2:$J$114,4,0)/2*52/12</f>
        <v>4589</v>
      </c>
      <c r="W14" s="2"/>
    </row>
    <row r="15" spans="1:23" x14ac:dyDescent="0.2">
      <c r="A15" s="2" t="s">
        <v>34</v>
      </c>
      <c r="B15" s="2" t="s">
        <v>152</v>
      </c>
      <c r="C15" s="2" t="s">
        <v>248</v>
      </c>
      <c r="D15" s="3">
        <v>30064</v>
      </c>
      <c r="E15" s="4">
        <v>31</v>
      </c>
      <c r="F15" s="3">
        <v>43748</v>
      </c>
      <c r="G15" s="3">
        <v>42098</v>
      </c>
      <c r="H15" s="30" t="str">
        <f>VLOOKUP((F15-G15)/365,Lists!$L$2:$M$6,2,1)</f>
        <v>2-5</v>
      </c>
      <c r="I15" s="2" t="s">
        <v>38</v>
      </c>
      <c r="J15" s="60">
        <f>Data!K15+2000</f>
        <v>45558</v>
      </c>
      <c r="K15" s="3">
        <v>43558</v>
      </c>
      <c r="L15" s="2" t="s">
        <v>20</v>
      </c>
      <c r="M15" s="2" t="s">
        <v>21</v>
      </c>
      <c r="N15" s="2"/>
      <c r="O15" s="3">
        <v>43749</v>
      </c>
      <c r="P15" s="5">
        <f t="shared" si="1"/>
        <v>2019</v>
      </c>
      <c r="Q15" s="5">
        <v>10</v>
      </c>
      <c r="R15" s="5">
        <v>10</v>
      </c>
      <c r="S15" t="s">
        <v>125</v>
      </c>
      <c r="T15" s="6" t="str">
        <f t="shared" si="0"/>
        <v>ET21</v>
      </c>
      <c r="U15" s="9" t="str">
        <f>VLOOKUP(L15,Lists!$D$2:$E$19,2,0)</f>
        <v>Administation</v>
      </c>
      <c r="V15" s="8">
        <f>VLOOKUP(T15,Lists!$G$2:$J$114,4,0)/2*52/12</f>
        <v>4589</v>
      </c>
      <c r="W15" s="2"/>
    </row>
    <row r="16" spans="1:23" x14ac:dyDescent="0.2">
      <c r="A16" s="2" t="s">
        <v>35</v>
      </c>
      <c r="B16" s="2" t="s">
        <v>153</v>
      </c>
      <c r="C16" s="2" t="s">
        <v>249</v>
      </c>
      <c r="D16" s="3">
        <v>17437</v>
      </c>
      <c r="E16" s="4">
        <v>66</v>
      </c>
      <c r="F16" s="3">
        <v>43748</v>
      </c>
      <c r="G16" s="3">
        <v>28009</v>
      </c>
      <c r="H16" s="30" t="str">
        <f>VLOOKUP((F16-G16)/365,Lists!$L$2:$M$6,2,1)</f>
        <v>10+</v>
      </c>
      <c r="I16" s="2" t="s">
        <v>38</v>
      </c>
      <c r="J16" s="60">
        <f>Data!K16+2000</f>
        <v>45558</v>
      </c>
      <c r="K16" s="3">
        <v>43558</v>
      </c>
      <c r="L16" s="2" t="s">
        <v>36</v>
      </c>
      <c r="M16" s="2" t="s">
        <v>17</v>
      </c>
      <c r="N16" s="2"/>
      <c r="O16" s="3">
        <v>43752</v>
      </c>
      <c r="P16" s="5">
        <f t="shared" si="1"/>
        <v>2019</v>
      </c>
      <c r="Q16" s="5">
        <v>10</v>
      </c>
      <c r="R16" s="5">
        <v>10</v>
      </c>
      <c r="S16" t="s">
        <v>126</v>
      </c>
      <c r="T16" s="6" t="str">
        <f t="shared" si="0"/>
        <v>CI42</v>
      </c>
      <c r="U16" s="9" t="str">
        <f>VLOOKUP(L16,Lists!$D$2:$E$19,2,0)</f>
        <v>Engineer</v>
      </c>
      <c r="V16" s="8">
        <f>VLOOKUP(T16,Lists!$G$2:$J$114,4,0)/2*52/12</f>
        <v>6853.166666666667</v>
      </c>
      <c r="W16" s="2"/>
    </row>
    <row r="17" spans="1:23" x14ac:dyDescent="0.2">
      <c r="A17" s="2" t="s">
        <v>33</v>
      </c>
      <c r="B17" s="2" t="s">
        <v>154</v>
      </c>
      <c r="C17" s="2" t="s">
        <v>250</v>
      </c>
      <c r="D17" s="3">
        <v>31613</v>
      </c>
      <c r="E17" s="4">
        <v>27</v>
      </c>
      <c r="F17" s="3">
        <v>43748</v>
      </c>
      <c r="G17" s="3">
        <v>42099</v>
      </c>
      <c r="H17" s="30" t="str">
        <f>VLOOKUP((F17-G17)/365,Lists!$L$2:$M$6,2,1)</f>
        <v>2-5</v>
      </c>
      <c r="I17" s="2" t="s">
        <v>19</v>
      </c>
      <c r="J17" s="60">
        <f>Data!K17+2000</f>
        <v>45558</v>
      </c>
      <c r="K17" s="3">
        <v>43558</v>
      </c>
      <c r="L17" s="2" t="s">
        <v>20</v>
      </c>
      <c r="M17" s="2" t="s">
        <v>21</v>
      </c>
      <c r="N17" s="2"/>
      <c r="O17" s="3">
        <v>43754</v>
      </c>
      <c r="P17" s="5">
        <f t="shared" si="1"/>
        <v>2019</v>
      </c>
      <c r="Q17" s="5">
        <v>10</v>
      </c>
      <c r="R17" s="5">
        <v>10</v>
      </c>
      <c r="S17" t="s">
        <v>125</v>
      </c>
      <c r="T17" s="6" t="str">
        <f t="shared" si="0"/>
        <v>ET21</v>
      </c>
      <c r="U17" s="9" t="str">
        <f>VLOOKUP(L17,Lists!$D$2:$E$19,2,0)</f>
        <v>Administation</v>
      </c>
      <c r="V17" s="8">
        <f>VLOOKUP(T17,Lists!$G$2:$J$114,4,0)/2*52/12</f>
        <v>4589</v>
      </c>
      <c r="W17" s="2"/>
    </row>
    <row r="18" spans="1:23" x14ac:dyDescent="0.2">
      <c r="A18" s="2" t="s">
        <v>37</v>
      </c>
      <c r="B18" s="2" t="s">
        <v>155</v>
      </c>
      <c r="C18" s="2" t="s">
        <v>251</v>
      </c>
      <c r="D18" s="3">
        <v>26252</v>
      </c>
      <c r="E18" s="4">
        <v>42</v>
      </c>
      <c r="F18" s="3">
        <v>43749</v>
      </c>
      <c r="G18" s="3">
        <v>43484</v>
      </c>
      <c r="H18" s="30" t="str">
        <f>VLOOKUP((F18-G18)/365,Lists!$L$2:$M$6,2,1)</f>
        <v>0-2</v>
      </c>
      <c r="I18" s="2" t="s">
        <v>38</v>
      </c>
      <c r="J18" s="60">
        <f>Data!K18+2000</f>
        <v>45559</v>
      </c>
      <c r="K18" s="3">
        <v>43559</v>
      </c>
      <c r="L18" s="2" t="s">
        <v>16</v>
      </c>
      <c r="M18" s="2" t="s">
        <v>21</v>
      </c>
      <c r="N18" s="2"/>
      <c r="O18" s="3">
        <v>43754</v>
      </c>
      <c r="P18" s="5">
        <f t="shared" si="1"/>
        <v>2019</v>
      </c>
      <c r="Q18" s="5">
        <v>10</v>
      </c>
      <c r="R18" s="5">
        <v>10</v>
      </c>
      <c r="S18" t="s">
        <v>126</v>
      </c>
      <c r="T18" s="6" t="str">
        <f t="shared" si="0"/>
        <v>CI11</v>
      </c>
      <c r="U18" s="9" t="str">
        <f>VLOOKUP(L18,Lists!$D$2:$E$19,2,0)</f>
        <v>Engineer</v>
      </c>
      <c r="V18" s="8">
        <f>VLOOKUP(T18,Lists!$G$2:$J$114,4,0)/2*52/12</f>
        <v>3906.5</v>
      </c>
      <c r="W18" s="2"/>
    </row>
    <row r="19" spans="1:23" x14ac:dyDescent="0.2">
      <c r="A19" s="2" t="s">
        <v>39</v>
      </c>
      <c r="B19" s="2" t="s">
        <v>156</v>
      </c>
      <c r="C19" s="2" t="s">
        <v>252</v>
      </c>
      <c r="D19" s="3">
        <v>31974</v>
      </c>
      <c r="E19" s="4">
        <v>26</v>
      </c>
      <c r="F19" s="3">
        <v>43749</v>
      </c>
      <c r="G19" s="3">
        <v>40840</v>
      </c>
      <c r="H19" s="30" t="str">
        <f>VLOOKUP((F19-G19)/365,Lists!$L$2:$M$6,2,1)</f>
        <v>7-10</v>
      </c>
      <c r="I19" s="2" t="s">
        <v>19</v>
      </c>
      <c r="J19" s="60">
        <f>Data!K19+2000</f>
        <v>45559</v>
      </c>
      <c r="K19" s="3">
        <v>43559</v>
      </c>
      <c r="L19" s="2" t="s">
        <v>40</v>
      </c>
      <c r="M19" s="2" t="s">
        <v>24</v>
      </c>
      <c r="N19" s="2"/>
      <c r="O19" s="3">
        <v>43754</v>
      </c>
      <c r="P19" s="5">
        <f t="shared" si="1"/>
        <v>2019</v>
      </c>
      <c r="Q19" s="5">
        <v>10</v>
      </c>
      <c r="R19" s="5">
        <v>10</v>
      </c>
      <c r="S19" t="s">
        <v>125</v>
      </c>
      <c r="T19" s="6" t="str">
        <f t="shared" si="0"/>
        <v>AS34</v>
      </c>
      <c r="U19" s="9" t="str">
        <f>VLOOKUP(L19,Lists!$D$2:$E$19,2,0)</f>
        <v>Administation</v>
      </c>
      <c r="V19" s="8">
        <f>VLOOKUP(T19,Lists!$G$2:$J$114,4,0)/2*52/12</f>
        <v>5414.5</v>
      </c>
    </row>
    <row r="20" spans="1:23" x14ac:dyDescent="0.2">
      <c r="A20" s="2" t="s">
        <v>41</v>
      </c>
      <c r="B20" s="2" t="s">
        <v>157</v>
      </c>
      <c r="C20" s="2" t="s">
        <v>253</v>
      </c>
      <c r="D20" s="3">
        <v>30585</v>
      </c>
      <c r="E20" s="4">
        <v>30</v>
      </c>
      <c r="F20" s="3">
        <v>43754</v>
      </c>
      <c r="G20" s="3">
        <v>42469</v>
      </c>
      <c r="H20" s="30" t="str">
        <f>VLOOKUP((F20-G20)/365,Lists!$L$2:$M$6,2,1)</f>
        <v>2-5</v>
      </c>
      <c r="I20" s="2" t="s">
        <v>372</v>
      </c>
      <c r="J20" s="60">
        <f>Data!K20+2000</f>
        <v>45564</v>
      </c>
      <c r="K20" s="3">
        <v>43564</v>
      </c>
      <c r="L20" s="2" t="s">
        <v>42</v>
      </c>
      <c r="M20" s="2" t="s">
        <v>21</v>
      </c>
      <c r="N20" s="2"/>
      <c r="O20" s="3">
        <v>43756</v>
      </c>
      <c r="P20" s="5">
        <f t="shared" si="1"/>
        <v>2019</v>
      </c>
      <c r="Q20" s="5">
        <v>10</v>
      </c>
      <c r="R20" s="5">
        <v>10</v>
      </c>
      <c r="S20" t="s">
        <v>125</v>
      </c>
      <c r="T20" s="6" t="str">
        <f t="shared" si="0"/>
        <v>ET11</v>
      </c>
      <c r="U20" s="9" t="str">
        <f>VLOOKUP(L20,Lists!$D$2:$E$19,2,0)</f>
        <v>Administation</v>
      </c>
      <c r="V20" s="8">
        <f>VLOOKUP(T20,Lists!$G$2:$J$114,4,0)/2*52/12</f>
        <v>3841.5</v>
      </c>
    </row>
    <row r="21" spans="1:23" x14ac:dyDescent="0.2">
      <c r="A21" s="2" t="s">
        <v>30</v>
      </c>
      <c r="B21" s="2" t="s">
        <v>158</v>
      </c>
      <c r="C21" s="2" t="s">
        <v>254</v>
      </c>
      <c r="D21" s="3">
        <v>26053</v>
      </c>
      <c r="E21" s="4">
        <v>42</v>
      </c>
      <c r="F21" s="3">
        <v>43755</v>
      </c>
      <c r="G21" s="3">
        <v>41885</v>
      </c>
      <c r="H21" s="30" t="str">
        <f>VLOOKUP((F21-G21)/365,Lists!$L$2:$M$6,2,1)</f>
        <v>5-7</v>
      </c>
      <c r="I21" s="2" t="s">
        <v>38</v>
      </c>
      <c r="J21" s="60">
        <f>Data!K21+2000</f>
        <v>45565</v>
      </c>
      <c r="K21" s="3">
        <v>43565</v>
      </c>
      <c r="L21" s="2" t="s">
        <v>23</v>
      </c>
      <c r="M21" s="2" t="s">
        <v>31</v>
      </c>
      <c r="N21" s="2"/>
      <c r="O21" s="3">
        <v>43756</v>
      </c>
      <c r="P21" s="5">
        <f t="shared" si="1"/>
        <v>2019</v>
      </c>
      <c r="Q21" s="5">
        <v>10</v>
      </c>
      <c r="R21" s="5">
        <v>10</v>
      </c>
      <c r="S21" t="s">
        <v>125</v>
      </c>
      <c r="T21" s="6" t="str">
        <f t="shared" si="0"/>
        <v>CI23</v>
      </c>
      <c r="U21" s="9" t="str">
        <f>VLOOKUP(L21,Lists!$D$2:$E$19,2,0)</f>
        <v>Engineer</v>
      </c>
      <c r="V21" s="8">
        <f>VLOOKUP(T21,Lists!$G$2:$J$114,4,0)/2*52/12</f>
        <v>5052.666666666667</v>
      </c>
    </row>
    <row r="22" spans="1:23" x14ac:dyDescent="0.2">
      <c r="A22" s="2" t="s">
        <v>43</v>
      </c>
      <c r="B22" s="2" t="s">
        <v>159</v>
      </c>
      <c r="C22" s="2" t="s">
        <v>255</v>
      </c>
      <c r="D22" s="3">
        <v>21545</v>
      </c>
      <c r="E22" s="4">
        <v>54</v>
      </c>
      <c r="F22" s="3">
        <v>43763</v>
      </c>
      <c r="G22" s="3">
        <v>40359</v>
      </c>
      <c r="H22" s="30" t="str">
        <f>VLOOKUP((F22-G22)/365,Lists!$L$2:$M$6,2,1)</f>
        <v>7-10</v>
      </c>
      <c r="I22" s="2" t="s">
        <v>38</v>
      </c>
      <c r="J22" s="60">
        <f>Data!K22+2000</f>
        <v>45573</v>
      </c>
      <c r="K22" s="3">
        <v>43573</v>
      </c>
      <c r="L22" s="2" t="s">
        <v>27</v>
      </c>
      <c r="M22" s="2"/>
      <c r="N22" s="2"/>
      <c r="O22" s="3">
        <v>43769</v>
      </c>
      <c r="P22" s="5">
        <f t="shared" si="1"/>
        <v>2019</v>
      </c>
      <c r="Q22" s="5">
        <v>10</v>
      </c>
      <c r="R22" s="5">
        <v>10</v>
      </c>
      <c r="S22" t="s">
        <v>127</v>
      </c>
      <c r="T22" s="6" t="str">
        <f t="shared" si="0"/>
        <v>CONT</v>
      </c>
      <c r="U22" s="9" t="str">
        <f>VLOOKUP(L22,Lists!$D$2:$E$19,2,0)</f>
        <v>Contract Mger</v>
      </c>
      <c r="V22" s="8">
        <f>VLOOKUP(T22,Lists!$G$2:$J$114,4,0)/2*52/12</f>
        <v>13000</v>
      </c>
    </row>
    <row r="23" spans="1:23" x14ac:dyDescent="0.2">
      <c r="A23" s="2" t="s">
        <v>44</v>
      </c>
      <c r="B23" s="2" t="s">
        <v>160</v>
      </c>
      <c r="C23" s="2" t="s">
        <v>256</v>
      </c>
      <c r="D23" s="3">
        <v>23635</v>
      </c>
      <c r="E23" s="4">
        <v>49</v>
      </c>
      <c r="F23" s="3">
        <v>43763</v>
      </c>
      <c r="G23" s="3">
        <v>40359</v>
      </c>
      <c r="H23" s="30" t="str">
        <f>VLOOKUP((F23-G23)/365,Lists!$L$2:$M$6,2,1)</f>
        <v>7-10</v>
      </c>
      <c r="I23" s="2" t="s">
        <v>38</v>
      </c>
      <c r="J23" s="60">
        <f>Data!K23+2000</f>
        <v>45573</v>
      </c>
      <c r="K23" s="3">
        <v>43573</v>
      </c>
      <c r="L23" s="2" t="s">
        <v>27</v>
      </c>
      <c r="M23" s="2"/>
      <c r="N23" s="2"/>
      <c r="O23" s="3">
        <v>43769</v>
      </c>
      <c r="P23" s="5">
        <f t="shared" si="1"/>
        <v>2019</v>
      </c>
      <c r="Q23" s="5">
        <v>10</v>
      </c>
      <c r="R23" s="5">
        <v>10</v>
      </c>
      <c r="S23" t="s">
        <v>127</v>
      </c>
      <c r="T23" s="6" t="str">
        <f t="shared" si="0"/>
        <v>CONT</v>
      </c>
      <c r="U23" s="9" t="str">
        <f>VLOOKUP(L23,Lists!$D$2:$E$19,2,0)</f>
        <v>Contract Mger</v>
      </c>
      <c r="V23" s="8">
        <f>VLOOKUP(T23,Lists!$G$2:$J$114,4,0)/2*52/12</f>
        <v>13000</v>
      </c>
    </row>
    <row r="24" spans="1:23" x14ac:dyDescent="0.2">
      <c r="A24" s="2" t="s">
        <v>45</v>
      </c>
      <c r="B24" s="2" t="s">
        <v>161</v>
      </c>
      <c r="C24" s="2" t="s">
        <v>257</v>
      </c>
      <c r="D24" s="3">
        <v>23993</v>
      </c>
      <c r="E24" s="4">
        <v>48</v>
      </c>
      <c r="F24" s="3">
        <v>43763</v>
      </c>
      <c r="G24" s="3">
        <v>33117</v>
      </c>
      <c r="H24" s="30" t="str">
        <f>VLOOKUP((F24-G24)/365,Lists!$L$2:$M$6,2,1)</f>
        <v>10+</v>
      </c>
      <c r="I24" s="2" t="s">
        <v>38</v>
      </c>
      <c r="J24" s="60">
        <f>Data!K24+2000</f>
        <v>45573</v>
      </c>
      <c r="K24" s="3">
        <v>43573</v>
      </c>
      <c r="L24" s="2" t="s">
        <v>27</v>
      </c>
      <c r="M24" s="2"/>
      <c r="N24" s="2"/>
      <c r="O24" s="3">
        <v>43769</v>
      </c>
      <c r="P24" s="5">
        <f t="shared" si="1"/>
        <v>2019</v>
      </c>
      <c r="Q24" s="5">
        <v>10</v>
      </c>
      <c r="R24" s="5">
        <v>10</v>
      </c>
      <c r="S24" t="s">
        <v>127</v>
      </c>
      <c r="T24" s="6" t="str">
        <f t="shared" si="0"/>
        <v>CONT</v>
      </c>
      <c r="U24" s="9" t="str">
        <f>VLOOKUP(L24,Lists!$D$2:$E$19,2,0)</f>
        <v>Contract Mger</v>
      </c>
      <c r="V24" s="8">
        <f>VLOOKUP(T24,Lists!$G$2:$J$114,4,0)/2*52/12</f>
        <v>13000</v>
      </c>
    </row>
    <row r="25" spans="1:23" x14ac:dyDescent="0.2">
      <c r="A25" s="2" t="s">
        <v>46</v>
      </c>
      <c r="B25" s="2" t="s">
        <v>162</v>
      </c>
      <c r="C25" s="2" t="s">
        <v>258</v>
      </c>
      <c r="D25" s="3">
        <v>31733</v>
      </c>
      <c r="E25" s="4">
        <v>27</v>
      </c>
      <c r="F25" s="3">
        <v>43770</v>
      </c>
      <c r="G25" s="3">
        <v>41701</v>
      </c>
      <c r="H25" s="30" t="str">
        <f>VLOOKUP((F25-G25)/365,Lists!$L$2:$M$6,2,1)</f>
        <v>5-7</v>
      </c>
      <c r="I25" s="2" t="s">
        <v>19</v>
      </c>
      <c r="J25" s="60">
        <f>Data!K25+2000</f>
        <v>45580</v>
      </c>
      <c r="K25" s="3">
        <v>43580</v>
      </c>
      <c r="L25" s="2" t="s">
        <v>47</v>
      </c>
      <c r="M25" s="2" t="s">
        <v>17</v>
      </c>
      <c r="N25" s="2"/>
      <c r="O25" s="3">
        <v>43774</v>
      </c>
      <c r="P25" s="5">
        <f t="shared" si="1"/>
        <v>2019</v>
      </c>
      <c r="Q25" s="5">
        <v>11</v>
      </c>
      <c r="R25" s="5">
        <v>11</v>
      </c>
      <c r="S25" t="s">
        <v>126</v>
      </c>
      <c r="T25" s="6" t="str">
        <f t="shared" si="0"/>
        <v>PT32</v>
      </c>
      <c r="U25" s="9" t="str">
        <f>VLOOKUP(L25,Lists!$D$2:$E$19,2,0)</f>
        <v>Accountant</v>
      </c>
      <c r="V25" s="8">
        <f>VLOOKUP(T25,Lists!$G$2:$J$114,4,0)/2*52/12</f>
        <v>6918.166666666667</v>
      </c>
    </row>
    <row r="26" spans="1:23" x14ac:dyDescent="0.2">
      <c r="A26" s="2" t="s">
        <v>48</v>
      </c>
      <c r="B26" s="2" t="s">
        <v>163</v>
      </c>
      <c r="C26" s="2" t="s">
        <v>259</v>
      </c>
      <c r="D26" s="3">
        <v>20960</v>
      </c>
      <c r="E26" s="4">
        <v>56</v>
      </c>
      <c r="F26" s="3">
        <v>43770</v>
      </c>
      <c r="G26" s="3">
        <v>40359</v>
      </c>
      <c r="H26" s="30" t="str">
        <f>VLOOKUP((F26-G26)/365,Lists!$L$2:$M$6,2,1)</f>
        <v>7-10</v>
      </c>
      <c r="I26" s="2" t="s">
        <v>372</v>
      </c>
      <c r="J26" s="60">
        <f>Data!K26+2000</f>
        <v>45580</v>
      </c>
      <c r="K26" s="3">
        <v>43580</v>
      </c>
      <c r="L26" s="2" t="s">
        <v>27</v>
      </c>
      <c r="M26" s="2"/>
      <c r="N26" s="2"/>
      <c r="O26" s="3">
        <v>43774</v>
      </c>
      <c r="P26" s="5">
        <f t="shared" si="1"/>
        <v>2019</v>
      </c>
      <c r="Q26" s="5">
        <v>11</v>
      </c>
      <c r="R26" s="5">
        <v>11</v>
      </c>
      <c r="S26" t="s">
        <v>126</v>
      </c>
      <c r="T26" s="6" t="str">
        <f t="shared" si="0"/>
        <v>CONT</v>
      </c>
      <c r="U26" s="9" t="str">
        <f>VLOOKUP(L26,Lists!$D$2:$E$19,2,0)</f>
        <v>Contract Mger</v>
      </c>
      <c r="V26" s="8">
        <f>VLOOKUP(T26,Lists!$G$2:$J$114,4,0)/2*52/12</f>
        <v>13000</v>
      </c>
    </row>
    <row r="27" spans="1:23" x14ac:dyDescent="0.2">
      <c r="A27" s="2" t="s">
        <v>49</v>
      </c>
      <c r="B27" s="2" t="s">
        <v>164</v>
      </c>
      <c r="C27" s="2" t="s">
        <v>260</v>
      </c>
      <c r="D27" s="3">
        <v>20367</v>
      </c>
      <c r="E27" s="4">
        <v>58</v>
      </c>
      <c r="F27" s="3">
        <v>43770</v>
      </c>
      <c r="G27" s="3">
        <v>40359</v>
      </c>
      <c r="H27" s="30" t="str">
        <f>VLOOKUP((F27-G27)/365,Lists!$L$2:$M$6,2,1)</f>
        <v>7-10</v>
      </c>
      <c r="I27" s="2" t="s">
        <v>372</v>
      </c>
      <c r="J27" s="60">
        <f>Data!K27+2000</f>
        <v>45580</v>
      </c>
      <c r="K27" s="3">
        <v>43580</v>
      </c>
      <c r="L27" s="2" t="s">
        <v>27</v>
      </c>
      <c r="M27" s="2"/>
      <c r="N27" s="2"/>
      <c r="O27" s="3">
        <v>43774</v>
      </c>
      <c r="P27" s="5">
        <f t="shared" si="1"/>
        <v>2019</v>
      </c>
      <c r="Q27" s="5">
        <v>11</v>
      </c>
      <c r="R27" s="5">
        <v>11</v>
      </c>
      <c r="S27" t="s">
        <v>126</v>
      </c>
      <c r="T27" s="6" t="str">
        <f t="shared" si="0"/>
        <v>CONT</v>
      </c>
      <c r="U27" s="9" t="str">
        <f>VLOOKUP(L27,Lists!$D$2:$E$19,2,0)</f>
        <v>Contract Mger</v>
      </c>
      <c r="V27" s="8">
        <f>VLOOKUP(T27,Lists!$G$2:$J$114,4,0)/2*52/12</f>
        <v>13000</v>
      </c>
    </row>
    <row r="28" spans="1:23" x14ac:dyDescent="0.2">
      <c r="A28" s="2" t="s">
        <v>50</v>
      </c>
      <c r="B28" s="2" t="s">
        <v>165</v>
      </c>
      <c r="C28" s="2" t="s">
        <v>261</v>
      </c>
      <c r="D28" s="3">
        <v>21232</v>
      </c>
      <c r="E28" s="4">
        <v>55</v>
      </c>
      <c r="F28" s="3">
        <v>43770</v>
      </c>
      <c r="G28" s="3">
        <v>40359</v>
      </c>
      <c r="H28" s="30" t="str">
        <f>VLOOKUP((F28-G28)/365,Lists!$L$2:$M$6,2,1)</f>
        <v>7-10</v>
      </c>
      <c r="I28" s="2" t="s">
        <v>372</v>
      </c>
      <c r="J28" s="60">
        <f>Data!K28+2000</f>
        <v>45580</v>
      </c>
      <c r="K28" s="3">
        <v>43580</v>
      </c>
      <c r="L28" s="2" t="s">
        <v>27</v>
      </c>
      <c r="M28" s="2"/>
      <c r="N28" s="2"/>
      <c r="O28" s="3">
        <v>43774</v>
      </c>
      <c r="P28" s="5">
        <f t="shared" si="1"/>
        <v>2019</v>
      </c>
      <c r="Q28" s="5">
        <v>11</v>
      </c>
      <c r="R28" s="5">
        <v>11</v>
      </c>
      <c r="S28" t="s">
        <v>126</v>
      </c>
      <c r="T28" s="6" t="str">
        <f t="shared" si="0"/>
        <v>CONT</v>
      </c>
      <c r="U28" s="9" t="str">
        <f>VLOOKUP(L28,Lists!$D$2:$E$19,2,0)</f>
        <v>Contract Mger</v>
      </c>
      <c r="V28" s="8">
        <f>VLOOKUP(T28,Lists!$G$2:$J$114,4,0)/2*52/12</f>
        <v>13000</v>
      </c>
    </row>
    <row r="29" spans="1:23" x14ac:dyDescent="0.2">
      <c r="A29" s="2" t="s">
        <v>51</v>
      </c>
      <c r="B29" s="2" t="s">
        <v>166</v>
      </c>
      <c r="C29" s="2" t="s">
        <v>262</v>
      </c>
      <c r="D29" s="3">
        <v>31325</v>
      </c>
      <c r="E29" s="4">
        <v>28</v>
      </c>
      <c r="F29" s="3">
        <v>43773</v>
      </c>
      <c r="G29" s="3">
        <v>42426</v>
      </c>
      <c r="H29" s="30" t="str">
        <f>VLOOKUP((F29-G29)/365,Lists!$L$2:$M$6,2,1)</f>
        <v>2-5</v>
      </c>
      <c r="I29" s="2" t="s">
        <v>19</v>
      </c>
      <c r="J29" s="60">
        <f>Data!K29+2000</f>
        <v>45583</v>
      </c>
      <c r="K29" s="3">
        <v>43583</v>
      </c>
      <c r="L29" s="2" t="s">
        <v>16</v>
      </c>
      <c r="M29" s="2" t="s">
        <v>31</v>
      </c>
      <c r="N29" s="2"/>
      <c r="O29" s="3">
        <v>43775</v>
      </c>
      <c r="P29" s="5">
        <f t="shared" si="1"/>
        <v>2019</v>
      </c>
      <c r="Q29" s="5">
        <v>11</v>
      </c>
      <c r="R29" s="5">
        <v>11</v>
      </c>
      <c r="S29" t="s">
        <v>125</v>
      </c>
      <c r="T29" s="6" t="str">
        <f t="shared" si="0"/>
        <v>CI13</v>
      </c>
      <c r="U29" s="9" t="str">
        <f>VLOOKUP(L29,Lists!$D$2:$E$19,2,0)</f>
        <v>Engineer</v>
      </c>
      <c r="V29" s="8">
        <f>VLOOKUP(T29,Lists!$G$2:$J$114,4,0)/2*52/12</f>
        <v>4140.5</v>
      </c>
    </row>
    <row r="30" spans="1:23" x14ac:dyDescent="0.2">
      <c r="A30" s="2" t="s">
        <v>52</v>
      </c>
      <c r="B30" s="2" t="s">
        <v>167</v>
      </c>
      <c r="C30" s="2" t="s">
        <v>263</v>
      </c>
      <c r="D30" s="3">
        <v>18965</v>
      </c>
      <c r="E30" s="4">
        <v>62</v>
      </c>
      <c r="F30" s="3">
        <v>43775</v>
      </c>
      <c r="G30" s="3">
        <v>31654</v>
      </c>
      <c r="H30" s="30" t="str">
        <f>VLOOKUP((F30-G30)/365,Lists!$L$2:$M$6,2,1)</f>
        <v>10+</v>
      </c>
      <c r="I30" s="2" t="s">
        <v>372</v>
      </c>
      <c r="J30" s="60">
        <f>Data!K30+2000</f>
        <v>45585</v>
      </c>
      <c r="K30" s="3">
        <v>43585</v>
      </c>
      <c r="L30" s="2" t="s">
        <v>53</v>
      </c>
      <c r="M30" s="2" t="s">
        <v>24</v>
      </c>
      <c r="N30" s="2"/>
      <c r="O30" s="3">
        <v>43781</v>
      </c>
      <c r="P30" s="5">
        <f t="shared" si="1"/>
        <v>2019</v>
      </c>
      <c r="Q30" s="5">
        <v>11</v>
      </c>
      <c r="R30" s="5">
        <v>11</v>
      </c>
      <c r="S30" t="s">
        <v>127</v>
      </c>
      <c r="T30" s="6" t="str">
        <f t="shared" si="0"/>
        <v>PT44</v>
      </c>
      <c r="U30" s="9" t="str">
        <f>VLOOKUP(L30,Lists!$D$2:$E$19,2,0)</f>
        <v>Accountant</v>
      </c>
      <c r="V30" s="8">
        <f>VLOOKUP(T30,Lists!$G$2:$J$114,4,0)/2*52/12</f>
        <v>8183.5</v>
      </c>
    </row>
    <row r="31" spans="1:23" x14ac:dyDescent="0.2">
      <c r="A31" s="2" t="s">
        <v>54</v>
      </c>
      <c r="B31" s="2" t="s">
        <v>168</v>
      </c>
      <c r="C31" s="2" t="s">
        <v>264</v>
      </c>
      <c r="D31" s="3">
        <v>23714</v>
      </c>
      <c r="E31" s="4">
        <v>49</v>
      </c>
      <c r="F31" s="3">
        <v>43777</v>
      </c>
      <c r="G31" s="3">
        <v>40359</v>
      </c>
      <c r="H31" s="30" t="str">
        <f>VLOOKUP((F31-G31)/365,Lists!$L$2:$M$6,2,1)</f>
        <v>7-10</v>
      </c>
      <c r="I31" s="2" t="s">
        <v>19</v>
      </c>
      <c r="J31" s="60">
        <f>Data!K31+2000</f>
        <v>45587</v>
      </c>
      <c r="K31" s="3">
        <v>43587</v>
      </c>
      <c r="L31" s="2" t="s">
        <v>55</v>
      </c>
      <c r="M31" s="2" t="s">
        <v>17</v>
      </c>
      <c r="N31" s="2"/>
      <c r="O31" s="3">
        <v>43780</v>
      </c>
      <c r="P31" s="5">
        <f t="shared" si="1"/>
        <v>2019</v>
      </c>
      <c r="Q31" s="5">
        <v>11</v>
      </c>
      <c r="R31" s="5">
        <v>11</v>
      </c>
      <c r="S31" t="s">
        <v>125</v>
      </c>
      <c r="T31" s="6" t="str">
        <f t="shared" si="0"/>
        <v>ET32</v>
      </c>
      <c r="U31" s="9" t="str">
        <f>VLOOKUP(L31,Lists!$D$2:$E$19,2,0)</f>
        <v>Administation</v>
      </c>
      <c r="V31" s="8">
        <f>VLOOKUP(T31,Lists!$G$2:$J$114,4,0)/2*52/12</f>
        <v>5702.666666666667</v>
      </c>
    </row>
    <row r="32" spans="1:23" x14ac:dyDescent="0.2">
      <c r="A32" s="2" t="s">
        <v>56</v>
      </c>
      <c r="B32" s="2" t="s">
        <v>169</v>
      </c>
      <c r="C32" s="2" t="s">
        <v>265</v>
      </c>
      <c r="D32" s="3">
        <v>20831</v>
      </c>
      <c r="E32" s="4">
        <v>56</v>
      </c>
      <c r="F32" s="3">
        <v>43777</v>
      </c>
      <c r="G32" s="3">
        <v>40359</v>
      </c>
      <c r="H32" s="30" t="str">
        <f>VLOOKUP((F32-G32)/365,Lists!$L$2:$M$6,2,1)</f>
        <v>7-10</v>
      </c>
      <c r="I32" s="2" t="s">
        <v>372</v>
      </c>
      <c r="J32" s="60">
        <f>Data!K32+2000</f>
        <v>45587</v>
      </c>
      <c r="K32" s="3">
        <v>43587</v>
      </c>
      <c r="L32" s="2" t="s">
        <v>53</v>
      </c>
      <c r="M32" s="2" t="s">
        <v>24</v>
      </c>
      <c r="N32" s="2"/>
      <c r="O32" s="3">
        <v>43780</v>
      </c>
      <c r="P32" s="5">
        <f t="shared" si="1"/>
        <v>2019</v>
      </c>
      <c r="Q32" s="5">
        <v>11</v>
      </c>
      <c r="R32" s="5">
        <v>11</v>
      </c>
      <c r="S32" t="s">
        <v>126</v>
      </c>
      <c r="T32" s="6" t="str">
        <f t="shared" si="0"/>
        <v>PT44</v>
      </c>
      <c r="U32" s="9" t="str">
        <f>VLOOKUP(L32,Lists!$D$2:$E$19,2,0)</f>
        <v>Accountant</v>
      </c>
      <c r="V32" s="8">
        <f>VLOOKUP(T32,Lists!$G$2:$J$114,4,0)/2*52/12</f>
        <v>8183.5</v>
      </c>
    </row>
    <row r="33" spans="1:22" x14ac:dyDescent="0.2">
      <c r="A33" s="2" t="s">
        <v>56</v>
      </c>
      <c r="B33" s="2" t="s">
        <v>170</v>
      </c>
      <c r="C33" s="2" t="s">
        <v>266</v>
      </c>
      <c r="D33" s="3">
        <v>17899</v>
      </c>
      <c r="E33" s="4">
        <v>64</v>
      </c>
      <c r="F33" s="3">
        <v>43777</v>
      </c>
      <c r="G33" s="3">
        <v>40359</v>
      </c>
      <c r="H33" s="30" t="str">
        <f>VLOOKUP((F33-G33)/365,Lists!$L$2:$M$6,2,1)</f>
        <v>7-10</v>
      </c>
      <c r="I33" s="2" t="s">
        <v>372</v>
      </c>
      <c r="J33" s="60">
        <f>Data!K33+2000</f>
        <v>45587</v>
      </c>
      <c r="K33" s="3">
        <v>43587</v>
      </c>
      <c r="L33" s="2" t="s">
        <v>47</v>
      </c>
      <c r="M33" s="2" t="s">
        <v>31</v>
      </c>
      <c r="N33" s="2"/>
      <c r="O33" s="3">
        <v>43780</v>
      </c>
      <c r="P33" s="5">
        <f t="shared" si="1"/>
        <v>2019</v>
      </c>
      <c r="Q33" s="5">
        <v>11</v>
      </c>
      <c r="R33" s="5">
        <v>11</v>
      </c>
      <c r="S33" t="s">
        <v>126</v>
      </c>
      <c r="T33" s="6" t="str">
        <f t="shared" si="0"/>
        <v>PT33</v>
      </c>
      <c r="U33" s="9" t="str">
        <f>VLOOKUP(L33,Lists!$D$2:$E$19,2,0)</f>
        <v>Accountant</v>
      </c>
      <c r="V33" s="8">
        <f>VLOOKUP(T33,Lists!$G$2:$J$114,4,0)/2*52/12</f>
        <v>7113.166666666667</v>
      </c>
    </row>
    <row r="34" spans="1:22" x14ac:dyDescent="0.2">
      <c r="A34" s="2" t="s">
        <v>43</v>
      </c>
      <c r="B34" s="2" t="s">
        <v>171</v>
      </c>
      <c r="C34" s="2" t="s">
        <v>267</v>
      </c>
      <c r="D34" s="3">
        <v>21545</v>
      </c>
      <c r="E34" s="4">
        <v>54</v>
      </c>
      <c r="F34" s="3">
        <v>43763</v>
      </c>
      <c r="G34" s="3">
        <v>31885</v>
      </c>
      <c r="H34" s="30" t="str">
        <f>VLOOKUP((F34-G34)/365,Lists!$L$2:$M$6,2,1)</f>
        <v>10+</v>
      </c>
      <c r="I34" s="2" t="s">
        <v>372</v>
      </c>
      <c r="J34" s="60">
        <f>Data!K34+2000</f>
        <v>45573</v>
      </c>
      <c r="K34" s="3">
        <v>43573</v>
      </c>
      <c r="L34" s="2" t="s">
        <v>27</v>
      </c>
      <c r="M34" s="2"/>
      <c r="N34" s="2"/>
      <c r="O34" s="3">
        <v>43769</v>
      </c>
      <c r="P34" s="5">
        <f t="shared" si="1"/>
        <v>2019</v>
      </c>
      <c r="Q34" s="5">
        <v>10</v>
      </c>
      <c r="R34" s="5">
        <v>10</v>
      </c>
      <c r="S34" t="s">
        <v>127</v>
      </c>
      <c r="T34" s="6" t="s">
        <v>342</v>
      </c>
      <c r="U34" s="9" t="s">
        <v>110</v>
      </c>
      <c r="V34" s="8">
        <f>VLOOKUP(T34,Lists!$G$2:$J$114,4,0)/2*52/12</f>
        <v>5052.666666666667</v>
      </c>
    </row>
    <row r="35" spans="1:22" x14ac:dyDescent="0.2">
      <c r="A35" s="2" t="s">
        <v>44</v>
      </c>
      <c r="B35" s="2" t="s">
        <v>172</v>
      </c>
      <c r="C35" s="2" t="s">
        <v>268</v>
      </c>
      <c r="D35" s="3">
        <v>23635</v>
      </c>
      <c r="E35" s="4">
        <v>49</v>
      </c>
      <c r="F35" s="3">
        <v>43763</v>
      </c>
      <c r="G35" s="3">
        <v>41958</v>
      </c>
      <c r="H35" s="30" t="str">
        <f>VLOOKUP((F35-G35)/365,Lists!$L$2:$M$6,2,1)</f>
        <v>2-5</v>
      </c>
      <c r="I35" s="2" t="s">
        <v>372</v>
      </c>
      <c r="J35" s="60">
        <f>Data!K35+2000</f>
        <v>45573</v>
      </c>
      <c r="K35" s="3">
        <v>43573</v>
      </c>
      <c r="L35" s="2" t="s">
        <v>27</v>
      </c>
      <c r="M35" s="2"/>
      <c r="N35" s="2"/>
      <c r="O35" s="3">
        <v>43769</v>
      </c>
      <c r="P35" s="5">
        <f t="shared" si="1"/>
        <v>2019</v>
      </c>
      <c r="Q35" s="5">
        <v>10</v>
      </c>
      <c r="R35" s="5">
        <v>10</v>
      </c>
      <c r="S35" t="s">
        <v>127</v>
      </c>
      <c r="T35" s="6" t="s">
        <v>343</v>
      </c>
      <c r="U35" s="9" t="s">
        <v>110</v>
      </c>
      <c r="V35" s="8">
        <f>VLOOKUP(T35,Lists!$G$2:$J$114,4,0)/2*52/12</f>
        <v>5278</v>
      </c>
    </row>
    <row r="36" spans="1:22" x14ac:dyDescent="0.2">
      <c r="A36" s="2" t="s">
        <v>45</v>
      </c>
      <c r="B36" s="2" t="s">
        <v>173</v>
      </c>
      <c r="C36" s="2" t="s">
        <v>269</v>
      </c>
      <c r="D36" s="3">
        <v>23993</v>
      </c>
      <c r="E36" s="4">
        <v>48</v>
      </c>
      <c r="F36" s="3">
        <v>43763</v>
      </c>
      <c r="G36" s="3">
        <v>33117</v>
      </c>
      <c r="H36" s="30" t="str">
        <f>VLOOKUP((F36-G36)/365,Lists!$L$2:$M$6,2,1)</f>
        <v>10+</v>
      </c>
      <c r="I36" s="2" t="s">
        <v>38</v>
      </c>
      <c r="J36" s="60">
        <f>Data!K36+2000</f>
        <v>45573</v>
      </c>
      <c r="K36" s="3">
        <v>43573</v>
      </c>
      <c r="L36" s="2" t="s">
        <v>27</v>
      </c>
      <c r="M36" s="2"/>
      <c r="N36" s="2"/>
      <c r="O36" s="3">
        <v>43769</v>
      </c>
      <c r="P36" s="5">
        <f t="shared" si="1"/>
        <v>2019</v>
      </c>
      <c r="Q36" s="5">
        <v>10</v>
      </c>
      <c r="R36" s="5">
        <v>10</v>
      </c>
      <c r="S36" t="s">
        <v>127</v>
      </c>
      <c r="T36" s="6" t="s">
        <v>343</v>
      </c>
      <c r="U36" s="9" t="s">
        <v>110</v>
      </c>
      <c r="V36" s="8">
        <f>VLOOKUP(T36,Lists!$G$2:$J$114,4,0)/2*52/12</f>
        <v>5278</v>
      </c>
    </row>
    <row r="37" spans="1:22" x14ac:dyDescent="0.2">
      <c r="A37" s="2" t="s">
        <v>43</v>
      </c>
      <c r="B37" s="2" t="s">
        <v>174</v>
      </c>
      <c r="C37" s="2" t="s">
        <v>270</v>
      </c>
      <c r="D37" s="3">
        <v>21545</v>
      </c>
      <c r="E37" s="4">
        <v>54</v>
      </c>
      <c r="F37" s="3">
        <v>43763</v>
      </c>
      <c r="G37" s="3">
        <v>31885</v>
      </c>
      <c r="H37" s="30" t="str">
        <f>VLOOKUP((F37-G37)/365,Lists!$L$2:$M$6,2,1)</f>
        <v>10+</v>
      </c>
      <c r="I37" s="2" t="s">
        <v>19</v>
      </c>
      <c r="J37" s="60">
        <f>Data!K37+2000</f>
        <v>45573</v>
      </c>
      <c r="K37" s="3">
        <v>43573</v>
      </c>
      <c r="L37" s="2" t="s">
        <v>27</v>
      </c>
      <c r="M37" s="2"/>
      <c r="N37" s="2"/>
      <c r="O37" s="3">
        <v>43769</v>
      </c>
      <c r="P37" s="5">
        <f t="shared" si="1"/>
        <v>2019</v>
      </c>
      <c r="Q37" s="5">
        <v>10</v>
      </c>
      <c r="R37" s="5">
        <v>10</v>
      </c>
      <c r="S37" t="s">
        <v>127</v>
      </c>
      <c r="T37" s="6" t="s">
        <v>343</v>
      </c>
      <c r="U37" s="9" t="s">
        <v>110</v>
      </c>
      <c r="V37" s="8">
        <f>VLOOKUP(T37,Lists!$G$2:$J$114,4,0)/2*52/12</f>
        <v>5278</v>
      </c>
    </row>
    <row r="38" spans="1:22" x14ac:dyDescent="0.2">
      <c r="A38" s="2" t="s">
        <v>44</v>
      </c>
      <c r="B38" s="2" t="s">
        <v>175</v>
      </c>
      <c r="C38" s="2" t="s">
        <v>271</v>
      </c>
      <c r="D38" s="3">
        <v>23635</v>
      </c>
      <c r="E38" s="4">
        <v>49</v>
      </c>
      <c r="F38" s="3">
        <v>43763</v>
      </c>
      <c r="G38" s="3">
        <v>41958</v>
      </c>
      <c r="H38" s="30" t="str">
        <f>VLOOKUP((F38-G38)/365,Lists!$L$2:$M$6,2,1)</f>
        <v>2-5</v>
      </c>
      <c r="I38" s="2" t="s">
        <v>38</v>
      </c>
      <c r="J38" s="60">
        <f>Data!K38+2000</f>
        <v>45573</v>
      </c>
      <c r="K38" s="3">
        <v>43573</v>
      </c>
      <c r="L38" s="2" t="s">
        <v>27</v>
      </c>
      <c r="M38" s="2"/>
      <c r="N38" s="2"/>
      <c r="O38" s="3">
        <v>43769</v>
      </c>
      <c r="P38" s="5">
        <f t="shared" si="1"/>
        <v>2019</v>
      </c>
      <c r="Q38" s="5">
        <v>10</v>
      </c>
      <c r="R38" s="5">
        <v>10</v>
      </c>
      <c r="S38" t="s">
        <v>127</v>
      </c>
      <c r="T38" s="6" t="s">
        <v>343</v>
      </c>
      <c r="U38" s="9" t="s">
        <v>110</v>
      </c>
      <c r="V38" s="8">
        <f>VLOOKUP(T38,Lists!$G$2:$J$114,4,0)/2*52/12</f>
        <v>5278</v>
      </c>
    </row>
    <row r="39" spans="1:22" x14ac:dyDescent="0.2">
      <c r="A39" s="2" t="s">
        <v>45</v>
      </c>
      <c r="B39" s="2" t="s">
        <v>176</v>
      </c>
      <c r="C39" s="2" t="s">
        <v>272</v>
      </c>
      <c r="D39" s="3">
        <v>23993</v>
      </c>
      <c r="E39" s="4">
        <v>48</v>
      </c>
      <c r="F39" s="3">
        <v>43763</v>
      </c>
      <c r="G39" s="3">
        <v>33117</v>
      </c>
      <c r="H39" s="30" t="str">
        <f>VLOOKUP((F39-G39)/365,Lists!$L$2:$M$6,2,1)</f>
        <v>10+</v>
      </c>
      <c r="I39" s="2" t="s">
        <v>38</v>
      </c>
      <c r="J39" s="60">
        <f>Data!K39+2000</f>
        <v>45573</v>
      </c>
      <c r="K39" s="3">
        <v>43573</v>
      </c>
      <c r="L39" s="2" t="s">
        <v>27</v>
      </c>
      <c r="M39" s="2"/>
      <c r="N39" s="2"/>
      <c r="O39" s="3">
        <v>43769</v>
      </c>
      <c r="P39" s="5">
        <f t="shared" si="1"/>
        <v>2019</v>
      </c>
      <c r="Q39" s="5">
        <v>10</v>
      </c>
      <c r="R39" s="5">
        <v>10</v>
      </c>
      <c r="S39" t="s">
        <v>127</v>
      </c>
      <c r="T39" s="6" t="s">
        <v>343</v>
      </c>
      <c r="U39" s="9" t="s">
        <v>110</v>
      </c>
      <c r="V39" s="8">
        <f>VLOOKUP(T39,Lists!$G$2:$J$114,4,0)/2*52/12</f>
        <v>5278</v>
      </c>
    </row>
    <row r="40" spans="1:22" x14ac:dyDescent="0.2">
      <c r="A40" s="2" t="s">
        <v>43</v>
      </c>
      <c r="B40" s="2" t="s">
        <v>177</v>
      </c>
      <c r="C40" s="2" t="s">
        <v>273</v>
      </c>
      <c r="D40" s="3">
        <v>21545</v>
      </c>
      <c r="E40" s="4">
        <v>54</v>
      </c>
      <c r="F40" s="3">
        <v>43763</v>
      </c>
      <c r="G40" s="3">
        <v>31885</v>
      </c>
      <c r="H40" s="30" t="str">
        <f>VLOOKUP((F40-G40)/365,Lists!$L$2:$M$6,2,1)</f>
        <v>10+</v>
      </c>
      <c r="I40" s="2" t="s">
        <v>19</v>
      </c>
      <c r="J40" s="60">
        <f>Data!K40+2000</f>
        <v>45573</v>
      </c>
      <c r="K40" s="3">
        <v>43573</v>
      </c>
      <c r="L40" s="2" t="s">
        <v>27</v>
      </c>
      <c r="M40" s="2"/>
      <c r="N40" s="2"/>
      <c r="O40" s="3">
        <v>43769</v>
      </c>
      <c r="P40" s="5">
        <f t="shared" si="1"/>
        <v>2019</v>
      </c>
      <c r="Q40" s="5">
        <v>10</v>
      </c>
      <c r="R40" s="5">
        <v>10</v>
      </c>
      <c r="S40" t="s">
        <v>127</v>
      </c>
      <c r="T40" s="6" t="s">
        <v>343</v>
      </c>
      <c r="U40" s="9" t="s">
        <v>110</v>
      </c>
      <c r="V40" s="8">
        <f>VLOOKUP(T40,Lists!$G$2:$J$114,4,0)/2*52/12</f>
        <v>5278</v>
      </c>
    </row>
    <row r="41" spans="1:22" x14ac:dyDescent="0.2">
      <c r="A41" s="2" t="s">
        <v>44</v>
      </c>
      <c r="B41" s="2" t="s">
        <v>178</v>
      </c>
      <c r="C41" s="2" t="s">
        <v>274</v>
      </c>
      <c r="D41" s="3">
        <v>23635</v>
      </c>
      <c r="E41" s="4">
        <v>49</v>
      </c>
      <c r="F41" s="3">
        <v>43763</v>
      </c>
      <c r="G41" s="3">
        <v>42979</v>
      </c>
      <c r="H41" s="30" t="str">
        <f>VLOOKUP((F41-G41)/365,Lists!$L$2:$M$6,2,1)</f>
        <v>2-5</v>
      </c>
      <c r="I41" s="2" t="s">
        <v>372</v>
      </c>
      <c r="J41" s="60">
        <f>Data!K41+2000</f>
        <v>45573</v>
      </c>
      <c r="K41" s="3">
        <v>43573</v>
      </c>
      <c r="L41" s="2" t="s">
        <v>27</v>
      </c>
      <c r="M41" s="2"/>
      <c r="N41" s="2"/>
      <c r="O41" s="3">
        <v>43769</v>
      </c>
      <c r="P41" s="5">
        <f t="shared" si="1"/>
        <v>2019</v>
      </c>
      <c r="Q41" s="5">
        <v>10</v>
      </c>
      <c r="R41" s="5">
        <v>10</v>
      </c>
      <c r="S41" t="s">
        <v>127</v>
      </c>
      <c r="T41" s="6" t="s">
        <v>343</v>
      </c>
      <c r="U41" s="9" t="s">
        <v>110</v>
      </c>
      <c r="V41" s="8">
        <f>VLOOKUP(T41,Lists!$G$2:$J$114,4,0)/2*52/12</f>
        <v>5278</v>
      </c>
    </row>
    <row r="42" spans="1:22" x14ac:dyDescent="0.2">
      <c r="A42" s="2" t="s">
        <v>45</v>
      </c>
      <c r="B42" s="2" t="s">
        <v>179</v>
      </c>
      <c r="C42" s="2" t="s">
        <v>275</v>
      </c>
      <c r="D42" s="3">
        <v>23993</v>
      </c>
      <c r="E42" s="4">
        <v>48</v>
      </c>
      <c r="F42" s="3">
        <v>43763</v>
      </c>
      <c r="G42" s="3">
        <v>33117</v>
      </c>
      <c r="H42" s="30" t="str">
        <f>VLOOKUP((F42-G42)/365,Lists!$L$2:$M$6,2,1)</f>
        <v>10+</v>
      </c>
      <c r="I42" s="2" t="s">
        <v>19</v>
      </c>
      <c r="J42" s="60">
        <f>Data!K42+2000</f>
        <v>45573</v>
      </c>
      <c r="K42" s="3">
        <v>43573</v>
      </c>
      <c r="L42" s="2" t="s">
        <v>27</v>
      </c>
      <c r="M42" s="2"/>
      <c r="N42" s="2"/>
      <c r="O42" s="3">
        <v>43769</v>
      </c>
      <c r="P42" s="5">
        <f t="shared" si="1"/>
        <v>2019</v>
      </c>
      <c r="Q42" s="5">
        <v>10</v>
      </c>
      <c r="R42" s="5">
        <v>10</v>
      </c>
      <c r="S42" t="s">
        <v>127</v>
      </c>
      <c r="T42" s="6" t="s">
        <v>344</v>
      </c>
      <c r="U42" s="9" t="s">
        <v>110</v>
      </c>
      <c r="V42" s="8">
        <f>VLOOKUP(T42,Lists!$G$2:$J$114,4,0)/2*52/12</f>
        <v>5501.166666666667</v>
      </c>
    </row>
    <row r="43" spans="1:22" x14ac:dyDescent="0.2">
      <c r="A43" s="2" t="s">
        <v>43</v>
      </c>
      <c r="B43" s="2" t="s">
        <v>180</v>
      </c>
      <c r="C43" s="2" t="s">
        <v>276</v>
      </c>
      <c r="D43" s="3">
        <v>21545</v>
      </c>
      <c r="E43" s="4">
        <v>54</v>
      </c>
      <c r="F43" s="3">
        <v>43763</v>
      </c>
      <c r="G43" s="3">
        <v>42979</v>
      </c>
      <c r="H43" s="30" t="str">
        <f>VLOOKUP((F43-G43)/365,Lists!$L$2:$M$6,2,1)</f>
        <v>2-5</v>
      </c>
      <c r="I43" s="2" t="s">
        <v>38</v>
      </c>
      <c r="J43" s="60">
        <f>Data!K43+2000</f>
        <v>45573</v>
      </c>
      <c r="K43" s="3">
        <v>43573</v>
      </c>
      <c r="L43" s="2" t="s">
        <v>27</v>
      </c>
      <c r="M43" s="2"/>
      <c r="N43" s="2"/>
      <c r="O43" s="3">
        <v>43769</v>
      </c>
      <c r="P43" s="5">
        <f t="shared" si="1"/>
        <v>2019</v>
      </c>
      <c r="Q43" s="5">
        <v>10</v>
      </c>
      <c r="R43" s="5">
        <v>10</v>
      </c>
      <c r="S43" t="s">
        <v>127</v>
      </c>
      <c r="T43" s="6" t="s">
        <v>345</v>
      </c>
      <c r="U43" s="9" t="s">
        <v>110</v>
      </c>
      <c r="V43" s="8">
        <f>VLOOKUP(T43,Lists!$G$2:$J$114,4,0)/2*52/12</f>
        <v>5726.5</v>
      </c>
    </row>
    <row r="44" spans="1:22" x14ac:dyDescent="0.2">
      <c r="A44" s="2" t="s">
        <v>44</v>
      </c>
      <c r="B44" s="2" t="s">
        <v>181</v>
      </c>
      <c r="C44" s="2" t="s">
        <v>277</v>
      </c>
      <c r="D44" s="3">
        <v>23635</v>
      </c>
      <c r="E44" s="4">
        <v>49</v>
      </c>
      <c r="F44" s="3">
        <v>43763</v>
      </c>
      <c r="G44" s="3">
        <v>42979</v>
      </c>
      <c r="H44" s="30" t="str">
        <f>VLOOKUP((F44-G44)/365,Lists!$L$2:$M$6,2,1)</f>
        <v>2-5</v>
      </c>
      <c r="I44" s="2" t="s">
        <v>372</v>
      </c>
      <c r="J44" s="60">
        <f>Data!K44+2000</f>
        <v>45573</v>
      </c>
      <c r="K44" s="3">
        <v>43573</v>
      </c>
      <c r="L44" s="2" t="s">
        <v>27</v>
      </c>
      <c r="M44" s="2"/>
      <c r="N44" s="2"/>
      <c r="O44" s="3">
        <v>43769</v>
      </c>
      <c r="P44" s="5">
        <f t="shared" si="1"/>
        <v>2019</v>
      </c>
      <c r="Q44" s="5">
        <v>10</v>
      </c>
      <c r="R44" s="5">
        <v>10</v>
      </c>
      <c r="S44" t="s">
        <v>127</v>
      </c>
      <c r="T44" s="6" t="s">
        <v>346</v>
      </c>
      <c r="U44" s="9" t="s">
        <v>110</v>
      </c>
      <c r="V44" s="8">
        <f>VLOOKUP(T44,Lists!$G$2:$J$114,4,0)/2*52/12</f>
        <v>5951.833333333333</v>
      </c>
    </row>
    <row r="45" spans="1:22" x14ac:dyDescent="0.2">
      <c r="A45" s="2" t="s">
        <v>45</v>
      </c>
      <c r="B45" s="2" t="s">
        <v>182</v>
      </c>
      <c r="C45" s="2" t="s">
        <v>278</v>
      </c>
      <c r="D45" s="3">
        <v>23993</v>
      </c>
      <c r="E45" s="4">
        <v>48</v>
      </c>
      <c r="F45" s="3">
        <v>43763</v>
      </c>
      <c r="G45" s="3">
        <v>42979</v>
      </c>
      <c r="H45" s="30" t="str">
        <f>VLOOKUP((F45-G45)/365,Lists!$L$2:$M$6,2,1)</f>
        <v>2-5</v>
      </c>
      <c r="I45" s="2" t="s">
        <v>38</v>
      </c>
      <c r="J45" s="60">
        <f>Data!K45+2000</f>
        <v>45573</v>
      </c>
      <c r="K45" s="3">
        <v>43573</v>
      </c>
      <c r="L45" s="2" t="s">
        <v>27</v>
      </c>
      <c r="M45" s="2"/>
      <c r="N45" s="2"/>
      <c r="O45" s="3">
        <v>43769</v>
      </c>
      <c r="P45" s="5">
        <f t="shared" si="1"/>
        <v>2019</v>
      </c>
      <c r="Q45" s="5">
        <v>10</v>
      </c>
      <c r="R45" s="5">
        <v>10</v>
      </c>
      <c r="S45" t="s">
        <v>127</v>
      </c>
      <c r="T45" s="6" t="s">
        <v>347</v>
      </c>
      <c r="U45" s="9" t="s">
        <v>110</v>
      </c>
      <c r="V45" s="8">
        <f>VLOOKUP(T45,Lists!$G$2:$J$114,4,0)/2*52/12</f>
        <v>6175</v>
      </c>
    </row>
    <row r="46" spans="1:22" x14ac:dyDescent="0.2">
      <c r="A46" s="2" t="s">
        <v>57</v>
      </c>
      <c r="B46" s="2" t="s">
        <v>183</v>
      </c>
      <c r="C46" s="2" t="s">
        <v>279</v>
      </c>
      <c r="D46" s="3">
        <v>31749</v>
      </c>
      <c r="E46" s="4">
        <v>27</v>
      </c>
      <c r="F46" s="3">
        <v>43777</v>
      </c>
      <c r="G46" s="3">
        <v>41487</v>
      </c>
      <c r="H46" s="30" t="str">
        <f>VLOOKUP((F46-G46)/365,Lists!$L$2:$M$6,2,1)</f>
        <v>5-7</v>
      </c>
      <c r="I46" s="2" t="s">
        <v>372</v>
      </c>
      <c r="J46" s="60">
        <f>Data!K46+2000</f>
        <v>45587</v>
      </c>
      <c r="K46" s="3">
        <v>43587</v>
      </c>
      <c r="L46" s="2" t="s">
        <v>58</v>
      </c>
      <c r="M46" s="2" t="s">
        <v>59</v>
      </c>
      <c r="N46" s="2"/>
      <c r="O46" s="3">
        <v>43781</v>
      </c>
      <c r="P46" s="5">
        <f t="shared" si="1"/>
        <v>2019</v>
      </c>
      <c r="Q46" s="5">
        <v>11</v>
      </c>
      <c r="R46" s="5">
        <v>11</v>
      </c>
      <c r="S46" t="s">
        <v>127</v>
      </c>
      <c r="T46" s="6" t="str">
        <f t="shared" si="0"/>
        <v>AS25</v>
      </c>
      <c r="U46" s="9" t="str">
        <f>VLOOKUP(L46,Lists!$D$2:$E$19,2,0)</f>
        <v>Administation</v>
      </c>
      <c r="V46" s="8">
        <f>VLOOKUP(T46,Lists!$G$2:$J$114,4,0)/2*52/12</f>
        <v>4203.333333333333</v>
      </c>
    </row>
    <row r="47" spans="1:22" x14ac:dyDescent="0.2">
      <c r="A47" s="2" t="s">
        <v>60</v>
      </c>
      <c r="B47" s="2" t="s">
        <v>184</v>
      </c>
      <c r="C47" s="2" t="s">
        <v>280</v>
      </c>
      <c r="D47" s="3">
        <v>23119</v>
      </c>
      <c r="E47" s="4">
        <v>50</v>
      </c>
      <c r="F47" s="3">
        <v>43777</v>
      </c>
      <c r="G47" s="3">
        <v>34076</v>
      </c>
      <c r="H47" s="30" t="str">
        <f>VLOOKUP((F47-G47)/365,Lists!$L$2:$M$6,2,1)</f>
        <v>10+</v>
      </c>
      <c r="I47" s="2" t="s">
        <v>372</v>
      </c>
      <c r="J47" s="60">
        <f>Data!K47+2000</f>
        <v>45587</v>
      </c>
      <c r="K47" s="3">
        <v>43587</v>
      </c>
      <c r="L47" s="2" t="s">
        <v>27</v>
      </c>
      <c r="M47" s="2"/>
      <c r="N47" s="2"/>
      <c r="O47" s="3">
        <v>43783</v>
      </c>
      <c r="P47" s="5">
        <f t="shared" si="1"/>
        <v>2019</v>
      </c>
      <c r="Q47" s="5">
        <v>11</v>
      </c>
      <c r="R47" s="5">
        <v>11</v>
      </c>
      <c r="S47" t="s">
        <v>126</v>
      </c>
      <c r="T47" s="6" t="str">
        <f t="shared" si="0"/>
        <v>CONT</v>
      </c>
      <c r="U47" s="9" t="str">
        <f>VLOOKUP(L47,Lists!$D$2:$E$19,2,0)</f>
        <v>Contract Mger</v>
      </c>
      <c r="V47" s="8">
        <f>VLOOKUP(T47,Lists!$G$2:$J$114,4,0)/2*52/12</f>
        <v>13000</v>
      </c>
    </row>
    <row r="48" spans="1:22" x14ac:dyDescent="0.2">
      <c r="A48" s="2" t="s">
        <v>56</v>
      </c>
      <c r="B48" s="2" t="s">
        <v>185</v>
      </c>
      <c r="C48" s="2" t="s">
        <v>281</v>
      </c>
      <c r="D48" s="3">
        <v>18645</v>
      </c>
      <c r="E48" s="4">
        <v>62</v>
      </c>
      <c r="F48" s="3">
        <v>43777</v>
      </c>
      <c r="G48" s="3">
        <v>40359</v>
      </c>
      <c r="H48" s="30" t="str">
        <f>VLOOKUP((F48-G48)/365,Lists!$L$2:$M$6,2,1)</f>
        <v>7-10</v>
      </c>
      <c r="I48" s="2" t="s">
        <v>372</v>
      </c>
      <c r="J48" s="60">
        <f>Data!K48+2000</f>
        <v>45587</v>
      </c>
      <c r="K48" s="3">
        <v>43587</v>
      </c>
      <c r="L48" s="2" t="s">
        <v>27</v>
      </c>
      <c r="M48" s="2"/>
      <c r="N48" s="2"/>
      <c r="O48" s="3">
        <v>43783</v>
      </c>
      <c r="P48" s="5">
        <f t="shared" si="1"/>
        <v>2019</v>
      </c>
      <c r="Q48" s="5">
        <v>11</v>
      </c>
      <c r="R48" s="5">
        <v>11</v>
      </c>
      <c r="S48" t="s">
        <v>126</v>
      </c>
      <c r="T48" s="6" t="str">
        <f t="shared" si="0"/>
        <v>CONT</v>
      </c>
      <c r="U48" s="9" t="str">
        <f>VLOOKUP(L48,Lists!$D$2:$E$19,2,0)</f>
        <v>Contract Mger</v>
      </c>
      <c r="V48" s="8">
        <f>VLOOKUP(T48,Lists!$G$2:$J$114,4,0)/2*52/12</f>
        <v>13000</v>
      </c>
    </row>
    <row r="49" spans="1:22" x14ac:dyDescent="0.2">
      <c r="A49" s="2" t="s">
        <v>46</v>
      </c>
      <c r="B49" s="2" t="s">
        <v>186</v>
      </c>
      <c r="C49" s="2" t="s">
        <v>282</v>
      </c>
      <c r="D49" s="3">
        <v>20293</v>
      </c>
      <c r="E49" s="4">
        <v>58</v>
      </c>
      <c r="F49" s="3">
        <v>43783</v>
      </c>
      <c r="G49" s="3">
        <v>40359</v>
      </c>
      <c r="H49" s="30" t="str">
        <f>VLOOKUP((F49-G49)/365,Lists!$L$2:$M$6,2,1)</f>
        <v>7-10</v>
      </c>
      <c r="I49" s="2" t="s">
        <v>372</v>
      </c>
      <c r="J49" s="60">
        <f>Data!K49+2000</f>
        <v>45593</v>
      </c>
      <c r="K49" s="3">
        <v>43593</v>
      </c>
      <c r="L49" s="2" t="s">
        <v>61</v>
      </c>
      <c r="M49" s="2" t="s">
        <v>31</v>
      </c>
      <c r="N49" s="2"/>
      <c r="O49" s="3">
        <v>43784</v>
      </c>
      <c r="P49" s="5">
        <f t="shared" si="1"/>
        <v>2019</v>
      </c>
      <c r="Q49" s="5">
        <v>11</v>
      </c>
      <c r="R49" s="5">
        <v>11</v>
      </c>
      <c r="S49" t="s">
        <v>126</v>
      </c>
      <c r="T49" s="6" t="str">
        <f t="shared" si="0"/>
        <v>ET53</v>
      </c>
      <c r="U49" s="9" t="str">
        <f>VLOOKUP(L49,Lists!$D$2:$E$19,2,0)</f>
        <v>Administation</v>
      </c>
      <c r="V49" s="8">
        <f>VLOOKUP(T49,Lists!$G$2:$J$114,4,0)/2*52/12</f>
        <v>7717.666666666667</v>
      </c>
    </row>
    <row r="50" spans="1:22" x14ac:dyDescent="0.2">
      <c r="A50" s="2" t="s">
        <v>62</v>
      </c>
      <c r="B50" s="2" t="s">
        <v>187</v>
      </c>
      <c r="C50" s="2" t="s">
        <v>283</v>
      </c>
      <c r="D50" s="3">
        <v>26101</v>
      </c>
      <c r="E50" s="4">
        <v>42</v>
      </c>
      <c r="F50" s="3">
        <v>43784</v>
      </c>
      <c r="G50" s="3">
        <v>42614</v>
      </c>
      <c r="H50" s="30" t="str">
        <f>VLOOKUP((F50-G50)/365,Lists!$L$2:$M$6,2,1)</f>
        <v>2-5</v>
      </c>
      <c r="I50" s="2" t="s">
        <v>19</v>
      </c>
      <c r="J50" s="60">
        <f>Data!K50+2000</f>
        <v>45594</v>
      </c>
      <c r="K50" s="3">
        <v>43594</v>
      </c>
      <c r="L50" s="2" t="s">
        <v>16</v>
      </c>
      <c r="M50" s="2" t="s">
        <v>31</v>
      </c>
      <c r="N50" s="2"/>
      <c r="O50" s="3">
        <v>43788</v>
      </c>
      <c r="P50" s="5">
        <f t="shared" si="1"/>
        <v>2019</v>
      </c>
      <c r="Q50" s="5">
        <v>11</v>
      </c>
      <c r="R50" s="5">
        <v>11</v>
      </c>
      <c r="S50" t="s">
        <v>126</v>
      </c>
      <c r="T50" s="6" t="str">
        <f t="shared" si="0"/>
        <v>CI13</v>
      </c>
      <c r="U50" s="9" t="str">
        <f>VLOOKUP(L50,Lists!$D$2:$E$19,2,0)</f>
        <v>Engineer</v>
      </c>
      <c r="V50" s="8">
        <f>VLOOKUP(T50,Lists!$G$2:$J$114,4,0)/2*52/12</f>
        <v>4140.5</v>
      </c>
    </row>
    <row r="51" spans="1:22" x14ac:dyDescent="0.2">
      <c r="A51" s="2" t="s">
        <v>63</v>
      </c>
      <c r="B51" s="2" t="s">
        <v>188</v>
      </c>
      <c r="C51" s="2" t="s">
        <v>284</v>
      </c>
      <c r="D51" s="3">
        <v>26132</v>
      </c>
      <c r="E51" s="4">
        <v>42</v>
      </c>
      <c r="F51" s="3">
        <v>43784</v>
      </c>
      <c r="G51" s="3">
        <v>38120</v>
      </c>
      <c r="H51" s="30" t="str">
        <f>VLOOKUP((F51-G51)/365,Lists!$L$2:$M$6,2,1)</f>
        <v>10+</v>
      </c>
      <c r="I51" s="2" t="s">
        <v>372</v>
      </c>
      <c r="J51" s="60">
        <f>Data!K51+2000</f>
        <v>45594</v>
      </c>
      <c r="K51" s="3">
        <v>43594</v>
      </c>
      <c r="L51" s="2" t="s">
        <v>55</v>
      </c>
      <c r="M51" s="2" t="s">
        <v>17</v>
      </c>
      <c r="N51" s="2"/>
      <c r="O51" s="3">
        <v>43788</v>
      </c>
      <c r="P51" s="5">
        <f t="shared" si="1"/>
        <v>2019</v>
      </c>
      <c r="Q51" s="5">
        <v>11</v>
      </c>
      <c r="R51" s="5">
        <v>11</v>
      </c>
      <c r="S51" t="s">
        <v>125</v>
      </c>
      <c r="T51" s="6" t="str">
        <f t="shared" si="0"/>
        <v>ET32</v>
      </c>
      <c r="U51" s="9" t="str">
        <f>VLOOKUP(L51,Lists!$D$2:$E$19,2,0)</f>
        <v>Administation</v>
      </c>
      <c r="V51" s="8">
        <f>VLOOKUP(T51,Lists!$G$2:$J$114,4,0)/2*52/12</f>
        <v>5702.666666666667</v>
      </c>
    </row>
    <row r="52" spans="1:22" x14ac:dyDescent="0.2">
      <c r="A52" s="2" t="s">
        <v>63</v>
      </c>
      <c r="B52" s="2" t="s">
        <v>189</v>
      </c>
      <c r="C52" s="2" t="s">
        <v>285</v>
      </c>
      <c r="D52" s="3">
        <v>21461</v>
      </c>
      <c r="E52" s="4">
        <v>55</v>
      </c>
      <c r="F52" s="3">
        <v>43784</v>
      </c>
      <c r="G52" s="3">
        <v>34890</v>
      </c>
      <c r="H52" s="30" t="str">
        <f>VLOOKUP((F52-G52)/365,Lists!$L$2:$M$6,2,1)</f>
        <v>10+</v>
      </c>
      <c r="I52" s="2" t="s">
        <v>372</v>
      </c>
      <c r="J52" s="60">
        <f>Data!K52+2000</f>
        <v>45594</v>
      </c>
      <c r="K52" s="3">
        <v>43594</v>
      </c>
      <c r="L52" s="2" t="s">
        <v>331</v>
      </c>
      <c r="M52" s="2" t="s">
        <v>24</v>
      </c>
      <c r="N52" s="2"/>
      <c r="O52" s="3">
        <v>43788</v>
      </c>
      <c r="P52" s="5">
        <f t="shared" si="1"/>
        <v>2019</v>
      </c>
      <c r="Q52" s="5">
        <v>11</v>
      </c>
      <c r="R52" s="5">
        <v>11</v>
      </c>
      <c r="S52" t="s">
        <v>125</v>
      </c>
      <c r="T52" s="6" t="s">
        <v>333</v>
      </c>
      <c r="U52" s="9" t="str">
        <f>VLOOKUP(L52,Lists!$D$2:$E$19,2,0)</f>
        <v>Legal</v>
      </c>
      <c r="V52" s="8">
        <f>VLOOKUP(T52,Lists!$G$2:$J$114,4,0)/2*52/12</f>
        <v>9856.1666666666661</v>
      </c>
    </row>
    <row r="53" spans="1:22" x14ac:dyDescent="0.2">
      <c r="A53" s="2" t="s">
        <v>64</v>
      </c>
      <c r="B53" s="2" t="s">
        <v>190</v>
      </c>
      <c r="C53" s="2" t="s">
        <v>286</v>
      </c>
      <c r="D53" s="3">
        <v>20052</v>
      </c>
      <c r="E53" s="4">
        <v>59</v>
      </c>
      <c r="F53" s="3">
        <v>43784</v>
      </c>
      <c r="G53" s="3">
        <v>32085</v>
      </c>
      <c r="H53" s="30" t="str">
        <f>VLOOKUP((F53-G53)/365,Lists!$L$2:$M$6,2,1)</f>
        <v>10+</v>
      </c>
      <c r="I53" s="2" t="s">
        <v>372</v>
      </c>
      <c r="J53" s="60">
        <f>Data!K53+2000</f>
        <v>45594</v>
      </c>
      <c r="K53" s="3">
        <v>43594</v>
      </c>
      <c r="L53" s="2" t="s">
        <v>65</v>
      </c>
      <c r="M53" s="2" t="s">
        <v>24</v>
      </c>
      <c r="N53" s="2"/>
      <c r="O53" s="3">
        <v>43788</v>
      </c>
      <c r="P53" s="5">
        <f t="shared" si="1"/>
        <v>2019</v>
      </c>
      <c r="Q53" s="5">
        <v>11</v>
      </c>
      <c r="R53" s="5">
        <v>11</v>
      </c>
      <c r="S53" t="s">
        <v>126</v>
      </c>
      <c r="T53" s="6" t="str">
        <f t="shared" si="0"/>
        <v>AS54</v>
      </c>
      <c r="U53" s="9" t="str">
        <f>VLOOKUP(L53,Lists!$D$2:$E$19,2,0)</f>
        <v>Administation</v>
      </c>
      <c r="V53" s="8">
        <f>VLOOKUP(T53,Lists!$G$2:$J$114,4,0)/2*52/12</f>
        <v>7243.166666666667</v>
      </c>
    </row>
    <row r="54" spans="1:22" x14ac:dyDescent="0.2">
      <c r="A54" s="2" t="s">
        <v>45</v>
      </c>
      <c r="B54" s="2" t="s">
        <v>191</v>
      </c>
      <c r="C54" s="2" t="s">
        <v>287</v>
      </c>
      <c r="D54" s="3">
        <v>20232</v>
      </c>
      <c r="E54" s="4">
        <v>58</v>
      </c>
      <c r="F54" s="3">
        <v>43784</v>
      </c>
      <c r="G54" s="3">
        <v>31633</v>
      </c>
      <c r="H54" s="30" t="str">
        <f>VLOOKUP((F54-G54)/365,Lists!$L$2:$M$6,2,1)</f>
        <v>10+</v>
      </c>
      <c r="I54" s="2" t="s">
        <v>372</v>
      </c>
      <c r="J54" s="60">
        <f>Data!K54+2000</f>
        <v>45594</v>
      </c>
      <c r="K54" s="3">
        <v>43594</v>
      </c>
      <c r="L54" s="2" t="s">
        <v>53</v>
      </c>
      <c r="M54" s="2" t="s">
        <v>24</v>
      </c>
      <c r="N54" s="2"/>
      <c r="O54" s="3">
        <v>43788</v>
      </c>
      <c r="P54" s="5">
        <f t="shared" si="1"/>
        <v>2019</v>
      </c>
      <c r="Q54" s="5">
        <v>11</v>
      </c>
      <c r="R54" s="5">
        <v>11</v>
      </c>
      <c r="S54" t="s">
        <v>127</v>
      </c>
      <c r="T54" s="6" t="str">
        <f t="shared" si="0"/>
        <v>PT44</v>
      </c>
      <c r="U54" s="9" t="str">
        <f>VLOOKUP(L54,Lists!$D$2:$E$19,2,0)</f>
        <v>Accountant</v>
      </c>
      <c r="V54" s="8">
        <f>VLOOKUP(T54,Lists!$G$2:$J$114,4,0)/2*52/12</f>
        <v>8183.5</v>
      </c>
    </row>
    <row r="55" spans="1:22" x14ac:dyDescent="0.2">
      <c r="A55" s="2" t="s">
        <v>66</v>
      </c>
      <c r="B55" s="2" t="s">
        <v>192</v>
      </c>
      <c r="C55" s="2" t="s">
        <v>288</v>
      </c>
      <c r="D55" s="3">
        <v>26250</v>
      </c>
      <c r="E55" s="4">
        <v>42</v>
      </c>
      <c r="F55" s="3">
        <v>43784</v>
      </c>
      <c r="G55" s="3">
        <v>42792</v>
      </c>
      <c r="H55" s="30" t="str">
        <f>VLOOKUP((F55-G55)/365,Lists!$L$2:$M$6,2,1)</f>
        <v>2-5</v>
      </c>
      <c r="I55" s="2" t="s">
        <v>372</v>
      </c>
      <c r="J55" s="60">
        <f>Data!K55+2000</f>
        <v>45594</v>
      </c>
      <c r="K55" s="3">
        <v>43594</v>
      </c>
      <c r="L55" s="2" t="s">
        <v>27</v>
      </c>
      <c r="M55" s="2"/>
      <c r="N55" s="2"/>
      <c r="O55" s="3">
        <v>43790</v>
      </c>
      <c r="P55" s="5">
        <f t="shared" si="1"/>
        <v>2019</v>
      </c>
      <c r="Q55" s="5">
        <v>11</v>
      </c>
      <c r="R55" s="5">
        <v>11</v>
      </c>
      <c r="S55" t="s">
        <v>125</v>
      </c>
      <c r="T55" s="6" t="str">
        <f t="shared" si="0"/>
        <v>CONT</v>
      </c>
      <c r="U55" s="9" t="str">
        <f>VLOOKUP(L55,Lists!$D$2:$E$19,2,0)</f>
        <v>Contract Mger</v>
      </c>
      <c r="V55" s="8">
        <f>VLOOKUP(T55,Lists!$G$2:$J$114,4,0)/2*52/12</f>
        <v>13000</v>
      </c>
    </row>
    <row r="56" spans="1:22" x14ac:dyDescent="0.2">
      <c r="A56" s="2" t="s">
        <v>67</v>
      </c>
      <c r="B56" s="2" t="s">
        <v>193</v>
      </c>
      <c r="C56" s="2" t="s">
        <v>289</v>
      </c>
      <c r="D56" s="3">
        <v>23909</v>
      </c>
      <c r="E56" s="4">
        <v>48</v>
      </c>
      <c r="F56" s="3">
        <v>43788</v>
      </c>
      <c r="G56" s="3">
        <v>43491</v>
      </c>
      <c r="H56" s="30" t="str">
        <f>VLOOKUP((F56-G56)/365,Lists!$L$2:$M$6,2,1)</f>
        <v>0-2</v>
      </c>
      <c r="I56" s="2" t="s">
        <v>19</v>
      </c>
      <c r="J56" s="60">
        <f>Data!K56+2000</f>
        <v>45598</v>
      </c>
      <c r="K56" s="3">
        <v>43598</v>
      </c>
      <c r="L56" s="2" t="s">
        <v>20</v>
      </c>
      <c r="M56" s="2" t="s">
        <v>21</v>
      </c>
      <c r="N56" s="2"/>
      <c r="O56" s="3">
        <v>43788</v>
      </c>
      <c r="P56" s="5">
        <f t="shared" si="1"/>
        <v>2019</v>
      </c>
      <c r="Q56" s="5">
        <v>11</v>
      </c>
      <c r="R56" s="5">
        <v>11</v>
      </c>
      <c r="S56" t="s">
        <v>125</v>
      </c>
      <c r="T56" s="6" t="str">
        <f t="shared" si="0"/>
        <v>ET21</v>
      </c>
      <c r="U56" s="9" t="str">
        <f>VLOOKUP(L56,Lists!$D$2:$E$19,2,0)</f>
        <v>Administation</v>
      </c>
      <c r="V56" s="8">
        <f>VLOOKUP(T56,Lists!$G$2:$J$114,4,0)/2*52/12</f>
        <v>4589</v>
      </c>
    </row>
    <row r="57" spans="1:22" x14ac:dyDescent="0.2">
      <c r="A57" s="2" t="s">
        <v>68</v>
      </c>
      <c r="B57" s="2" t="s">
        <v>194</v>
      </c>
      <c r="C57" s="2" t="s">
        <v>290</v>
      </c>
      <c r="D57" s="3">
        <v>31250</v>
      </c>
      <c r="E57" s="4">
        <v>28</v>
      </c>
      <c r="F57" s="3">
        <v>43791</v>
      </c>
      <c r="G57" s="3">
        <v>40651</v>
      </c>
      <c r="H57" s="30" t="str">
        <f>VLOOKUP((F57-G57)/365,Lists!$L$2:$M$6,2,1)</f>
        <v>7-10</v>
      </c>
      <c r="I57" s="2" t="s">
        <v>372</v>
      </c>
      <c r="J57" s="60">
        <f>Data!K57+2000</f>
        <v>45601</v>
      </c>
      <c r="K57" s="3">
        <v>43601</v>
      </c>
      <c r="L57" s="2" t="s">
        <v>42</v>
      </c>
      <c r="M57" s="2" t="s">
        <v>24</v>
      </c>
      <c r="N57" s="2"/>
      <c r="O57" s="3">
        <v>43791</v>
      </c>
      <c r="P57" s="5">
        <f t="shared" si="1"/>
        <v>2019</v>
      </c>
      <c r="Q57" s="5">
        <v>11</v>
      </c>
      <c r="R57" s="5">
        <v>11</v>
      </c>
      <c r="S57" t="s">
        <v>125</v>
      </c>
      <c r="T57" s="6" t="str">
        <f t="shared" si="0"/>
        <v>ET14</v>
      </c>
      <c r="U57" s="9" t="str">
        <f>VLOOKUP(L57,Lists!$D$2:$E$19,2,0)</f>
        <v>Administation</v>
      </c>
      <c r="V57" s="8">
        <f>VLOOKUP(T57,Lists!$G$2:$J$114,4,0)/2*52/12</f>
        <v>4274.833333333333</v>
      </c>
    </row>
    <row r="58" spans="1:22" x14ac:dyDescent="0.2">
      <c r="A58" s="2" t="s">
        <v>69</v>
      </c>
      <c r="B58" s="2" t="s">
        <v>195</v>
      </c>
      <c r="C58" s="2" t="s">
        <v>291</v>
      </c>
      <c r="D58" s="3">
        <v>20587</v>
      </c>
      <c r="E58" s="4">
        <v>57</v>
      </c>
      <c r="F58" s="3">
        <v>43791</v>
      </c>
      <c r="G58" s="3">
        <v>33111</v>
      </c>
      <c r="H58" s="30" t="str">
        <f>VLOOKUP((F58-G58)/365,Lists!$L$2:$M$6,2,1)</f>
        <v>10+</v>
      </c>
      <c r="I58" s="2" t="s">
        <v>372</v>
      </c>
      <c r="J58" s="60">
        <f>Data!K58+2000</f>
        <v>45601</v>
      </c>
      <c r="K58" s="3">
        <v>43601</v>
      </c>
      <c r="L58" s="2" t="s">
        <v>42</v>
      </c>
      <c r="M58" s="2" t="s">
        <v>59</v>
      </c>
      <c r="N58" s="2"/>
      <c r="O58" s="3">
        <v>43791</v>
      </c>
      <c r="P58" s="5">
        <f t="shared" si="1"/>
        <v>2019</v>
      </c>
      <c r="Q58" s="5">
        <v>11</v>
      </c>
      <c r="R58" s="5">
        <v>11</v>
      </c>
      <c r="S58" t="s">
        <v>125</v>
      </c>
      <c r="T58" s="6" t="str">
        <f t="shared" si="0"/>
        <v>ET15</v>
      </c>
      <c r="U58" s="9" t="str">
        <f>VLOOKUP(L58,Lists!$D$2:$E$19,2,0)</f>
        <v>Administation</v>
      </c>
      <c r="V58" s="8">
        <f>VLOOKUP(T58,Lists!$G$2:$J$114,4,0)/2*52/12</f>
        <v>4443.833333333333</v>
      </c>
    </row>
    <row r="59" spans="1:22" x14ac:dyDescent="0.2">
      <c r="A59" s="2" t="s">
        <v>70</v>
      </c>
      <c r="B59" s="2" t="s">
        <v>196</v>
      </c>
      <c r="C59" s="2" t="s">
        <v>292</v>
      </c>
      <c r="D59" s="3">
        <v>20247</v>
      </c>
      <c r="E59" s="4">
        <v>58</v>
      </c>
      <c r="F59" s="3">
        <v>43791</v>
      </c>
      <c r="G59" s="3">
        <v>40359</v>
      </c>
      <c r="H59" s="30" t="str">
        <f>VLOOKUP((F59-G59)/365,Lists!$L$2:$M$6,2,1)</f>
        <v>7-10</v>
      </c>
      <c r="I59" s="2" t="s">
        <v>372</v>
      </c>
      <c r="J59" s="60">
        <f>Data!K59+2000</f>
        <v>45601</v>
      </c>
      <c r="K59" s="3">
        <v>43601</v>
      </c>
      <c r="L59" s="2" t="s">
        <v>71</v>
      </c>
      <c r="M59" s="2" t="s">
        <v>24</v>
      </c>
      <c r="N59" s="2"/>
      <c r="O59" s="3">
        <v>43791</v>
      </c>
      <c r="P59" s="5">
        <f t="shared" si="1"/>
        <v>2019</v>
      </c>
      <c r="Q59" s="5">
        <v>11</v>
      </c>
      <c r="R59" s="5">
        <v>11</v>
      </c>
      <c r="S59" t="s">
        <v>125</v>
      </c>
      <c r="T59" s="6" t="str">
        <f t="shared" si="0"/>
        <v>AS64</v>
      </c>
      <c r="U59" s="9" t="str">
        <f>VLOOKUP(L59,Lists!$D$2:$E$19,2,0)</f>
        <v>Administation</v>
      </c>
      <c r="V59" s="8">
        <f>VLOOKUP(T59,Lists!$G$2:$J$114,4,0)/2*52/12</f>
        <v>8183.5</v>
      </c>
    </row>
    <row r="60" spans="1:22" x14ac:dyDescent="0.2">
      <c r="A60" s="2" t="s">
        <v>68</v>
      </c>
      <c r="B60" s="2" t="s">
        <v>197</v>
      </c>
      <c r="C60" s="2" t="s">
        <v>293</v>
      </c>
      <c r="D60" s="3">
        <v>22805</v>
      </c>
      <c r="E60" s="4">
        <v>51</v>
      </c>
      <c r="F60" s="3">
        <v>43791</v>
      </c>
      <c r="G60" s="3">
        <v>42526</v>
      </c>
      <c r="H60" s="30" t="str">
        <f>VLOOKUP((F60-G60)/365,Lists!$L$2:$M$6,2,1)</f>
        <v>2-5</v>
      </c>
      <c r="I60" s="2" t="s">
        <v>372</v>
      </c>
      <c r="J60" s="60">
        <f>Data!K60+2000</f>
        <v>45601</v>
      </c>
      <c r="K60" s="3">
        <v>43601</v>
      </c>
      <c r="L60" s="2" t="s">
        <v>20</v>
      </c>
      <c r="M60" s="2" t="s">
        <v>21</v>
      </c>
      <c r="N60" s="2"/>
      <c r="O60" s="3">
        <v>43791</v>
      </c>
      <c r="P60" s="5">
        <f t="shared" si="1"/>
        <v>2019</v>
      </c>
      <c r="Q60" s="5">
        <v>11</v>
      </c>
      <c r="R60" s="5">
        <v>11</v>
      </c>
      <c r="S60" t="s">
        <v>125</v>
      </c>
      <c r="T60" s="6" t="str">
        <f t="shared" si="0"/>
        <v>ET21</v>
      </c>
      <c r="U60" s="9" t="str">
        <f>VLOOKUP(L60,Lists!$D$2:$E$19,2,0)</f>
        <v>Administation</v>
      </c>
      <c r="V60" s="8">
        <f>VLOOKUP(T60,Lists!$G$2:$J$114,4,0)/2*52/12</f>
        <v>4589</v>
      </c>
    </row>
    <row r="61" spans="1:22" x14ac:dyDescent="0.2">
      <c r="A61" s="2" t="s">
        <v>69</v>
      </c>
      <c r="B61" s="2" t="s">
        <v>198</v>
      </c>
      <c r="C61" s="2" t="s">
        <v>294</v>
      </c>
      <c r="D61" s="3">
        <v>31174</v>
      </c>
      <c r="E61" s="4">
        <v>28</v>
      </c>
      <c r="F61" s="3">
        <v>43791</v>
      </c>
      <c r="G61" s="3">
        <v>41416</v>
      </c>
      <c r="H61" s="30" t="str">
        <f>VLOOKUP((F61-G61)/365,Lists!$L$2:$M$6,2,1)</f>
        <v>5-7</v>
      </c>
      <c r="I61" s="2" t="s">
        <v>372</v>
      </c>
      <c r="J61" s="60">
        <f>Data!K61+2000</f>
        <v>45601</v>
      </c>
      <c r="K61" s="3">
        <v>43601</v>
      </c>
      <c r="L61" s="2" t="s">
        <v>20</v>
      </c>
      <c r="M61" s="2" t="s">
        <v>21</v>
      </c>
      <c r="N61" s="2"/>
      <c r="O61" s="3">
        <v>43791</v>
      </c>
      <c r="P61" s="5">
        <f t="shared" si="1"/>
        <v>2019</v>
      </c>
      <c r="Q61" s="5">
        <v>11</v>
      </c>
      <c r="R61" s="5">
        <v>11</v>
      </c>
      <c r="S61" t="s">
        <v>125</v>
      </c>
      <c r="T61" s="6" t="str">
        <f t="shared" si="0"/>
        <v>ET21</v>
      </c>
      <c r="U61" s="9" t="str">
        <f>VLOOKUP(L61,Lists!$D$2:$E$19,2,0)</f>
        <v>Administation</v>
      </c>
      <c r="V61" s="8">
        <f>VLOOKUP(T61,Lists!$G$2:$J$114,4,0)/2*52/12</f>
        <v>4589</v>
      </c>
    </row>
    <row r="62" spans="1:22" x14ac:dyDescent="0.2">
      <c r="A62" s="2" t="s">
        <v>72</v>
      </c>
      <c r="B62" s="2" t="s">
        <v>199</v>
      </c>
      <c r="C62" s="2" t="s">
        <v>295</v>
      </c>
      <c r="D62" s="3">
        <v>29570</v>
      </c>
      <c r="E62" s="4">
        <v>32</v>
      </c>
      <c r="F62" s="3">
        <v>43791</v>
      </c>
      <c r="G62" s="3">
        <v>41416</v>
      </c>
      <c r="H62" s="30" t="str">
        <f>VLOOKUP((F62-G62)/365,Lists!$L$2:$M$6,2,1)</f>
        <v>5-7</v>
      </c>
      <c r="I62" s="2" t="s">
        <v>372</v>
      </c>
      <c r="J62" s="60">
        <f>Data!K62+2000</f>
        <v>45601</v>
      </c>
      <c r="K62" s="3">
        <v>43601</v>
      </c>
      <c r="L62" s="2" t="s">
        <v>73</v>
      </c>
      <c r="M62" s="2" t="s">
        <v>24</v>
      </c>
      <c r="N62" s="2"/>
      <c r="O62" s="3">
        <v>43791</v>
      </c>
      <c r="P62" s="5">
        <f t="shared" si="1"/>
        <v>2019</v>
      </c>
      <c r="Q62" s="5">
        <v>11</v>
      </c>
      <c r="R62" s="5">
        <v>11</v>
      </c>
      <c r="S62" t="s">
        <v>125</v>
      </c>
      <c r="T62" s="6" t="str">
        <f t="shared" si="0"/>
        <v>AS44</v>
      </c>
      <c r="U62" s="9" t="str">
        <f>VLOOKUP(L62,Lists!$D$2:$E$19,2,0)</f>
        <v>Administation</v>
      </c>
      <c r="V62" s="8">
        <f>VLOOKUP(T62,Lists!$G$2:$J$114,4,0)/2*52/12</f>
        <v>6318</v>
      </c>
    </row>
    <row r="63" spans="1:22" x14ac:dyDescent="0.2">
      <c r="A63" s="2" t="s">
        <v>74</v>
      </c>
      <c r="B63" s="2" t="s">
        <v>200</v>
      </c>
      <c r="C63" s="2" t="s">
        <v>296</v>
      </c>
      <c r="D63" s="3">
        <v>21644</v>
      </c>
      <c r="E63" s="4">
        <v>54</v>
      </c>
      <c r="F63" s="3">
        <v>43791</v>
      </c>
      <c r="G63" s="3">
        <v>41416</v>
      </c>
      <c r="H63" s="30" t="str">
        <f>VLOOKUP((F63-G63)/365,Lists!$L$2:$M$6,2,1)</f>
        <v>5-7</v>
      </c>
      <c r="I63" s="2" t="s">
        <v>372</v>
      </c>
      <c r="J63" s="60">
        <f>Data!K63+2000</f>
        <v>45601</v>
      </c>
      <c r="K63" s="3">
        <v>43601</v>
      </c>
      <c r="L63" s="2" t="s">
        <v>20</v>
      </c>
      <c r="M63" s="2" t="s">
        <v>21</v>
      </c>
      <c r="N63" s="2"/>
      <c r="O63" s="3">
        <v>43791</v>
      </c>
      <c r="P63" s="5">
        <f t="shared" si="1"/>
        <v>2019</v>
      </c>
      <c r="Q63" s="5">
        <v>11</v>
      </c>
      <c r="R63" s="5">
        <v>11</v>
      </c>
      <c r="S63" t="s">
        <v>125</v>
      </c>
      <c r="T63" s="6" t="str">
        <f t="shared" si="0"/>
        <v>ET21</v>
      </c>
      <c r="U63" s="9" t="str">
        <f>VLOOKUP(L63,Lists!$D$2:$E$19,2,0)</f>
        <v>Administation</v>
      </c>
      <c r="V63" s="8">
        <f>VLOOKUP(T63,Lists!$G$2:$J$114,4,0)/2*52/12</f>
        <v>4589</v>
      </c>
    </row>
    <row r="64" spans="1:22" x14ac:dyDescent="0.2">
      <c r="A64" s="2" t="s">
        <v>75</v>
      </c>
      <c r="B64" s="2" t="s">
        <v>201</v>
      </c>
      <c r="C64" s="2" t="s">
        <v>297</v>
      </c>
      <c r="D64" s="3">
        <v>27434</v>
      </c>
      <c r="E64" s="4">
        <v>38</v>
      </c>
      <c r="F64" s="3">
        <v>43791</v>
      </c>
      <c r="G64" s="3">
        <v>41416</v>
      </c>
      <c r="H64" s="30" t="str">
        <f>VLOOKUP((F64-G64)/365,Lists!$L$2:$M$6,2,1)</f>
        <v>5-7</v>
      </c>
      <c r="I64" s="2" t="s">
        <v>38</v>
      </c>
      <c r="J64" s="60">
        <f>Data!K64+2000</f>
        <v>45601</v>
      </c>
      <c r="K64" s="3">
        <v>43601</v>
      </c>
      <c r="L64" s="2" t="s">
        <v>71</v>
      </c>
      <c r="M64" s="2" t="s">
        <v>24</v>
      </c>
      <c r="N64" s="2"/>
      <c r="O64" s="3">
        <v>43794</v>
      </c>
      <c r="P64" s="5">
        <f t="shared" si="1"/>
        <v>2019</v>
      </c>
      <c r="Q64" s="5">
        <v>11</v>
      </c>
      <c r="R64" s="5">
        <v>11</v>
      </c>
      <c r="S64" t="s">
        <v>125</v>
      </c>
      <c r="T64" s="6" t="str">
        <f t="shared" si="0"/>
        <v>AS64</v>
      </c>
      <c r="U64" s="9" t="str">
        <f>VLOOKUP(L64,Lists!$D$2:$E$19,2,0)</f>
        <v>Administation</v>
      </c>
      <c r="V64" s="8">
        <f>VLOOKUP(T64,Lists!$G$2:$J$114,4,0)/2*52/12</f>
        <v>8183.5</v>
      </c>
    </row>
    <row r="65" spans="1:22" x14ac:dyDescent="0.2">
      <c r="A65" s="2" t="s">
        <v>74</v>
      </c>
      <c r="B65" s="2" t="s">
        <v>202</v>
      </c>
      <c r="C65" s="2" t="s">
        <v>298</v>
      </c>
      <c r="D65" s="3">
        <v>20909</v>
      </c>
      <c r="E65" s="4">
        <v>56</v>
      </c>
      <c r="F65" s="3">
        <v>43791</v>
      </c>
      <c r="G65" s="3">
        <v>40359</v>
      </c>
      <c r="H65" s="30" t="str">
        <f>VLOOKUP((F65-G65)/365,Lists!$L$2:$M$6,2,1)</f>
        <v>7-10</v>
      </c>
      <c r="I65" s="2" t="s">
        <v>38</v>
      </c>
      <c r="J65" s="60">
        <f>Data!K65+2000</f>
        <v>45601</v>
      </c>
      <c r="K65" s="3">
        <v>43601</v>
      </c>
      <c r="L65" s="2" t="s">
        <v>20</v>
      </c>
      <c r="M65" s="2" t="s">
        <v>21</v>
      </c>
      <c r="N65" s="2"/>
      <c r="O65" s="3">
        <v>43794</v>
      </c>
      <c r="P65" s="5">
        <f t="shared" si="1"/>
        <v>2019</v>
      </c>
      <c r="Q65" s="5">
        <v>11</v>
      </c>
      <c r="R65" s="5">
        <v>11</v>
      </c>
      <c r="S65" t="s">
        <v>125</v>
      </c>
      <c r="T65" s="6" t="str">
        <f t="shared" si="0"/>
        <v>ET21</v>
      </c>
      <c r="U65" s="9" t="str">
        <f>VLOOKUP(L65,Lists!$D$2:$E$19,2,0)</f>
        <v>Administation</v>
      </c>
      <c r="V65" s="8">
        <f>VLOOKUP(T65,Lists!$G$2:$J$114,4,0)/2*52/12</f>
        <v>4589</v>
      </c>
    </row>
    <row r="66" spans="1:22" x14ac:dyDescent="0.2">
      <c r="A66" s="2" t="s">
        <v>69</v>
      </c>
      <c r="B66" s="2" t="s">
        <v>203</v>
      </c>
      <c r="C66" s="2" t="s">
        <v>299</v>
      </c>
      <c r="D66" s="3">
        <v>27657</v>
      </c>
      <c r="E66" s="4">
        <v>38</v>
      </c>
      <c r="F66" s="3">
        <v>43791</v>
      </c>
      <c r="G66" s="3">
        <v>41898</v>
      </c>
      <c r="H66" s="30" t="str">
        <f>VLOOKUP((F66-G66)/365,Lists!$L$2:$M$6,2,1)</f>
        <v>5-7</v>
      </c>
      <c r="I66" s="2" t="s">
        <v>38</v>
      </c>
      <c r="J66" s="60">
        <f>Data!K66+2000</f>
        <v>45601</v>
      </c>
      <c r="K66" s="3">
        <v>43601</v>
      </c>
      <c r="L66" s="2" t="s">
        <v>42</v>
      </c>
      <c r="M66" s="2" t="s">
        <v>24</v>
      </c>
      <c r="N66" s="2"/>
      <c r="O66" s="3">
        <v>43794</v>
      </c>
      <c r="P66" s="5">
        <f t="shared" si="1"/>
        <v>2019</v>
      </c>
      <c r="Q66" s="5">
        <v>11</v>
      </c>
      <c r="R66" s="5">
        <v>11</v>
      </c>
      <c r="S66" t="s">
        <v>125</v>
      </c>
      <c r="T66" s="6" t="str">
        <f t="shared" si="0"/>
        <v>ET14</v>
      </c>
      <c r="U66" s="9" t="str">
        <f>VLOOKUP(L66,Lists!$D$2:$E$19,2,0)</f>
        <v>Administation</v>
      </c>
      <c r="V66" s="8">
        <f>VLOOKUP(T66,Lists!$G$2:$J$114,4,0)/2*52/12</f>
        <v>4274.833333333333</v>
      </c>
    </row>
    <row r="67" spans="1:22" x14ac:dyDescent="0.2">
      <c r="A67" s="2" t="s">
        <v>34</v>
      </c>
      <c r="B67" s="2" t="s">
        <v>204</v>
      </c>
      <c r="C67" s="2" t="s">
        <v>300</v>
      </c>
      <c r="D67" s="3">
        <v>21775</v>
      </c>
      <c r="E67" s="4">
        <v>54</v>
      </c>
      <c r="F67" s="3">
        <v>43791</v>
      </c>
      <c r="G67" s="3">
        <v>40359</v>
      </c>
      <c r="H67" s="30" t="str">
        <f>VLOOKUP((F67-G67)/365,Lists!$L$2:$M$6,2,1)</f>
        <v>7-10</v>
      </c>
      <c r="I67" s="2" t="s">
        <v>38</v>
      </c>
      <c r="J67" s="60">
        <f>Data!K67+2000</f>
        <v>45601</v>
      </c>
      <c r="K67" s="3">
        <v>43601</v>
      </c>
      <c r="L67" s="2" t="s">
        <v>55</v>
      </c>
      <c r="M67" s="2" t="s">
        <v>31</v>
      </c>
      <c r="N67" s="2"/>
      <c r="O67" s="3">
        <v>43794</v>
      </c>
      <c r="P67" s="5">
        <f t="shared" ref="P67:P109" si="2">YEAR(O67)</f>
        <v>2019</v>
      </c>
      <c r="Q67" s="5">
        <v>11</v>
      </c>
      <c r="R67" s="5">
        <v>11</v>
      </c>
      <c r="S67" t="s">
        <v>125</v>
      </c>
      <c r="T67" s="6" t="str">
        <f t="shared" si="0"/>
        <v>ET33</v>
      </c>
      <c r="U67" s="9" t="str">
        <f>VLOOKUP(L67,Lists!$D$2:$E$19,2,0)</f>
        <v>Administation</v>
      </c>
      <c r="V67" s="8">
        <f>VLOOKUP(T67,Lists!$G$2:$J$114,4,0)/2*52/12</f>
        <v>5928</v>
      </c>
    </row>
    <row r="68" spans="1:22" x14ac:dyDescent="0.2">
      <c r="A68" s="2" t="s">
        <v>41</v>
      </c>
      <c r="B68" s="2" t="s">
        <v>205</v>
      </c>
      <c r="C68" s="2" t="s">
        <v>301</v>
      </c>
      <c r="D68" s="3">
        <v>20482</v>
      </c>
      <c r="E68" s="4">
        <v>57</v>
      </c>
      <c r="F68" s="3">
        <v>43791</v>
      </c>
      <c r="G68" s="3">
        <v>43387</v>
      </c>
      <c r="H68" s="30" t="str">
        <f>VLOOKUP((F68-G68)/365,Lists!$L$2:$M$6,2,1)</f>
        <v>0-2</v>
      </c>
      <c r="I68" s="2" t="s">
        <v>38</v>
      </c>
      <c r="J68" s="60">
        <f>Data!K68+2000</f>
        <v>45601</v>
      </c>
      <c r="K68" s="3">
        <v>43601</v>
      </c>
      <c r="L68" s="2" t="s">
        <v>55</v>
      </c>
      <c r="M68" s="2" t="s">
        <v>17</v>
      </c>
      <c r="N68" s="2"/>
      <c r="O68" s="3">
        <v>43794</v>
      </c>
      <c r="P68" s="5">
        <f t="shared" si="2"/>
        <v>2019</v>
      </c>
      <c r="Q68" s="5">
        <v>11</v>
      </c>
      <c r="R68" s="5">
        <v>11</v>
      </c>
      <c r="S68" t="s">
        <v>125</v>
      </c>
      <c r="T68" s="6" t="str">
        <f t="shared" si="0"/>
        <v>ET32</v>
      </c>
      <c r="U68" s="9" t="str">
        <f>VLOOKUP(L68,Lists!$D$2:$E$19,2,0)</f>
        <v>Administation</v>
      </c>
      <c r="V68" s="8">
        <f>VLOOKUP(T68,Lists!$G$2:$J$114,4,0)/2*52/12</f>
        <v>5702.666666666667</v>
      </c>
    </row>
    <row r="69" spans="1:22" x14ac:dyDescent="0.2">
      <c r="A69" s="2" t="s">
        <v>41</v>
      </c>
      <c r="B69" s="2" t="s">
        <v>206</v>
      </c>
      <c r="C69" s="2" t="s">
        <v>302</v>
      </c>
      <c r="D69" s="3">
        <v>18637</v>
      </c>
      <c r="E69" s="4">
        <v>62</v>
      </c>
      <c r="F69" s="3">
        <v>43791</v>
      </c>
      <c r="G69" s="3">
        <v>43387</v>
      </c>
      <c r="H69" s="30" t="str">
        <f>VLOOKUP((F69-G69)/365,Lists!$L$2:$M$6,2,1)</f>
        <v>0-2</v>
      </c>
      <c r="I69" s="2" t="s">
        <v>38</v>
      </c>
      <c r="J69" s="60">
        <f>Data!K69+2000</f>
        <v>45601</v>
      </c>
      <c r="K69" s="3">
        <v>43601</v>
      </c>
      <c r="L69" s="2" t="s">
        <v>76</v>
      </c>
      <c r="M69" s="2" t="s">
        <v>31</v>
      </c>
      <c r="N69" s="2"/>
      <c r="O69" s="3">
        <v>43794</v>
      </c>
      <c r="P69" s="5">
        <f t="shared" si="2"/>
        <v>2019</v>
      </c>
      <c r="Q69" s="5">
        <v>11</v>
      </c>
      <c r="R69" s="5">
        <v>11</v>
      </c>
      <c r="S69" t="s">
        <v>125</v>
      </c>
      <c r="T69" s="6" t="str">
        <f t="shared" si="0"/>
        <v>ET43</v>
      </c>
      <c r="U69" s="9" t="str">
        <f>VLOOKUP(L69,Lists!$D$2:$E$19,2,0)</f>
        <v>Administation</v>
      </c>
      <c r="V69" s="8">
        <f>VLOOKUP(T69,Lists!$G$2:$J$114,4,0)/2*52/12</f>
        <v>6827.166666666667</v>
      </c>
    </row>
    <row r="70" spans="1:22" x14ac:dyDescent="0.2">
      <c r="A70" s="2" t="s">
        <v>74</v>
      </c>
      <c r="B70" s="2" t="s">
        <v>207</v>
      </c>
      <c r="C70" s="2" t="s">
        <v>303</v>
      </c>
      <c r="D70" s="3">
        <v>22963</v>
      </c>
      <c r="E70" s="4">
        <v>51</v>
      </c>
      <c r="F70" s="3">
        <v>43791</v>
      </c>
      <c r="G70" s="3">
        <v>33999</v>
      </c>
      <c r="H70" s="30" t="str">
        <f>VLOOKUP((F70-G70)/365,Lists!$L$2:$M$6,2,1)</f>
        <v>10+</v>
      </c>
      <c r="I70" s="2" t="s">
        <v>372</v>
      </c>
      <c r="J70" s="60">
        <f>Data!K70+2000</f>
        <v>45601</v>
      </c>
      <c r="K70" s="3">
        <v>43601</v>
      </c>
      <c r="L70" s="2" t="s">
        <v>331</v>
      </c>
      <c r="M70" s="2" t="s">
        <v>24</v>
      </c>
      <c r="N70" s="2"/>
      <c r="O70" s="3">
        <v>43795</v>
      </c>
      <c r="P70" s="5">
        <f t="shared" si="2"/>
        <v>2019</v>
      </c>
      <c r="Q70" s="5">
        <v>11</v>
      </c>
      <c r="R70" s="5">
        <v>11</v>
      </c>
      <c r="S70" t="s">
        <v>125</v>
      </c>
      <c r="T70" s="6" t="s">
        <v>333</v>
      </c>
      <c r="U70" s="9" t="str">
        <f>VLOOKUP(L70,Lists!$D$2:$E$19,2,0)</f>
        <v>Legal</v>
      </c>
      <c r="V70" s="8">
        <f>VLOOKUP(T70,Lists!$G$2:$J$114,4,0)/2*52/12</f>
        <v>9856.1666666666661</v>
      </c>
    </row>
    <row r="71" spans="1:22" x14ac:dyDescent="0.2">
      <c r="A71" s="2" t="s">
        <v>77</v>
      </c>
      <c r="B71" s="2" t="s">
        <v>208</v>
      </c>
      <c r="C71" s="2" t="s">
        <v>304</v>
      </c>
      <c r="D71" s="3">
        <v>24364</v>
      </c>
      <c r="E71" s="4">
        <v>47</v>
      </c>
      <c r="F71" s="3">
        <v>43791</v>
      </c>
      <c r="G71" s="3">
        <v>42044</v>
      </c>
      <c r="H71" s="30" t="str">
        <f>VLOOKUP((F71-G71)/365,Lists!$L$2:$M$6,2,1)</f>
        <v>2-5</v>
      </c>
      <c r="I71" s="2" t="s">
        <v>38</v>
      </c>
      <c r="J71" s="60">
        <f>Data!K71+2000</f>
        <v>45601</v>
      </c>
      <c r="K71" s="3">
        <v>43601</v>
      </c>
      <c r="L71" s="2" t="s">
        <v>20</v>
      </c>
      <c r="M71" s="2" t="s">
        <v>21</v>
      </c>
      <c r="N71" s="2"/>
      <c r="O71" s="3">
        <v>43796</v>
      </c>
      <c r="P71" s="5">
        <f t="shared" si="2"/>
        <v>2019</v>
      </c>
      <c r="Q71" s="5">
        <v>11</v>
      </c>
      <c r="R71" s="5">
        <v>11</v>
      </c>
      <c r="S71" t="s">
        <v>125</v>
      </c>
      <c r="T71" s="6" t="str">
        <f t="shared" si="0"/>
        <v>ET21</v>
      </c>
      <c r="U71" s="9" t="str">
        <f>VLOOKUP(L71,Lists!$D$2:$E$19,2,0)</f>
        <v>Administation</v>
      </c>
      <c r="V71" s="8">
        <f>VLOOKUP(T71,Lists!$G$2:$J$114,4,0)/2*52/12</f>
        <v>4589</v>
      </c>
    </row>
    <row r="72" spans="1:22" x14ac:dyDescent="0.2">
      <c r="A72" s="2" t="s">
        <v>15</v>
      </c>
      <c r="B72" s="2" t="s">
        <v>209</v>
      </c>
      <c r="C72" s="2" t="s">
        <v>305</v>
      </c>
      <c r="D72" s="3">
        <v>22967</v>
      </c>
      <c r="E72" s="4">
        <v>51</v>
      </c>
      <c r="F72" s="3">
        <v>43794</v>
      </c>
      <c r="G72" s="3">
        <v>41592</v>
      </c>
      <c r="H72" s="30" t="str">
        <f>VLOOKUP((F72-G72)/365,Lists!$L$2:$M$6,2,1)</f>
        <v>5-7</v>
      </c>
      <c r="I72" s="2" t="s">
        <v>19</v>
      </c>
      <c r="J72" s="60">
        <f>Data!K72+2000</f>
        <v>45604</v>
      </c>
      <c r="K72" s="3">
        <v>43604</v>
      </c>
      <c r="L72" s="2" t="s">
        <v>16</v>
      </c>
      <c r="M72" s="2" t="s">
        <v>31</v>
      </c>
      <c r="N72" s="2"/>
      <c r="O72" s="3">
        <v>43796</v>
      </c>
      <c r="P72" s="5">
        <f t="shared" si="2"/>
        <v>2019</v>
      </c>
      <c r="Q72" s="5">
        <v>11</v>
      </c>
      <c r="R72" s="5">
        <v>11</v>
      </c>
      <c r="S72" t="s">
        <v>126</v>
      </c>
      <c r="T72" s="6" t="str">
        <f t="shared" si="0"/>
        <v>CI13</v>
      </c>
      <c r="U72" s="9" t="str">
        <f>VLOOKUP(L72,Lists!$D$2:$E$19,2,0)</f>
        <v>Engineer</v>
      </c>
      <c r="V72" s="8">
        <f>VLOOKUP(T72,Lists!$G$2:$J$114,4,0)/2*52/12</f>
        <v>4140.5</v>
      </c>
    </row>
    <row r="73" spans="1:22" x14ac:dyDescent="0.2">
      <c r="A73" s="2" t="s">
        <v>78</v>
      </c>
      <c r="B73" s="2" t="s">
        <v>210</v>
      </c>
      <c r="C73" s="2" t="s">
        <v>306</v>
      </c>
      <c r="D73" s="3">
        <v>26268</v>
      </c>
      <c r="E73" s="4">
        <v>42</v>
      </c>
      <c r="F73" s="3">
        <v>43795</v>
      </c>
      <c r="G73" s="3">
        <v>42284</v>
      </c>
      <c r="H73" s="30" t="str">
        <f>VLOOKUP((F73-G73)/365,Lists!$L$2:$M$6,2,1)</f>
        <v>2-5</v>
      </c>
      <c r="I73" s="2" t="s">
        <v>19</v>
      </c>
      <c r="J73" s="60">
        <f>Data!K73+2000</f>
        <v>45605</v>
      </c>
      <c r="K73" s="3">
        <v>43605</v>
      </c>
      <c r="L73" s="2" t="s">
        <v>16</v>
      </c>
      <c r="M73" s="2" t="s">
        <v>59</v>
      </c>
      <c r="N73" s="2"/>
      <c r="O73" s="3">
        <v>43796</v>
      </c>
      <c r="P73" s="5">
        <f t="shared" si="2"/>
        <v>2019</v>
      </c>
      <c r="Q73" s="5">
        <v>11</v>
      </c>
      <c r="R73" s="5">
        <v>11</v>
      </c>
      <c r="S73" t="s">
        <v>125</v>
      </c>
      <c r="T73" s="6" t="str">
        <f t="shared" si="0"/>
        <v>CI15</v>
      </c>
      <c r="U73" s="9" t="str">
        <f>VLOOKUP(L73,Lists!$D$2:$E$19,2,0)</f>
        <v>Engineer</v>
      </c>
      <c r="V73" s="8">
        <f>VLOOKUP(T73,Lists!$G$2:$J$114,4,0)/2*52/12</f>
        <v>4519.666666666667</v>
      </c>
    </row>
    <row r="74" spans="1:22" x14ac:dyDescent="0.2">
      <c r="A74" s="2" t="s">
        <v>18</v>
      </c>
      <c r="B74" s="2" t="s">
        <v>211</v>
      </c>
      <c r="C74" s="2" t="s">
        <v>307</v>
      </c>
      <c r="D74" s="3">
        <v>19379</v>
      </c>
      <c r="E74" s="4">
        <v>60</v>
      </c>
      <c r="F74" s="3">
        <v>43798</v>
      </c>
      <c r="G74" s="3">
        <v>30940</v>
      </c>
      <c r="H74" s="30" t="str">
        <f>VLOOKUP((F74-G74)/365,Lists!$L$2:$M$6,2,1)</f>
        <v>10+</v>
      </c>
      <c r="I74" s="2" t="s">
        <v>19</v>
      </c>
      <c r="J74" s="60">
        <f>Data!K74+2000</f>
        <v>45608</v>
      </c>
      <c r="K74" s="3">
        <v>43608</v>
      </c>
      <c r="L74" s="2" t="s">
        <v>27</v>
      </c>
      <c r="M74" s="2"/>
      <c r="N74" s="2"/>
      <c r="O74" s="3">
        <v>43798</v>
      </c>
      <c r="P74" s="5">
        <f t="shared" si="2"/>
        <v>2019</v>
      </c>
      <c r="Q74" s="5">
        <v>11</v>
      </c>
      <c r="R74" s="5">
        <v>11</v>
      </c>
      <c r="S74" t="s">
        <v>126</v>
      </c>
      <c r="T74" s="6" t="str">
        <f t="shared" si="0"/>
        <v>CONT</v>
      </c>
      <c r="U74" s="9" t="str">
        <f>VLOOKUP(L74,Lists!$D$2:$E$19,2,0)</f>
        <v>Contract Mger</v>
      </c>
      <c r="V74" s="8">
        <f>VLOOKUP(T74,Lists!$G$2:$J$114,4,0)/2*52/12</f>
        <v>13000</v>
      </c>
    </row>
    <row r="75" spans="1:22" x14ac:dyDescent="0.2">
      <c r="A75" s="2" t="s">
        <v>34</v>
      </c>
      <c r="B75" s="2" t="s">
        <v>212</v>
      </c>
      <c r="C75" s="2" t="s">
        <v>308</v>
      </c>
      <c r="D75" s="3">
        <v>21812</v>
      </c>
      <c r="E75" s="4">
        <v>54</v>
      </c>
      <c r="F75" s="3">
        <v>43798</v>
      </c>
      <c r="G75" s="3">
        <v>34615</v>
      </c>
      <c r="H75" s="30" t="str">
        <f>VLOOKUP((F75-G75)/365,Lists!$L$2:$M$6,2,1)</f>
        <v>10+</v>
      </c>
      <c r="I75" s="2" t="s">
        <v>38</v>
      </c>
      <c r="J75" s="60">
        <f>Data!K75+2000</f>
        <v>45608</v>
      </c>
      <c r="K75" s="3">
        <v>43608</v>
      </c>
      <c r="L75" s="2" t="s">
        <v>20</v>
      </c>
      <c r="M75" s="2" t="s">
        <v>21</v>
      </c>
      <c r="N75" s="2"/>
      <c r="O75" s="3">
        <v>43802</v>
      </c>
      <c r="P75" s="5">
        <f t="shared" si="2"/>
        <v>2019</v>
      </c>
      <c r="Q75" s="5">
        <v>11</v>
      </c>
      <c r="R75" s="5">
        <v>12</v>
      </c>
      <c r="S75" t="s">
        <v>125</v>
      </c>
      <c r="T75" s="6" t="str">
        <f t="shared" si="0"/>
        <v>ET21</v>
      </c>
      <c r="U75" s="9" t="str">
        <f>VLOOKUP(L75,Lists!$D$2:$E$19,2,0)</f>
        <v>Administation</v>
      </c>
      <c r="V75" s="8">
        <f>VLOOKUP(T75,Lists!$G$2:$J$114,4,0)/2*52/12</f>
        <v>4589</v>
      </c>
    </row>
    <row r="76" spans="1:22" x14ac:dyDescent="0.2">
      <c r="A76" s="2" t="s">
        <v>15</v>
      </c>
      <c r="B76" s="2" t="s">
        <v>213</v>
      </c>
      <c r="C76" s="2" t="s">
        <v>309</v>
      </c>
      <c r="D76" s="3">
        <v>18833</v>
      </c>
      <c r="E76" s="4">
        <v>62</v>
      </c>
      <c r="F76" s="3">
        <v>43798</v>
      </c>
      <c r="G76" s="3">
        <v>43387</v>
      </c>
      <c r="H76" s="30" t="str">
        <f>VLOOKUP((F76-G76)/365,Lists!$L$2:$M$6,2,1)</f>
        <v>0-2</v>
      </c>
      <c r="I76" s="2" t="s">
        <v>372</v>
      </c>
      <c r="J76" s="60">
        <f>Data!K76+2000</f>
        <v>45608</v>
      </c>
      <c r="K76" s="3">
        <v>43608</v>
      </c>
      <c r="L76" s="2" t="s">
        <v>16</v>
      </c>
      <c r="M76" s="2" t="s">
        <v>59</v>
      </c>
      <c r="N76" s="2"/>
      <c r="O76" s="3">
        <v>43802</v>
      </c>
      <c r="P76" s="5">
        <f t="shared" si="2"/>
        <v>2019</v>
      </c>
      <c r="Q76" s="5">
        <v>11</v>
      </c>
      <c r="R76" s="5">
        <v>12</v>
      </c>
      <c r="S76" t="s">
        <v>126</v>
      </c>
      <c r="T76" s="6" t="str">
        <f t="shared" si="0"/>
        <v>CI15</v>
      </c>
      <c r="U76" s="9" t="str">
        <f>VLOOKUP(L76,Lists!$D$2:$E$19,2,0)</f>
        <v>Engineer</v>
      </c>
      <c r="V76" s="8">
        <f>VLOOKUP(T76,Lists!$G$2:$J$114,4,0)/2*52/12</f>
        <v>4519.666666666667</v>
      </c>
    </row>
    <row r="77" spans="1:22" x14ac:dyDescent="0.2">
      <c r="A77" s="2" t="s">
        <v>79</v>
      </c>
      <c r="B77" s="2" t="s">
        <v>214</v>
      </c>
      <c r="C77" s="2" t="s">
        <v>310</v>
      </c>
      <c r="D77" s="3">
        <v>26313</v>
      </c>
      <c r="E77" s="4">
        <v>41</v>
      </c>
      <c r="F77" s="3">
        <v>43798</v>
      </c>
      <c r="G77" s="3">
        <v>35991</v>
      </c>
      <c r="H77" s="30" t="str">
        <f>VLOOKUP((F77-G77)/365,Lists!$L$2:$M$6,2,1)</f>
        <v>10+</v>
      </c>
      <c r="I77" s="2" t="s">
        <v>372</v>
      </c>
      <c r="J77" s="60">
        <f>Data!K77+2000</f>
        <v>45608</v>
      </c>
      <c r="K77" s="3">
        <v>43608</v>
      </c>
      <c r="L77" s="2" t="s">
        <v>47</v>
      </c>
      <c r="M77" s="2" t="s">
        <v>31</v>
      </c>
      <c r="N77" s="2"/>
      <c r="O77" s="3">
        <v>43802</v>
      </c>
      <c r="P77" s="5">
        <f t="shared" si="2"/>
        <v>2019</v>
      </c>
      <c r="Q77" s="5">
        <v>11</v>
      </c>
      <c r="R77" s="5">
        <v>12</v>
      </c>
      <c r="S77" t="s">
        <v>125</v>
      </c>
      <c r="T77" s="6" t="str">
        <f t="shared" si="0"/>
        <v>PT33</v>
      </c>
      <c r="U77" s="9" t="str">
        <f>VLOOKUP(L77,Lists!$D$2:$E$19,2,0)</f>
        <v>Accountant</v>
      </c>
      <c r="V77" s="8">
        <f>VLOOKUP(T77,Lists!$G$2:$J$114,4,0)/2*52/12</f>
        <v>7113.166666666667</v>
      </c>
    </row>
    <row r="78" spans="1:22" x14ac:dyDescent="0.2">
      <c r="A78" s="2" t="s">
        <v>80</v>
      </c>
      <c r="B78" s="2" t="s">
        <v>215</v>
      </c>
      <c r="C78" s="2" t="s">
        <v>311</v>
      </c>
      <c r="D78" s="3">
        <v>20577</v>
      </c>
      <c r="E78" s="4">
        <v>57</v>
      </c>
      <c r="F78" s="3">
        <v>43798</v>
      </c>
      <c r="G78" s="3">
        <v>43387</v>
      </c>
      <c r="H78" s="30" t="str">
        <f>VLOOKUP((F78-G78)/365,Lists!$L$2:$M$6,2,1)</f>
        <v>0-2</v>
      </c>
      <c r="I78" s="2" t="s">
        <v>38</v>
      </c>
      <c r="J78" s="60">
        <f>Data!K78+2000</f>
        <v>45608</v>
      </c>
      <c r="K78" s="3">
        <v>43608</v>
      </c>
      <c r="L78" s="2" t="s">
        <v>73</v>
      </c>
      <c r="M78" s="2" t="s">
        <v>31</v>
      </c>
      <c r="N78" s="2"/>
      <c r="O78" s="3">
        <v>43802</v>
      </c>
      <c r="P78" s="5">
        <f t="shared" si="2"/>
        <v>2019</v>
      </c>
      <c r="Q78" s="5">
        <v>11</v>
      </c>
      <c r="R78" s="5">
        <v>12</v>
      </c>
      <c r="S78" t="s">
        <v>125</v>
      </c>
      <c r="T78" s="6" t="str">
        <f t="shared" si="0"/>
        <v>AS43</v>
      </c>
      <c r="U78" s="9" t="str">
        <f>VLOOKUP(L78,Lists!$D$2:$E$19,2,0)</f>
        <v>Administation</v>
      </c>
      <c r="V78" s="10">
        <f>VLOOKUP(T78,Lists!$G$2:$J$114,4,0)/2*52/12</f>
        <v>6125.166666666667</v>
      </c>
    </row>
    <row r="79" spans="1:22" x14ac:dyDescent="0.2">
      <c r="A79" s="2" t="s">
        <v>15</v>
      </c>
      <c r="B79" s="2" t="s">
        <v>216</v>
      </c>
      <c r="C79" s="2" t="s">
        <v>312</v>
      </c>
      <c r="D79" s="3">
        <v>18695</v>
      </c>
      <c r="E79" s="4">
        <v>62</v>
      </c>
      <c r="F79" s="3">
        <v>43798</v>
      </c>
      <c r="G79" s="3">
        <v>29264</v>
      </c>
      <c r="H79" s="30" t="str">
        <f>VLOOKUP((F79-G79)/365,Lists!$L$2:$M$6,2,1)</f>
        <v>10+</v>
      </c>
      <c r="I79" s="2" t="s">
        <v>372</v>
      </c>
      <c r="J79" s="60">
        <f>Data!K79+2000</f>
        <v>45608</v>
      </c>
      <c r="K79" s="3">
        <v>43608</v>
      </c>
      <c r="L79" s="2" t="s">
        <v>23</v>
      </c>
      <c r="M79" s="2" t="s">
        <v>17</v>
      </c>
      <c r="N79" s="2"/>
      <c r="O79" s="3">
        <v>43802</v>
      </c>
      <c r="P79" s="5">
        <f t="shared" si="2"/>
        <v>2019</v>
      </c>
      <c r="Q79" s="5">
        <v>11</v>
      </c>
      <c r="R79" s="5">
        <v>12</v>
      </c>
      <c r="S79" t="s">
        <v>126</v>
      </c>
      <c r="T79" s="6" t="str">
        <f t="shared" ref="T79:T86" si="3">L79&amp;M79</f>
        <v>CI22</v>
      </c>
      <c r="U79" s="9" t="str">
        <f>VLOOKUP(L79,Lists!$D$2:$E$19,2,0)</f>
        <v>Engineer</v>
      </c>
      <c r="V79" s="8">
        <f>VLOOKUP(T79,Lists!$G$2:$J$114,4,0)/2*52/12</f>
        <v>4827.333333333333</v>
      </c>
    </row>
    <row r="80" spans="1:22" x14ac:dyDescent="0.2">
      <c r="A80" s="2" t="s">
        <v>33</v>
      </c>
      <c r="B80" s="2" t="s">
        <v>217</v>
      </c>
      <c r="C80" s="2" t="s">
        <v>313</v>
      </c>
      <c r="D80" s="3">
        <v>21205</v>
      </c>
      <c r="E80" s="4">
        <v>55</v>
      </c>
      <c r="F80" s="3">
        <v>43798</v>
      </c>
      <c r="G80" s="3">
        <v>38250</v>
      </c>
      <c r="H80" s="30" t="str">
        <f>VLOOKUP((F80-G80)/365,Lists!$L$2:$M$6,2,1)</f>
        <v>10+</v>
      </c>
      <c r="I80" s="2" t="s">
        <v>372</v>
      </c>
      <c r="J80" s="60">
        <f>Data!K80+2000</f>
        <v>45608</v>
      </c>
      <c r="K80" s="3">
        <v>43608</v>
      </c>
      <c r="L80" s="2" t="s">
        <v>331</v>
      </c>
      <c r="M80" s="2" t="s">
        <v>31</v>
      </c>
      <c r="N80" s="2"/>
      <c r="O80" s="3">
        <v>43802</v>
      </c>
      <c r="P80" s="5">
        <f t="shared" si="2"/>
        <v>2019</v>
      </c>
      <c r="Q80" s="5">
        <v>11</v>
      </c>
      <c r="R80" s="5">
        <v>12</v>
      </c>
      <c r="S80" t="s">
        <v>125</v>
      </c>
      <c r="T80" s="6" t="s">
        <v>333</v>
      </c>
      <c r="U80" s="9" t="str">
        <f>VLOOKUP(L80,Lists!$D$2:$E$19,2,0)</f>
        <v>Legal</v>
      </c>
      <c r="V80" s="8">
        <f>VLOOKUP(T80,Lists!$G$2:$J$114,4,0)/2*52/12</f>
        <v>9856.1666666666661</v>
      </c>
    </row>
    <row r="81" spans="1:22" x14ac:dyDescent="0.2">
      <c r="A81" s="2" t="s">
        <v>33</v>
      </c>
      <c r="B81" s="2" t="s">
        <v>218</v>
      </c>
      <c r="C81" s="2" t="s">
        <v>314</v>
      </c>
      <c r="D81" s="3">
        <v>20005</v>
      </c>
      <c r="E81" s="4">
        <v>59</v>
      </c>
      <c r="F81" s="3">
        <v>43798</v>
      </c>
      <c r="G81" s="3">
        <v>29709</v>
      </c>
      <c r="H81" s="30" t="str">
        <f>VLOOKUP((F81-G81)/365,Lists!$L$2:$M$6,2,1)</f>
        <v>10+</v>
      </c>
      <c r="I81" s="2" t="s">
        <v>372</v>
      </c>
      <c r="J81" s="60">
        <f>Data!K81+2000</f>
        <v>45608</v>
      </c>
      <c r="K81" s="3">
        <v>43608</v>
      </c>
      <c r="L81" s="2" t="s">
        <v>331</v>
      </c>
      <c r="M81" s="2" t="s">
        <v>31</v>
      </c>
      <c r="N81" s="2"/>
      <c r="O81" s="3">
        <v>43802</v>
      </c>
      <c r="P81" s="5">
        <f t="shared" si="2"/>
        <v>2019</v>
      </c>
      <c r="Q81" s="5">
        <v>11</v>
      </c>
      <c r="R81" s="5">
        <v>12</v>
      </c>
      <c r="S81" t="s">
        <v>125</v>
      </c>
      <c r="T81" s="6" t="s">
        <v>333</v>
      </c>
      <c r="U81" s="9" t="str">
        <f>VLOOKUP(L81,Lists!$D$2:$E$19,2,0)</f>
        <v>Legal</v>
      </c>
      <c r="V81" s="8">
        <f>VLOOKUP(T81,Lists!$G$2:$J$114,4,0)/2*52/12</f>
        <v>9856.1666666666661</v>
      </c>
    </row>
    <row r="82" spans="1:22" x14ac:dyDescent="0.2">
      <c r="A82" s="2" t="s">
        <v>69</v>
      </c>
      <c r="B82" s="2" t="s">
        <v>219</v>
      </c>
      <c r="C82" s="2" t="s">
        <v>315</v>
      </c>
      <c r="D82" s="3">
        <v>25515</v>
      </c>
      <c r="E82" s="4">
        <v>44</v>
      </c>
      <c r="F82" s="3">
        <v>43798</v>
      </c>
      <c r="G82" s="3">
        <v>37299</v>
      </c>
      <c r="H82" s="30" t="str">
        <f>VLOOKUP((F82-G82)/365,Lists!$L$2:$M$6,2,1)</f>
        <v>10+</v>
      </c>
      <c r="I82" s="2" t="s">
        <v>38</v>
      </c>
      <c r="J82" s="60">
        <f>Data!K82+2000</f>
        <v>45608</v>
      </c>
      <c r="K82" s="3">
        <v>43608</v>
      </c>
      <c r="L82" s="2" t="s">
        <v>20</v>
      </c>
      <c r="M82" s="2" t="s">
        <v>21</v>
      </c>
      <c r="N82" s="2"/>
      <c r="O82" s="3">
        <v>43802</v>
      </c>
      <c r="P82" s="5">
        <f t="shared" si="2"/>
        <v>2019</v>
      </c>
      <c r="Q82" s="5">
        <v>11</v>
      </c>
      <c r="R82" s="5">
        <v>12</v>
      </c>
      <c r="S82" t="s">
        <v>125</v>
      </c>
      <c r="T82" s="6" t="str">
        <f t="shared" si="3"/>
        <v>ET21</v>
      </c>
      <c r="U82" s="9" t="str">
        <f>VLOOKUP(L82,Lists!$D$2:$E$19,2,0)</f>
        <v>Administation</v>
      </c>
      <c r="V82" s="8">
        <f>VLOOKUP(T82,Lists!$G$2:$J$114,4,0)/2*52/12</f>
        <v>4589</v>
      </c>
    </row>
    <row r="83" spans="1:22" x14ac:dyDescent="0.2">
      <c r="A83" s="2" t="s">
        <v>70</v>
      </c>
      <c r="B83" s="2" t="s">
        <v>220</v>
      </c>
      <c r="C83" s="2" t="s">
        <v>316</v>
      </c>
      <c r="D83" s="3">
        <v>28021</v>
      </c>
      <c r="E83" s="4">
        <v>37</v>
      </c>
      <c r="F83" s="3">
        <v>43798</v>
      </c>
      <c r="G83" s="3">
        <v>37100</v>
      </c>
      <c r="H83" s="30" t="str">
        <f>VLOOKUP((F83-G83)/365,Lists!$L$2:$M$6,2,1)</f>
        <v>10+</v>
      </c>
      <c r="I83" s="2" t="s">
        <v>372</v>
      </c>
      <c r="J83" s="60">
        <f>Data!K83+2000</f>
        <v>45608</v>
      </c>
      <c r="K83" s="3">
        <v>43608</v>
      </c>
      <c r="L83" s="2" t="s">
        <v>61</v>
      </c>
      <c r="M83" s="2" t="s">
        <v>31</v>
      </c>
      <c r="N83" s="2"/>
      <c r="O83" s="3">
        <v>43802</v>
      </c>
      <c r="P83" s="5">
        <f t="shared" si="2"/>
        <v>2019</v>
      </c>
      <c r="Q83" s="5">
        <v>11</v>
      </c>
      <c r="R83" s="5">
        <v>12</v>
      </c>
      <c r="S83" t="s">
        <v>125</v>
      </c>
      <c r="T83" s="6" t="str">
        <f t="shared" si="3"/>
        <v>ET53</v>
      </c>
      <c r="U83" s="9" t="str">
        <f>VLOOKUP(L83,Lists!$D$2:$E$19,2,0)</f>
        <v>Administation</v>
      </c>
      <c r="V83" s="8">
        <f>VLOOKUP(T83,Lists!$G$2:$J$114,4,0)/2*52/12</f>
        <v>7717.666666666667</v>
      </c>
    </row>
    <row r="84" spans="1:22" x14ac:dyDescent="0.2">
      <c r="A84" s="2" t="s">
        <v>26</v>
      </c>
      <c r="B84" s="2" t="s">
        <v>221</v>
      </c>
      <c r="C84" s="2" t="s">
        <v>317</v>
      </c>
      <c r="D84" s="3">
        <v>19342</v>
      </c>
      <c r="E84" s="4">
        <v>60</v>
      </c>
      <c r="F84" s="3">
        <v>43798</v>
      </c>
      <c r="G84" s="3">
        <v>29314</v>
      </c>
      <c r="H84" s="30" t="str">
        <f>VLOOKUP((F84-G84)/365,Lists!$L$2:$M$6,2,1)</f>
        <v>10+</v>
      </c>
      <c r="I84" s="2" t="s">
        <v>372</v>
      </c>
      <c r="J84" s="60">
        <f>Data!K84+2000</f>
        <v>45608</v>
      </c>
      <c r="K84" s="3">
        <v>43608</v>
      </c>
      <c r="L84" s="2" t="s">
        <v>36</v>
      </c>
      <c r="M84" s="2" t="s">
        <v>31</v>
      </c>
      <c r="N84" s="2"/>
      <c r="O84" s="3">
        <v>43802</v>
      </c>
      <c r="P84" s="5">
        <f t="shared" si="2"/>
        <v>2019</v>
      </c>
      <c r="Q84" s="5">
        <v>11</v>
      </c>
      <c r="R84" s="5">
        <v>12</v>
      </c>
      <c r="S84" t="s">
        <v>125</v>
      </c>
      <c r="T84" s="6" t="str">
        <f t="shared" si="3"/>
        <v>CI43</v>
      </c>
      <c r="U84" s="9" t="str">
        <f>VLOOKUP(L84,Lists!$D$2:$E$19,2,0)</f>
        <v>Engineer</v>
      </c>
      <c r="V84" s="8">
        <f>VLOOKUP(T84,Lists!$G$2:$J$114,4,0)/2*52/12</f>
        <v>7299.5</v>
      </c>
    </row>
    <row r="85" spans="1:22" x14ac:dyDescent="0.2">
      <c r="A85" s="2" t="s">
        <v>81</v>
      </c>
      <c r="B85" s="2" t="s">
        <v>222</v>
      </c>
      <c r="C85" s="2" t="s">
        <v>318</v>
      </c>
      <c r="D85" s="3">
        <v>20443</v>
      </c>
      <c r="E85" s="4">
        <v>57</v>
      </c>
      <c r="F85" s="3">
        <v>43798</v>
      </c>
      <c r="G85" s="3">
        <v>38214</v>
      </c>
      <c r="H85" s="30" t="str">
        <f>VLOOKUP((F85-G85)/365,Lists!$L$2:$M$6,2,1)</f>
        <v>10+</v>
      </c>
      <c r="I85" s="2" t="s">
        <v>372</v>
      </c>
      <c r="J85" s="60">
        <f>Data!K85+2000</f>
        <v>45608</v>
      </c>
      <c r="K85" s="3">
        <v>43608</v>
      </c>
      <c r="L85" s="2" t="s">
        <v>73</v>
      </c>
      <c r="M85" s="2" t="s">
        <v>24</v>
      </c>
      <c r="N85" s="2"/>
      <c r="O85" s="3">
        <v>43802</v>
      </c>
      <c r="P85" s="5">
        <f t="shared" si="2"/>
        <v>2019</v>
      </c>
      <c r="Q85" s="5">
        <v>11</v>
      </c>
      <c r="R85" s="5">
        <v>12</v>
      </c>
      <c r="S85" t="s">
        <v>125</v>
      </c>
      <c r="T85" s="6" t="str">
        <f t="shared" si="3"/>
        <v>AS44</v>
      </c>
      <c r="U85" s="9" t="str">
        <f>VLOOKUP(L85,Lists!$D$2:$E$19,2,0)</f>
        <v>Administation</v>
      </c>
      <c r="V85" s="8">
        <f>VLOOKUP(T85,Lists!$G$2:$J$114,4,0)/2*52/12</f>
        <v>6318</v>
      </c>
    </row>
    <row r="86" spans="1:22" x14ac:dyDescent="0.2">
      <c r="A86" s="2" t="s">
        <v>80</v>
      </c>
      <c r="B86" s="2" t="s">
        <v>223</v>
      </c>
      <c r="C86" s="2" t="s">
        <v>319</v>
      </c>
      <c r="D86" s="3">
        <v>20224</v>
      </c>
      <c r="E86" s="4">
        <v>58</v>
      </c>
      <c r="F86" s="3">
        <v>43798</v>
      </c>
      <c r="G86" s="3">
        <v>30718</v>
      </c>
      <c r="H86" s="30" t="str">
        <f>VLOOKUP((F86-G86)/365,Lists!$L$2:$M$6,2,1)</f>
        <v>10+</v>
      </c>
      <c r="I86" s="2" t="s">
        <v>372</v>
      </c>
      <c r="J86" s="60">
        <f>Data!K86+2000</f>
        <v>45608</v>
      </c>
      <c r="K86" s="3">
        <v>43608</v>
      </c>
      <c r="L86" s="2" t="s">
        <v>47</v>
      </c>
      <c r="M86" s="2" t="s">
        <v>31</v>
      </c>
      <c r="N86" s="2"/>
      <c r="O86" s="3">
        <v>43802</v>
      </c>
      <c r="P86" s="5">
        <f t="shared" si="2"/>
        <v>2019</v>
      </c>
      <c r="Q86" s="5">
        <v>11</v>
      </c>
      <c r="R86" s="5">
        <v>12</v>
      </c>
      <c r="S86" t="s">
        <v>125</v>
      </c>
      <c r="T86" s="6" t="str">
        <f t="shared" si="3"/>
        <v>PT33</v>
      </c>
      <c r="U86" s="9" t="str">
        <f>VLOOKUP(L86,Lists!$D$2:$E$19,2,0)</f>
        <v>Accountant</v>
      </c>
      <c r="V86" s="8">
        <f>VLOOKUP(T86,Lists!$G$2:$J$114,4,0)/2*52/12</f>
        <v>7113.166666666667</v>
      </c>
    </row>
    <row r="87" spans="1:22" x14ac:dyDescent="0.2">
      <c r="A87" t="s">
        <v>41</v>
      </c>
      <c r="B87" s="2" t="s">
        <v>224</v>
      </c>
      <c r="C87" s="2" t="s">
        <v>320</v>
      </c>
      <c r="D87">
        <v>18637</v>
      </c>
      <c r="E87">
        <v>62</v>
      </c>
      <c r="F87" s="3">
        <v>43791</v>
      </c>
      <c r="G87" s="3">
        <v>30968</v>
      </c>
      <c r="H87" s="30" t="str">
        <f>VLOOKUP((F87-G87)/365,Lists!$L$2:$M$6,2,1)</f>
        <v>10+</v>
      </c>
      <c r="I87" t="s">
        <v>372</v>
      </c>
      <c r="J87" s="60">
        <f>Data!K87+2000</f>
        <v>45601</v>
      </c>
      <c r="K87">
        <v>43601</v>
      </c>
      <c r="L87" t="s">
        <v>76</v>
      </c>
      <c r="M87" t="s">
        <v>31</v>
      </c>
      <c r="O87">
        <v>41603</v>
      </c>
      <c r="P87" s="5">
        <f t="shared" si="2"/>
        <v>2013</v>
      </c>
      <c r="Q87">
        <v>11</v>
      </c>
      <c r="R87">
        <v>11</v>
      </c>
      <c r="S87" t="s">
        <v>138</v>
      </c>
      <c r="T87" t="s">
        <v>133</v>
      </c>
      <c r="U87" t="s">
        <v>108</v>
      </c>
      <c r="V87" s="7">
        <v>6827.166666666667</v>
      </c>
    </row>
    <row r="88" spans="1:22" x14ac:dyDescent="0.2">
      <c r="A88" t="s">
        <v>74</v>
      </c>
      <c r="B88" s="2" t="s">
        <v>225</v>
      </c>
      <c r="C88" s="2" t="s">
        <v>321</v>
      </c>
      <c r="D88">
        <v>22963</v>
      </c>
      <c r="E88">
        <v>51</v>
      </c>
      <c r="F88" s="3">
        <v>43791</v>
      </c>
      <c r="G88" s="3">
        <v>33999</v>
      </c>
      <c r="H88" s="30" t="str">
        <f>VLOOKUP((F88-G88)/365,Lists!$L$2:$M$6,2,1)</f>
        <v>10+</v>
      </c>
      <c r="I88" t="s">
        <v>372</v>
      </c>
      <c r="J88" s="60">
        <f>Data!K88+2000</f>
        <v>45601</v>
      </c>
      <c r="K88">
        <v>43601</v>
      </c>
      <c r="L88" s="2" t="s">
        <v>331</v>
      </c>
      <c r="M88" t="s">
        <v>24</v>
      </c>
      <c r="O88">
        <v>41604</v>
      </c>
      <c r="P88" s="5">
        <f t="shared" si="2"/>
        <v>2013</v>
      </c>
      <c r="Q88">
        <v>11</v>
      </c>
      <c r="R88">
        <v>11</v>
      </c>
      <c r="S88" t="s">
        <v>138</v>
      </c>
      <c r="T88" s="6" t="s">
        <v>334</v>
      </c>
      <c r="U88" s="9" t="str">
        <f>VLOOKUP(L88,Lists!$D$2:$E$19,2,0)</f>
        <v>Legal</v>
      </c>
      <c r="V88" s="7">
        <v>5256.333333333333</v>
      </c>
    </row>
    <row r="89" spans="1:22" x14ac:dyDescent="0.2">
      <c r="A89" t="s">
        <v>77</v>
      </c>
      <c r="B89" s="2" t="s">
        <v>226</v>
      </c>
      <c r="C89" s="2" t="s">
        <v>322</v>
      </c>
      <c r="D89">
        <v>24364</v>
      </c>
      <c r="E89">
        <v>47</v>
      </c>
      <c r="F89" s="3">
        <v>43791</v>
      </c>
      <c r="G89" s="3">
        <v>42044</v>
      </c>
      <c r="H89" s="30" t="str">
        <f>VLOOKUP((F89-G89)/365,Lists!$L$2:$M$6,2,1)</f>
        <v>2-5</v>
      </c>
      <c r="I89" t="s">
        <v>372</v>
      </c>
      <c r="J89" s="60">
        <f>Data!K89+2000</f>
        <v>45601</v>
      </c>
      <c r="K89">
        <v>43601</v>
      </c>
      <c r="L89" t="s">
        <v>20</v>
      </c>
      <c r="M89" t="s">
        <v>21</v>
      </c>
      <c r="O89">
        <v>41605</v>
      </c>
      <c r="P89" s="5">
        <f t="shared" si="2"/>
        <v>2013</v>
      </c>
      <c r="Q89">
        <v>11</v>
      </c>
      <c r="R89">
        <v>11</v>
      </c>
      <c r="S89" t="s">
        <v>138</v>
      </c>
      <c r="T89" t="s">
        <v>128</v>
      </c>
      <c r="U89" t="s">
        <v>108</v>
      </c>
      <c r="V89" s="7">
        <v>4589</v>
      </c>
    </row>
    <row r="90" spans="1:22" x14ac:dyDescent="0.2">
      <c r="A90" t="s">
        <v>15</v>
      </c>
      <c r="B90" s="2" t="s">
        <v>227</v>
      </c>
      <c r="C90" s="2" t="s">
        <v>323</v>
      </c>
      <c r="D90">
        <v>22967</v>
      </c>
      <c r="E90">
        <v>51</v>
      </c>
      <c r="F90" s="3">
        <v>43794</v>
      </c>
      <c r="G90" s="3">
        <v>41592</v>
      </c>
      <c r="H90" s="30" t="str">
        <f>VLOOKUP((F90-G90)/365,Lists!$L$2:$M$6,2,1)</f>
        <v>5-7</v>
      </c>
      <c r="I90" t="s">
        <v>19</v>
      </c>
      <c r="J90" s="60">
        <f>Data!K90+2000</f>
        <v>45604</v>
      </c>
      <c r="K90">
        <v>43604</v>
      </c>
      <c r="L90" t="s">
        <v>16</v>
      </c>
      <c r="M90" t="s">
        <v>31</v>
      </c>
      <c r="O90">
        <v>41605</v>
      </c>
      <c r="P90" s="5">
        <f t="shared" si="2"/>
        <v>2013</v>
      </c>
      <c r="Q90">
        <v>11</v>
      </c>
      <c r="R90">
        <v>11</v>
      </c>
      <c r="S90" t="s">
        <v>138</v>
      </c>
      <c r="T90" t="s">
        <v>129</v>
      </c>
      <c r="U90" t="s">
        <v>110</v>
      </c>
      <c r="V90" s="7">
        <v>4140.5</v>
      </c>
    </row>
    <row r="91" spans="1:22" x14ac:dyDescent="0.2">
      <c r="A91" t="s">
        <v>78</v>
      </c>
      <c r="B91" s="2" t="s">
        <v>228</v>
      </c>
      <c r="C91" s="2" t="s">
        <v>324</v>
      </c>
      <c r="D91">
        <v>26268</v>
      </c>
      <c r="E91">
        <v>42</v>
      </c>
      <c r="F91" s="3">
        <v>43795</v>
      </c>
      <c r="G91" s="3">
        <v>42284</v>
      </c>
      <c r="H91" s="30" t="str">
        <f>VLOOKUP((F91-G91)/365,Lists!$L$2:$M$6,2,1)</f>
        <v>2-5</v>
      </c>
      <c r="I91" t="s">
        <v>19</v>
      </c>
      <c r="J91" s="60">
        <f>Data!K91+2000</f>
        <v>45605</v>
      </c>
      <c r="K91">
        <v>43605</v>
      </c>
      <c r="L91" t="s">
        <v>16</v>
      </c>
      <c r="M91" t="s">
        <v>59</v>
      </c>
      <c r="O91">
        <v>41605</v>
      </c>
      <c r="P91" s="5">
        <f t="shared" si="2"/>
        <v>2013</v>
      </c>
      <c r="Q91">
        <v>11</v>
      </c>
      <c r="R91">
        <v>11</v>
      </c>
      <c r="S91" t="s">
        <v>138</v>
      </c>
      <c r="T91" t="s">
        <v>134</v>
      </c>
      <c r="U91" t="s">
        <v>110</v>
      </c>
      <c r="V91" s="7">
        <v>4519.666666666667</v>
      </c>
    </row>
    <row r="92" spans="1:22" x14ac:dyDescent="0.2">
      <c r="A92" t="s">
        <v>18</v>
      </c>
      <c r="B92" s="2" t="s">
        <v>229</v>
      </c>
      <c r="C92" s="2" t="s">
        <v>325</v>
      </c>
      <c r="D92">
        <v>19379</v>
      </c>
      <c r="E92">
        <v>60</v>
      </c>
      <c r="F92" s="3">
        <v>43798</v>
      </c>
      <c r="G92" s="3">
        <v>30940</v>
      </c>
      <c r="H92" s="30" t="str">
        <f>VLOOKUP((F92-G92)/365,Lists!$L$2:$M$6,2,1)</f>
        <v>10+</v>
      </c>
      <c r="I92" t="s">
        <v>372</v>
      </c>
      <c r="J92" s="60">
        <f>Data!K92+2000</f>
        <v>45608</v>
      </c>
      <c r="K92">
        <v>43608</v>
      </c>
      <c r="L92" t="s">
        <v>27</v>
      </c>
      <c r="O92">
        <v>41607</v>
      </c>
      <c r="P92" s="5">
        <f t="shared" si="2"/>
        <v>2013</v>
      </c>
      <c r="Q92">
        <v>11</v>
      </c>
      <c r="R92">
        <v>11</v>
      </c>
      <c r="S92" t="s">
        <v>138</v>
      </c>
      <c r="T92" t="s">
        <v>27</v>
      </c>
      <c r="U92" t="s">
        <v>105</v>
      </c>
      <c r="V92" s="7">
        <v>13000</v>
      </c>
    </row>
    <row r="93" spans="1:22" x14ac:dyDescent="0.2">
      <c r="A93" t="s">
        <v>34</v>
      </c>
      <c r="B93" s="2" t="s">
        <v>230</v>
      </c>
      <c r="C93" s="2" t="s">
        <v>326</v>
      </c>
      <c r="D93">
        <v>21812</v>
      </c>
      <c r="E93">
        <v>54</v>
      </c>
      <c r="F93" s="3">
        <v>43798</v>
      </c>
      <c r="G93" s="3">
        <v>34615</v>
      </c>
      <c r="H93" s="30" t="str">
        <f>VLOOKUP((F93-G93)/365,Lists!$L$2:$M$6,2,1)</f>
        <v>10+</v>
      </c>
      <c r="I93" t="s">
        <v>372</v>
      </c>
      <c r="J93" s="60">
        <f>Data!K93+2000</f>
        <v>45608</v>
      </c>
      <c r="K93">
        <v>43608</v>
      </c>
      <c r="L93" t="s">
        <v>20</v>
      </c>
      <c r="M93" t="s">
        <v>21</v>
      </c>
      <c r="O93">
        <v>41611</v>
      </c>
      <c r="P93" s="5">
        <f t="shared" si="2"/>
        <v>2013</v>
      </c>
      <c r="Q93">
        <v>11</v>
      </c>
      <c r="R93">
        <v>12</v>
      </c>
      <c r="S93" t="s">
        <v>138</v>
      </c>
      <c r="T93" t="s">
        <v>128</v>
      </c>
      <c r="U93" t="s">
        <v>108</v>
      </c>
      <c r="V93" s="7">
        <v>4589</v>
      </c>
    </row>
    <row r="94" spans="1:22" x14ac:dyDescent="0.2">
      <c r="A94" t="s">
        <v>15</v>
      </c>
      <c r="B94" s="2" t="s">
        <v>231</v>
      </c>
      <c r="C94" s="2" t="s">
        <v>327</v>
      </c>
      <c r="D94">
        <v>18833</v>
      </c>
      <c r="E94">
        <v>62</v>
      </c>
      <c r="F94" s="3">
        <v>43798</v>
      </c>
      <c r="G94" s="3">
        <v>31553</v>
      </c>
      <c r="H94" s="30" t="str">
        <f>VLOOKUP((F94-G94)/365,Lists!$L$2:$M$6,2,1)</f>
        <v>10+</v>
      </c>
      <c r="I94" t="s">
        <v>372</v>
      </c>
      <c r="J94" s="60">
        <f>Data!K94+2000</f>
        <v>45608</v>
      </c>
      <c r="K94">
        <v>43608</v>
      </c>
      <c r="L94" t="s">
        <v>16</v>
      </c>
      <c r="M94" t="s">
        <v>59</v>
      </c>
      <c r="O94">
        <v>41611</v>
      </c>
      <c r="P94" s="5">
        <f t="shared" si="2"/>
        <v>2013</v>
      </c>
      <c r="Q94">
        <v>11</v>
      </c>
      <c r="R94">
        <v>12</v>
      </c>
      <c r="S94" t="s">
        <v>138</v>
      </c>
      <c r="T94" t="s">
        <v>134</v>
      </c>
      <c r="U94" t="s">
        <v>110</v>
      </c>
      <c r="V94" s="7">
        <v>4519.666666666667</v>
      </c>
    </row>
    <row r="95" spans="1:22" x14ac:dyDescent="0.2">
      <c r="A95" t="s">
        <v>79</v>
      </c>
      <c r="B95" s="2" t="s">
        <v>232</v>
      </c>
      <c r="C95" s="2" t="s">
        <v>328</v>
      </c>
      <c r="D95">
        <v>26313</v>
      </c>
      <c r="E95">
        <v>41</v>
      </c>
      <c r="F95" s="3">
        <v>43798</v>
      </c>
      <c r="G95" s="3">
        <v>35991</v>
      </c>
      <c r="H95" s="30" t="str">
        <f>VLOOKUP((F95-G95)/365,Lists!$L$2:$M$6,2,1)</f>
        <v>10+</v>
      </c>
      <c r="I95" t="s">
        <v>372</v>
      </c>
      <c r="J95" s="60">
        <f>Data!K95+2000</f>
        <v>45608</v>
      </c>
      <c r="K95">
        <v>43608</v>
      </c>
      <c r="L95" t="s">
        <v>47</v>
      </c>
      <c r="M95" t="s">
        <v>31</v>
      </c>
      <c r="O95">
        <v>41611</v>
      </c>
      <c r="P95" s="5">
        <f t="shared" si="2"/>
        <v>2013</v>
      </c>
      <c r="Q95">
        <v>11</v>
      </c>
      <c r="R95">
        <v>12</v>
      </c>
      <c r="S95" t="s">
        <v>138</v>
      </c>
      <c r="T95" t="s">
        <v>130</v>
      </c>
      <c r="U95" t="s">
        <v>124</v>
      </c>
      <c r="V95" s="7">
        <v>7113.166666666667</v>
      </c>
    </row>
    <row r="96" spans="1:22" x14ac:dyDescent="0.2">
      <c r="A96" t="s">
        <v>80</v>
      </c>
      <c r="B96" s="2" t="s">
        <v>233</v>
      </c>
      <c r="C96" s="2" t="s">
        <v>329</v>
      </c>
      <c r="D96">
        <v>20577</v>
      </c>
      <c r="E96">
        <v>57</v>
      </c>
      <c r="F96" s="3">
        <v>43798</v>
      </c>
      <c r="G96" s="3">
        <v>32904</v>
      </c>
      <c r="H96" s="30" t="str">
        <f>VLOOKUP((F96-G96)/365,Lists!$L$2:$M$6,2,1)</f>
        <v>10+</v>
      </c>
      <c r="I96" t="s">
        <v>19</v>
      </c>
      <c r="J96" s="60">
        <f>Data!K96+2000</f>
        <v>45608</v>
      </c>
      <c r="K96">
        <v>43608</v>
      </c>
      <c r="L96" t="s">
        <v>73</v>
      </c>
      <c r="M96" t="s">
        <v>31</v>
      </c>
      <c r="O96">
        <v>41611</v>
      </c>
      <c r="P96" s="5">
        <f t="shared" si="2"/>
        <v>2013</v>
      </c>
      <c r="Q96">
        <v>11</v>
      </c>
      <c r="R96">
        <v>12</v>
      </c>
      <c r="S96" t="s">
        <v>138</v>
      </c>
      <c r="T96" t="s">
        <v>135</v>
      </c>
      <c r="U96" t="s">
        <v>108</v>
      </c>
      <c r="V96" s="7">
        <v>6125.166666666667</v>
      </c>
    </row>
    <row r="97" spans="1:23" x14ac:dyDescent="0.2">
      <c r="A97" t="s">
        <v>15</v>
      </c>
      <c r="B97" s="2" t="s">
        <v>234</v>
      </c>
      <c r="C97" s="2" t="s">
        <v>330</v>
      </c>
      <c r="D97">
        <v>18695</v>
      </c>
      <c r="E97">
        <v>62</v>
      </c>
      <c r="F97" s="3">
        <v>43798</v>
      </c>
      <c r="G97" s="3">
        <v>40385</v>
      </c>
      <c r="H97" s="30" t="str">
        <f>VLOOKUP((F97-G97)/365,Lists!$L$2:$M$6,2,1)</f>
        <v>7-10</v>
      </c>
      <c r="I97" t="s">
        <v>372</v>
      </c>
      <c r="J97" s="60">
        <f>Data!K97+2000</f>
        <v>45608</v>
      </c>
      <c r="K97">
        <v>43608</v>
      </c>
      <c r="L97" t="s">
        <v>23</v>
      </c>
      <c r="M97" t="s">
        <v>17</v>
      </c>
      <c r="O97">
        <v>41611</v>
      </c>
      <c r="P97" s="5">
        <f t="shared" si="2"/>
        <v>2013</v>
      </c>
      <c r="Q97">
        <v>11</v>
      </c>
      <c r="R97">
        <v>12</v>
      </c>
      <c r="S97" t="s">
        <v>138</v>
      </c>
      <c r="T97" t="s">
        <v>136</v>
      </c>
      <c r="U97" t="s">
        <v>110</v>
      </c>
      <c r="V97" s="7">
        <v>4827.333333333333</v>
      </c>
    </row>
    <row r="98" spans="1:23" x14ac:dyDescent="0.2">
      <c r="A98" t="s">
        <v>33</v>
      </c>
      <c r="B98" s="2" t="s">
        <v>348</v>
      </c>
      <c r="C98" s="2" t="s">
        <v>349</v>
      </c>
      <c r="D98">
        <v>21205</v>
      </c>
      <c r="E98">
        <v>55</v>
      </c>
      <c r="F98" s="3">
        <v>43798</v>
      </c>
      <c r="G98" s="3">
        <v>40386</v>
      </c>
      <c r="H98" s="30" t="str">
        <f>VLOOKUP((F98-G98)/365,Lists!$L$2:$M$6,2,1)</f>
        <v>7-10</v>
      </c>
      <c r="I98" t="s">
        <v>372</v>
      </c>
      <c r="J98" s="60">
        <f>Data!K98+2000</f>
        <v>45608</v>
      </c>
      <c r="K98">
        <v>43608</v>
      </c>
      <c r="L98" s="2" t="s">
        <v>331</v>
      </c>
      <c r="M98" t="s">
        <v>31</v>
      </c>
      <c r="O98">
        <v>41611</v>
      </c>
      <c r="P98" s="5">
        <f t="shared" si="2"/>
        <v>2013</v>
      </c>
      <c r="Q98">
        <v>11</v>
      </c>
      <c r="R98">
        <v>12</v>
      </c>
      <c r="S98" t="s">
        <v>138</v>
      </c>
      <c r="T98" s="6" t="s">
        <v>334</v>
      </c>
      <c r="U98" s="9" t="str">
        <f>VLOOKUP(L98,Lists!$D$2:$E$19,2,0)</f>
        <v>Legal</v>
      </c>
      <c r="V98" s="7">
        <v>5033.166666666667</v>
      </c>
    </row>
    <row r="99" spans="1:23" x14ac:dyDescent="0.2">
      <c r="A99" t="s">
        <v>33</v>
      </c>
      <c r="B99" s="2" t="s">
        <v>350</v>
      </c>
      <c r="C99" s="2" t="s">
        <v>351</v>
      </c>
      <c r="D99">
        <v>20005</v>
      </c>
      <c r="E99">
        <v>59</v>
      </c>
      <c r="F99" s="3">
        <v>43798</v>
      </c>
      <c r="G99" s="3">
        <v>40387</v>
      </c>
      <c r="H99" s="30" t="str">
        <f>VLOOKUP((F99-G99)/365,Lists!$L$2:$M$6,2,1)</f>
        <v>7-10</v>
      </c>
      <c r="I99" t="s">
        <v>372</v>
      </c>
      <c r="J99" s="60">
        <f>Data!K99+2000</f>
        <v>45608</v>
      </c>
      <c r="K99">
        <v>43608</v>
      </c>
      <c r="L99" s="2" t="s">
        <v>331</v>
      </c>
      <c r="M99" t="s">
        <v>31</v>
      </c>
      <c r="O99">
        <v>41611</v>
      </c>
      <c r="P99" s="5">
        <f t="shared" si="2"/>
        <v>2013</v>
      </c>
      <c r="Q99">
        <v>11</v>
      </c>
      <c r="R99">
        <v>12</v>
      </c>
      <c r="S99" t="s">
        <v>138</v>
      </c>
      <c r="T99" s="6" t="s">
        <v>334</v>
      </c>
      <c r="U99" s="9" t="str">
        <f>VLOOKUP(L99,Lists!$D$2:$E$19,2,0)</f>
        <v>Legal</v>
      </c>
      <c r="V99" s="7">
        <v>5033.166666666667</v>
      </c>
    </row>
    <row r="100" spans="1:23" x14ac:dyDescent="0.2">
      <c r="A100" t="s">
        <v>69</v>
      </c>
      <c r="B100" s="2" t="s">
        <v>352</v>
      </c>
      <c r="C100" s="2" t="s">
        <v>353</v>
      </c>
      <c r="D100">
        <v>25515</v>
      </c>
      <c r="E100">
        <v>44</v>
      </c>
      <c r="F100" s="3">
        <v>43798</v>
      </c>
      <c r="G100" s="3">
        <v>40388</v>
      </c>
      <c r="H100" s="30" t="str">
        <f>VLOOKUP((F100-G100)/365,Lists!$L$2:$M$6,2,1)</f>
        <v>7-10</v>
      </c>
      <c r="I100" t="s">
        <v>19</v>
      </c>
      <c r="J100" s="60">
        <f>Data!K100+2000</f>
        <v>45608</v>
      </c>
      <c r="K100">
        <v>43608</v>
      </c>
      <c r="L100" t="s">
        <v>20</v>
      </c>
      <c r="M100" t="s">
        <v>21</v>
      </c>
      <c r="O100">
        <v>41611</v>
      </c>
      <c r="P100" s="5">
        <f t="shared" si="2"/>
        <v>2013</v>
      </c>
      <c r="Q100">
        <v>11</v>
      </c>
      <c r="R100">
        <v>12</v>
      </c>
      <c r="S100" t="s">
        <v>138</v>
      </c>
      <c r="T100" t="s">
        <v>128</v>
      </c>
      <c r="U100" t="s">
        <v>108</v>
      </c>
      <c r="V100" s="7">
        <v>4589</v>
      </c>
    </row>
    <row r="101" spans="1:23" x14ac:dyDescent="0.2">
      <c r="A101" t="s">
        <v>70</v>
      </c>
      <c r="B101" s="2" t="s">
        <v>354</v>
      </c>
      <c r="C101" s="2" t="s">
        <v>355</v>
      </c>
      <c r="D101">
        <v>28021</v>
      </c>
      <c r="E101">
        <v>37</v>
      </c>
      <c r="F101" s="3">
        <v>43798</v>
      </c>
      <c r="G101" s="3">
        <v>37100</v>
      </c>
      <c r="H101" s="30" t="str">
        <f>VLOOKUP((F101-G101)/365,Lists!$L$2:$M$6,2,1)</f>
        <v>10+</v>
      </c>
      <c r="I101" t="s">
        <v>19</v>
      </c>
      <c r="J101" s="60">
        <f>Data!K101+2000</f>
        <v>45608</v>
      </c>
      <c r="K101">
        <v>43608</v>
      </c>
      <c r="L101" t="s">
        <v>61</v>
      </c>
      <c r="M101" t="s">
        <v>31</v>
      </c>
      <c r="O101">
        <v>41611</v>
      </c>
      <c r="P101" s="5">
        <f t="shared" si="2"/>
        <v>2013</v>
      </c>
      <c r="Q101">
        <v>11</v>
      </c>
      <c r="R101">
        <v>12</v>
      </c>
      <c r="S101" t="s">
        <v>138</v>
      </c>
      <c r="T101" t="s">
        <v>131</v>
      </c>
      <c r="U101" t="s">
        <v>108</v>
      </c>
      <c r="V101" s="7">
        <v>7717.666666666667</v>
      </c>
    </row>
    <row r="102" spans="1:23" x14ac:dyDescent="0.2">
      <c r="A102" t="s">
        <v>26</v>
      </c>
      <c r="B102" s="2" t="s">
        <v>356</v>
      </c>
      <c r="C102" s="2" t="s">
        <v>357</v>
      </c>
      <c r="D102">
        <v>19342</v>
      </c>
      <c r="E102">
        <v>60</v>
      </c>
      <c r="F102" s="3">
        <v>43798</v>
      </c>
      <c r="G102" s="3">
        <v>29314</v>
      </c>
      <c r="H102" s="30" t="str">
        <f>VLOOKUP((F102-G102)/365,Lists!$L$2:$M$6,2,1)</f>
        <v>10+</v>
      </c>
      <c r="I102" t="s">
        <v>372</v>
      </c>
      <c r="J102" s="60">
        <f>Data!K102+2000</f>
        <v>45608</v>
      </c>
      <c r="K102">
        <v>43608</v>
      </c>
      <c r="L102" t="s">
        <v>36</v>
      </c>
      <c r="M102" t="s">
        <v>31</v>
      </c>
      <c r="O102">
        <v>41611</v>
      </c>
      <c r="P102" s="5">
        <f t="shared" si="2"/>
        <v>2013</v>
      </c>
      <c r="Q102">
        <v>11</v>
      </c>
      <c r="R102">
        <v>12</v>
      </c>
      <c r="S102" t="s">
        <v>138</v>
      </c>
      <c r="T102" t="s">
        <v>137</v>
      </c>
      <c r="U102" t="s">
        <v>110</v>
      </c>
      <c r="V102" s="7">
        <v>7299.5</v>
      </c>
    </row>
    <row r="103" spans="1:23" x14ac:dyDescent="0.2">
      <c r="A103" t="s">
        <v>81</v>
      </c>
      <c r="B103" s="2" t="s">
        <v>358</v>
      </c>
      <c r="C103" s="2" t="s">
        <v>359</v>
      </c>
      <c r="D103">
        <v>20443</v>
      </c>
      <c r="E103">
        <v>57</v>
      </c>
      <c r="F103" s="3">
        <v>43798</v>
      </c>
      <c r="G103" s="3">
        <v>38214</v>
      </c>
      <c r="H103" s="30" t="str">
        <f>VLOOKUP((F103-G103)/365,Lists!$L$2:$M$6,2,1)</f>
        <v>10+</v>
      </c>
      <c r="I103" t="s">
        <v>372</v>
      </c>
      <c r="J103" s="60">
        <f>Data!K103+2000</f>
        <v>45608</v>
      </c>
      <c r="K103">
        <v>43608</v>
      </c>
      <c r="L103" t="s">
        <v>73</v>
      </c>
      <c r="M103" t="s">
        <v>24</v>
      </c>
      <c r="O103">
        <v>41611</v>
      </c>
      <c r="P103" s="5">
        <f t="shared" si="2"/>
        <v>2013</v>
      </c>
      <c r="Q103">
        <v>11</v>
      </c>
      <c r="R103">
        <v>12</v>
      </c>
      <c r="S103" t="s">
        <v>138</v>
      </c>
      <c r="T103" t="s">
        <v>132</v>
      </c>
      <c r="U103" t="s">
        <v>108</v>
      </c>
      <c r="V103" s="7">
        <v>6318</v>
      </c>
    </row>
    <row r="104" spans="1:23" x14ac:dyDescent="0.2">
      <c r="A104" s="2" t="s">
        <v>18</v>
      </c>
      <c r="B104" s="2" t="s">
        <v>360</v>
      </c>
      <c r="C104" s="2" t="s">
        <v>361</v>
      </c>
      <c r="D104" s="3">
        <v>30559</v>
      </c>
      <c r="E104" s="4">
        <v>30</v>
      </c>
      <c r="F104" s="3">
        <v>43742</v>
      </c>
      <c r="G104" s="3">
        <v>42944</v>
      </c>
      <c r="H104" s="30" t="str">
        <f>VLOOKUP((F104-G104)/365,Lists!$L$2:$M$6,2,1)</f>
        <v>2-5</v>
      </c>
      <c r="I104" s="2" t="s">
        <v>19</v>
      </c>
      <c r="J104" s="60">
        <f>Data!K104+2000</f>
        <v>45552</v>
      </c>
      <c r="K104" s="3">
        <v>43552</v>
      </c>
      <c r="L104" s="2" t="s">
        <v>20</v>
      </c>
      <c r="M104" s="2" t="s">
        <v>21</v>
      </c>
      <c r="N104" s="2"/>
      <c r="O104" s="3">
        <v>43741</v>
      </c>
      <c r="P104" s="5">
        <f t="shared" si="2"/>
        <v>2019</v>
      </c>
      <c r="Q104" s="5">
        <v>10</v>
      </c>
      <c r="R104" s="5">
        <v>10</v>
      </c>
      <c r="S104" t="s">
        <v>138</v>
      </c>
      <c r="T104" s="6" t="str">
        <f t="shared" ref="T104:T109" si="4">L104&amp;M104</f>
        <v>ET21</v>
      </c>
      <c r="U104" s="9" t="str">
        <f>VLOOKUP(L104,Lists!$D$2:$E$19,2,0)</f>
        <v>Administation</v>
      </c>
      <c r="V104" s="8">
        <f>VLOOKUP(T104,Lists!$G$2:$J$114,4,0)/2*52/12</f>
        <v>4589</v>
      </c>
      <c r="W104" s="2"/>
    </row>
    <row r="105" spans="1:23" x14ac:dyDescent="0.2">
      <c r="A105" s="2" t="s">
        <v>22</v>
      </c>
      <c r="B105" s="2" t="s">
        <v>362</v>
      </c>
      <c r="C105" s="2" t="s">
        <v>363</v>
      </c>
      <c r="D105" s="3">
        <v>24319</v>
      </c>
      <c r="E105" s="4">
        <v>47</v>
      </c>
      <c r="F105" s="3">
        <v>43742</v>
      </c>
      <c r="G105" s="3">
        <v>42945</v>
      </c>
      <c r="H105" s="30" t="str">
        <f>VLOOKUP((F105-G105)/365,Lists!$L$2:$M$6,2,1)</f>
        <v>2-5</v>
      </c>
      <c r="I105" s="2" t="s">
        <v>19</v>
      </c>
      <c r="J105" s="60">
        <f>Data!K105+2000</f>
        <v>45552</v>
      </c>
      <c r="K105" s="3">
        <v>43552</v>
      </c>
      <c r="L105" s="2" t="s">
        <v>23</v>
      </c>
      <c r="M105" s="2" t="s">
        <v>24</v>
      </c>
      <c r="N105" s="2"/>
      <c r="O105" s="3">
        <v>43742</v>
      </c>
      <c r="P105" s="5">
        <f t="shared" si="2"/>
        <v>2019</v>
      </c>
      <c r="Q105" s="5">
        <v>10</v>
      </c>
      <c r="R105" s="5">
        <v>10</v>
      </c>
      <c r="S105" t="s">
        <v>138</v>
      </c>
      <c r="T105" s="6" t="str">
        <f t="shared" si="4"/>
        <v>CI24</v>
      </c>
      <c r="U105" s="9" t="str">
        <f>VLOOKUP(L105,Lists!$D$2:$E$19,2,0)</f>
        <v>Engineer</v>
      </c>
      <c r="V105" s="8">
        <f>VLOOKUP(T105,Lists!$G$2:$J$114,4,0)/2*52/12</f>
        <v>5278</v>
      </c>
      <c r="W105" s="2"/>
    </row>
    <row r="106" spans="1:23" x14ac:dyDescent="0.2">
      <c r="A106" s="2" t="s">
        <v>25</v>
      </c>
      <c r="B106" s="2" t="s">
        <v>364</v>
      </c>
      <c r="C106" s="2" t="s">
        <v>365</v>
      </c>
      <c r="D106" s="3">
        <v>31988</v>
      </c>
      <c r="E106" s="4">
        <v>26</v>
      </c>
      <c r="F106" s="3">
        <v>43742</v>
      </c>
      <c r="G106" s="3">
        <v>42946</v>
      </c>
      <c r="H106" s="30" t="str">
        <f>VLOOKUP((F106-G106)/365,Lists!$L$2:$M$6,2,1)</f>
        <v>2-5</v>
      </c>
      <c r="I106" s="2" t="s">
        <v>19</v>
      </c>
      <c r="J106" s="60">
        <f>Data!K106+2000</f>
        <v>45552</v>
      </c>
      <c r="K106" s="3">
        <v>43552</v>
      </c>
      <c r="L106" s="2" t="s">
        <v>331</v>
      </c>
      <c r="M106" s="2" t="s">
        <v>24</v>
      </c>
      <c r="N106" s="2"/>
      <c r="O106" s="3">
        <v>43747</v>
      </c>
      <c r="P106" s="5">
        <f t="shared" si="2"/>
        <v>2019</v>
      </c>
      <c r="Q106" s="5">
        <v>10</v>
      </c>
      <c r="R106" s="5">
        <v>10</v>
      </c>
      <c r="S106" t="s">
        <v>138</v>
      </c>
      <c r="T106" s="6" t="s">
        <v>334</v>
      </c>
      <c r="U106" s="9" t="str">
        <f>VLOOKUP(L106,Lists!$D$2:$E$19,2,0)</f>
        <v>Legal</v>
      </c>
      <c r="V106" s="8">
        <f>VLOOKUP(T106,Lists!$G$2:$J$114,4,0)/2*52/12</f>
        <v>10036</v>
      </c>
      <c r="W106" s="2"/>
    </row>
    <row r="107" spans="1:23" x14ac:dyDescent="0.2">
      <c r="A107" s="2" t="s">
        <v>26</v>
      </c>
      <c r="B107" s="2" t="s">
        <v>366</v>
      </c>
      <c r="C107" s="2" t="s">
        <v>367</v>
      </c>
      <c r="D107" s="3">
        <v>18808</v>
      </c>
      <c r="E107" s="4">
        <v>62</v>
      </c>
      <c r="F107" s="3">
        <v>43742</v>
      </c>
      <c r="G107" s="3">
        <v>42947</v>
      </c>
      <c r="H107" s="30" t="str">
        <f>VLOOKUP((F107-G107)/365,Lists!$L$2:$M$6,2,1)</f>
        <v>2-5</v>
      </c>
      <c r="I107" s="2" t="s">
        <v>372</v>
      </c>
      <c r="J107" s="60">
        <f>Data!K107+2000</f>
        <v>45552</v>
      </c>
      <c r="K107" s="3">
        <v>43552</v>
      </c>
      <c r="L107" s="2" t="s">
        <v>27</v>
      </c>
      <c r="M107" s="2"/>
      <c r="N107" s="2"/>
      <c r="O107" s="3">
        <v>43747</v>
      </c>
      <c r="P107" s="5">
        <f t="shared" si="2"/>
        <v>2019</v>
      </c>
      <c r="Q107" s="5">
        <v>10</v>
      </c>
      <c r="R107" s="5">
        <v>10</v>
      </c>
      <c r="S107" t="s">
        <v>138</v>
      </c>
      <c r="T107" s="6" t="str">
        <f t="shared" si="4"/>
        <v>CONT</v>
      </c>
      <c r="U107" s="9" t="str">
        <f>VLOOKUP(L107,Lists!$D$2:$E$19,2,0)</f>
        <v>Contract Mger</v>
      </c>
      <c r="V107" s="8">
        <f>VLOOKUP(T107,Lists!$G$2:$J$114,4,0)/2*52/12</f>
        <v>13000</v>
      </c>
      <c r="W107" s="2"/>
    </row>
    <row r="108" spans="1:23" x14ac:dyDescent="0.2">
      <c r="A108" s="2" t="s">
        <v>28</v>
      </c>
      <c r="B108" s="2" t="s">
        <v>368</v>
      </c>
      <c r="C108" s="2" t="s">
        <v>369</v>
      </c>
      <c r="D108" s="3">
        <v>16195</v>
      </c>
      <c r="E108" s="4">
        <v>69</v>
      </c>
      <c r="F108" s="3">
        <v>43742</v>
      </c>
      <c r="G108" s="3">
        <v>42948</v>
      </c>
      <c r="H108" s="30" t="str">
        <f>VLOOKUP((F108-G108)/365,Lists!$L$2:$M$6,2,1)</f>
        <v>2-5</v>
      </c>
      <c r="I108" s="2" t="s">
        <v>372</v>
      </c>
      <c r="J108" s="60">
        <f>Data!K108+2000</f>
        <v>45552</v>
      </c>
      <c r="K108" s="3">
        <v>43552</v>
      </c>
      <c r="L108" s="2" t="s">
        <v>29</v>
      </c>
      <c r="M108" s="2" t="s">
        <v>17</v>
      </c>
      <c r="N108" s="2"/>
      <c r="O108" s="3">
        <v>43747</v>
      </c>
      <c r="P108" s="5">
        <f t="shared" si="2"/>
        <v>2019</v>
      </c>
      <c r="Q108" s="5">
        <v>10</v>
      </c>
      <c r="R108" s="5">
        <v>10</v>
      </c>
      <c r="S108" t="s">
        <v>138</v>
      </c>
      <c r="T108" s="6" t="str">
        <f t="shared" si="4"/>
        <v>CI32</v>
      </c>
      <c r="U108" s="9" t="str">
        <f>VLOOKUP(L108,Lists!$D$2:$E$19,2,0)</f>
        <v>Engineer</v>
      </c>
      <c r="V108" s="8">
        <f>VLOOKUP(T108,Lists!$G$2:$J$114,4,0)/2*52/12</f>
        <v>5726.5</v>
      </c>
      <c r="W108" s="2"/>
    </row>
    <row r="109" spans="1:23" x14ac:dyDescent="0.2">
      <c r="A109" s="2" t="s">
        <v>30</v>
      </c>
      <c r="B109" s="2" t="s">
        <v>370</v>
      </c>
      <c r="C109" s="2" t="s">
        <v>371</v>
      </c>
      <c r="D109" s="3">
        <v>27388</v>
      </c>
      <c r="E109" s="4">
        <v>38</v>
      </c>
      <c r="F109" s="3">
        <v>43744</v>
      </c>
      <c r="G109" s="3">
        <v>41289</v>
      </c>
      <c r="H109" s="30" t="str">
        <f>VLOOKUP((F109-G109)/365,Lists!$L$2:$M$6,2,1)</f>
        <v>5-7</v>
      </c>
      <c r="I109" s="2" t="s">
        <v>19</v>
      </c>
      <c r="J109" s="60">
        <f>Data!K109+2000</f>
        <v>45554</v>
      </c>
      <c r="K109" s="3">
        <v>43554</v>
      </c>
      <c r="L109" s="2" t="s">
        <v>23</v>
      </c>
      <c r="M109" s="2" t="s">
        <v>31</v>
      </c>
      <c r="N109" s="2"/>
      <c r="O109" s="3">
        <v>43754</v>
      </c>
      <c r="P109" s="5">
        <f t="shared" si="2"/>
        <v>2019</v>
      </c>
      <c r="Q109" s="5">
        <v>10</v>
      </c>
      <c r="R109" s="5">
        <v>10</v>
      </c>
      <c r="S109" t="s">
        <v>138</v>
      </c>
      <c r="T109" s="6" t="str">
        <f t="shared" si="4"/>
        <v>CI23</v>
      </c>
      <c r="U109" s="9" t="str">
        <f>VLOOKUP(L109,Lists!$D$2:$E$19,2,0)</f>
        <v>Engineer</v>
      </c>
      <c r="V109" s="8">
        <f>VLOOKUP(T109,Lists!$G$2:$J$114,4,0)/2*52/12</f>
        <v>5052.666666666667</v>
      </c>
      <c r="W109" s="2"/>
    </row>
  </sheetData>
  <autoFilter ref="A1:V10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6" tint="0.39997558519241921"/>
  </sheetPr>
  <dimension ref="A1:P86"/>
  <sheetViews>
    <sheetView workbookViewId="0">
      <pane ySplit="1" topLeftCell="A2" activePane="bottomLeft" state="frozen"/>
      <selection pane="bottomLeft" activeCell="A35" sqref="A35:A39"/>
    </sheetView>
  </sheetViews>
  <sheetFormatPr defaultRowHeight="12.75" x14ac:dyDescent="0.2"/>
  <cols>
    <col min="1" max="1" width="22.28515625" customWidth="1"/>
    <col min="2" max="2" width="14.7109375" customWidth="1"/>
    <col min="3" max="3" width="12.42578125" customWidth="1"/>
    <col min="4" max="10" width="9.42578125" customWidth="1"/>
    <col min="11" max="11" width="10.28515625" bestFit="1" customWidth="1"/>
    <col min="12" max="12" width="11.28515625" customWidth="1"/>
    <col min="15" max="15" width="10.140625" bestFit="1" customWidth="1"/>
  </cols>
  <sheetData>
    <row r="1" spans="1:11" ht="27.75" customHeight="1" x14ac:dyDescent="0.25">
      <c r="A1" s="44" t="s">
        <v>112</v>
      </c>
      <c r="B1" s="45">
        <f>Lists!$O$2</f>
        <v>44835</v>
      </c>
      <c r="C1" s="45">
        <f>EDATE(B1,1)</f>
        <v>44866</v>
      </c>
      <c r="D1" s="45">
        <f t="shared" ref="D1:J1" si="0">EDATE(C1,1)</f>
        <v>44896</v>
      </c>
      <c r="E1" s="45">
        <f t="shared" si="0"/>
        <v>44927</v>
      </c>
      <c r="F1" s="45">
        <f t="shared" si="0"/>
        <v>44958</v>
      </c>
      <c r="G1" s="45">
        <f t="shared" si="0"/>
        <v>44986</v>
      </c>
      <c r="H1" s="45">
        <f t="shared" si="0"/>
        <v>45017</v>
      </c>
      <c r="I1" s="45">
        <f t="shared" si="0"/>
        <v>45047</v>
      </c>
      <c r="J1" s="45">
        <f t="shared" si="0"/>
        <v>45078</v>
      </c>
      <c r="K1" s="46" t="s">
        <v>397</v>
      </c>
    </row>
    <row r="2" spans="1:11" ht="12.75" customHeight="1" x14ac:dyDescent="0.2">
      <c r="A2" t="s">
        <v>126</v>
      </c>
      <c r="B2" s="14">
        <f>SUMPRODUCT((Data!$F$2:$F$112&lt;=B$1)*(Data!$S$2:$S$112=$A2)*(Data!$V$2:$V$112))</f>
        <v>170050.83333333331</v>
      </c>
      <c r="C2" s="14">
        <f>SUMPRODUCT((Data!$F$2:$F$112&lt;=C$1)*(Data!$S$2:$S$112=$A2)*(Data!$V$2:$V$112))</f>
        <v>170050.83333333331</v>
      </c>
      <c r="D2" s="14">
        <f>SUMPRODUCT((Data!$F$2:$F$112&lt;=D$1)*(Data!$S$2:$S$112=$A2)*(Data!$V$2:$V$112))</f>
        <v>170050.83333333331</v>
      </c>
      <c r="E2" s="14">
        <f>SUMPRODUCT((Data!$F$2:$F$112&lt;=E$1)*(Data!$S$2:$S$112=$A2)*(Data!$V$2:$V$112))</f>
        <v>170050.83333333331</v>
      </c>
      <c r="F2" s="14">
        <f>SUMPRODUCT((Data!$F$2:$F$112&lt;=F$1)*(Data!$S$2:$S$112=$A2)*(Data!$V$2:$V$112))</f>
        <v>170050.83333333331</v>
      </c>
      <c r="G2" s="14">
        <f>SUMPRODUCT((Data!$F$2:$F$112&lt;=G$1)*(Data!$S$2:$S$112=$A2)*(Data!$V$2:$V$112))</f>
        <v>170050.83333333331</v>
      </c>
      <c r="H2" s="14">
        <f>SUMPRODUCT((Data!$F$2:$F$112&lt;=H$1)*(Data!$S$2:$S$112=$A2)*(Data!$V$2:$V$112))</f>
        <v>170050.83333333331</v>
      </c>
      <c r="I2" s="14">
        <f>SUMPRODUCT((Data!$F$2:$F$112&lt;=I$1)*(Data!$S$2:$S$112=$A2)*(Data!$V$2:$V$112))</f>
        <v>170050.83333333331</v>
      </c>
      <c r="J2" s="14">
        <f>SUMPRODUCT((Data!$F$2:$F$112&lt;=J$1)*(Data!$S$2:$S$112=$A2)*(Data!$V$2:$V$112))</f>
        <v>170050.83333333331</v>
      </c>
      <c r="K2" s="14">
        <f>SUM(B2:J2)</f>
        <v>1530457.4999999995</v>
      </c>
    </row>
    <row r="3" spans="1:11" ht="12.75" customHeight="1" x14ac:dyDescent="0.2">
      <c r="A3" t="s">
        <v>125</v>
      </c>
      <c r="B3" s="14">
        <f>SUMPRODUCT((Data!$F$2:$F$112&lt;=B$1)*(Data!$S$2:$S$112=$A3)*(Data!$V$2:$V$112))</f>
        <v>228511.83333333323</v>
      </c>
      <c r="C3" s="14">
        <f>SUMPRODUCT((Data!$F$2:$F$112&lt;=C$1)*(Data!$S$2:$S$112=$A3)*(Data!$V$2:$V$112))</f>
        <v>228511.83333333323</v>
      </c>
      <c r="D3" s="14">
        <f>SUMPRODUCT((Data!$F$2:$F$112&lt;=D$1)*(Data!$S$2:$S$112=$A3)*(Data!$V$2:$V$112))</f>
        <v>228511.83333333323</v>
      </c>
      <c r="E3" s="14">
        <f>SUMPRODUCT((Data!$F$2:$F$112&lt;=E$1)*(Data!$S$2:$S$112=$A3)*(Data!$V$2:$V$112))</f>
        <v>228511.83333333323</v>
      </c>
      <c r="F3" s="14">
        <f>SUMPRODUCT((Data!$F$2:$F$112&lt;=F$1)*(Data!$S$2:$S$112=$A3)*(Data!$V$2:$V$112))</f>
        <v>228511.83333333323</v>
      </c>
      <c r="G3" s="14">
        <f>SUMPRODUCT((Data!$F$2:$F$112&lt;=G$1)*(Data!$S$2:$S$112=$A3)*(Data!$V$2:$V$112))</f>
        <v>228511.83333333323</v>
      </c>
      <c r="H3" s="14">
        <f>SUMPRODUCT((Data!$F$2:$F$112&lt;=H$1)*(Data!$S$2:$S$112=$A3)*(Data!$V$2:$V$112))</f>
        <v>228511.83333333323</v>
      </c>
      <c r="I3" s="14">
        <f>SUMPRODUCT((Data!$F$2:$F$112&lt;=I$1)*(Data!$S$2:$S$112=$A3)*(Data!$V$2:$V$112))</f>
        <v>228511.83333333323</v>
      </c>
      <c r="J3" s="14">
        <f>SUMPRODUCT((Data!$F$2:$F$112&lt;=J$1)*(Data!$S$2:$S$112=$A3)*(Data!$V$2:$V$112))</f>
        <v>228511.83333333323</v>
      </c>
      <c r="K3" s="14">
        <f t="shared" ref="K3:K6" si="1">SUM(B3:J3)</f>
        <v>2056606.4999999991</v>
      </c>
    </row>
    <row r="4" spans="1:11" ht="12.75" customHeight="1" x14ac:dyDescent="0.2">
      <c r="A4" t="s">
        <v>127</v>
      </c>
      <c r="B4" s="14">
        <f>SUMPRODUCT((Data!$F$2:$F$112&lt;=B$1)*(Data!$S$2:$S$112=$A4)*(Data!$V$2:$V$112))</f>
        <v>172325.83333333334</v>
      </c>
      <c r="C4" s="14">
        <f>SUMPRODUCT((Data!$F$2:$F$112&lt;=C$1)*(Data!$S$2:$S$112=$A4)*(Data!$V$2:$V$112))</f>
        <v>172325.83333333334</v>
      </c>
      <c r="D4" s="14">
        <f>SUMPRODUCT((Data!$F$2:$F$112&lt;=D$1)*(Data!$S$2:$S$112=$A4)*(Data!$V$2:$V$112))</f>
        <v>172325.83333333334</v>
      </c>
      <c r="E4" s="14">
        <f>SUMPRODUCT((Data!$F$2:$F$112&lt;=E$1)*(Data!$S$2:$S$112=$A4)*(Data!$V$2:$V$112))</f>
        <v>172325.83333333334</v>
      </c>
      <c r="F4" s="14">
        <f>SUMPRODUCT((Data!$F$2:$F$112&lt;=F$1)*(Data!$S$2:$S$112=$A4)*(Data!$V$2:$V$112))</f>
        <v>172325.83333333334</v>
      </c>
      <c r="G4" s="14">
        <f>SUMPRODUCT((Data!$F$2:$F$112&lt;=G$1)*(Data!$S$2:$S$112=$A4)*(Data!$V$2:$V$112))</f>
        <v>172325.83333333334</v>
      </c>
      <c r="H4" s="14">
        <f>SUMPRODUCT((Data!$F$2:$F$112&lt;=H$1)*(Data!$S$2:$S$112=$A4)*(Data!$V$2:$V$112))</f>
        <v>172325.83333333334</v>
      </c>
      <c r="I4" s="14">
        <f>SUMPRODUCT((Data!$F$2:$F$112&lt;=I$1)*(Data!$S$2:$S$112=$A4)*(Data!$V$2:$V$112))</f>
        <v>172325.83333333334</v>
      </c>
      <c r="J4" s="14">
        <f>SUMPRODUCT((Data!$F$2:$F$112&lt;=J$1)*(Data!$S$2:$S$112=$A4)*(Data!$V$2:$V$112))</f>
        <v>172325.83333333334</v>
      </c>
      <c r="K4" s="14">
        <f t="shared" si="1"/>
        <v>1550932.5</v>
      </c>
    </row>
    <row r="5" spans="1:11" ht="12.75" customHeight="1" x14ac:dyDescent="0.2">
      <c r="A5" t="s">
        <v>138</v>
      </c>
      <c r="B5" s="14">
        <f>SUMPRODUCT((Data!$F$2:$F$112&lt;=B$1)*(Data!$S$2:$S$112=$A5)*(Data!$V$2:$V$112))</f>
        <v>145179.66666666666</v>
      </c>
      <c r="C5" s="14">
        <f>SUMPRODUCT((Data!$F$2:$F$112&lt;=C$1)*(Data!$S$2:$S$112=$A5)*(Data!$V$2:$V$112))</f>
        <v>145179.66666666666</v>
      </c>
      <c r="D5" s="14">
        <f>SUMPRODUCT((Data!$F$2:$F$112&lt;=D$1)*(Data!$S$2:$S$112=$A5)*(Data!$V$2:$V$112))</f>
        <v>145179.66666666666</v>
      </c>
      <c r="E5" s="14">
        <f>SUMPRODUCT((Data!$F$2:$F$112&lt;=E$1)*(Data!$S$2:$S$112=$A5)*(Data!$V$2:$V$112))</f>
        <v>145179.66666666666</v>
      </c>
      <c r="F5" s="14">
        <f>SUMPRODUCT((Data!$F$2:$F$112&lt;=F$1)*(Data!$S$2:$S$112=$A5)*(Data!$V$2:$V$112))</f>
        <v>145179.66666666666</v>
      </c>
      <c r="G5" s="14">
        <f>SUMPRODUCT((Data!$F$2:$F$112&lt;=G$1)*(Data!$S$2:$S$112=$A5)*(Data!$V$2:$V$112))</f>
        <v>145179.66666666666</v>
      </c>
      <c r="H5" s="14">
        <f>SUMPRODUCT((Data!$F$2:$F$112&lt;=H$1)*(Data!$S$2:$S$112=$A5)*(Data!$V$2:$V$112))</f>
        <v>145179.66666666666</v>
      </c>
      <c r="I5" s="14">
        <f>SUMPRODUCT((Data!$F$2:$F$112&lt;=I$1)*(Data!$S$2:$S$112=$A5)*(Data!$V$2:$V$112))</f>
        <v>145179.66666666666</v>
      </c>
      <c r="J5" s="14">
        <f>SUMPRODUCT((Data!$F$2:$F$112&lt;=J$1)*(Data!$S$2:$S$112=$A5)*(Data!$V$2:$V$112))</f>
        <v>145179.66666666666</v>
      </c>
      <c r="K5" s="14">
        <f t="shared" ref="K5" si="2">SUM(B5:J5)</f>
        <v>1306617</v>
      </c>
    </row>
    <row r="6" spans="1:11" ht="12.75" customHeight="1" x14ac:dyDescent="0.25">
      <c r="A6" s="13"/>
      <c r="B6" s="16"/>
      <c r="C6" s="16"/>
      <c r="D6" s="16"/>
      <c r="E6" s="16"/>
      <c r="F6" s="16"/>
      <c r="G6" s="16"/>
      <c r="H6" s="16"/>
      <c r="I6" s="16"/>
      <c r="J6" s="16"/>
      <c r="K6" s="14">
        <f t="shared" si="1"/>
        <v>0</v>
      </c>
    </row>
    <row r="7" spans="1:11" ht="12.75" customHeight="1" x14ac:dyDescent="0.25">
      <c r="A7" s="13" t="s">
        <v>109</v>
      </c>
      <c r="B7" s="19">
        <f>SUM(B2:B6)</f>
        <v>716068.16666666651</v>
      </c>
      <c r="C7" s="19">
        <f t="shared" ref="C7:K7" si="3">SUM(C2:C6)</f>
        <v>716068.16666666651</v>
      </c>
      <c r="D7" s="19">
        <f t="shared" si="3"/>
        <v>716068.16666666651</v>
      </c>
      <c r="E7" s="19">
        <f t="shared" si="3"/>
        <v>716068.16666666651</v>
      </c>
      <c r="F7" s="19">
        <f t="shared" si="3"/>
        <v>716068.16666666651</v>
      </c>
      <c r="G7" s="19">
        <f t="shared" si="3"/>
        <v>716068.16666666651</v>
      </c>
      <c r="H7" s="19">
        <f t="shared" si="3"/>
        <v>716068.16666666651</v>
      </c>
      <c r="I7" s="19">
        <f t="shared" si="3"/>
        <v>716068.16666666651</v>
      </c>
      <c r="J7" s="19">
        <f t="shared" si="3"/>
        <v>716068.16666666651</v>
      </c>
      <c r="K7" s="19">
        <f t="shared" si="3"/>
        <v>6444613.4999999981</v>
      </c>
    </row>
    <row r="8" spans="1:11" ht="12.75" customHeight="1" x14ac:dyDescent="0.25">
      <c r="A8" s="13"/>
      <c r="B8" s="19"/>
      <c r="C8" s="19"/>
      <c r="D8" s="19"/>
      <c r="E8" s="19"/>
      <c r="F8" s="19"/>
      <c r="G8" s="19"/>
      <c r="H8" s="19"/>
      <c r="I8" s="19"/>
      <c r="J8" s="19"/>
      <c r="K8" s="16"/>
    </row>
    <row r="9" spans="1:11" ht="12.75" customHeight="1" x14ac:dyDescent="0.25">
      <c r="A9" s="44" t="s">
        <v>115</v>
      </c>
      <c r="B9" s="45">
        <f>Lists!$O$2</f>
        <v>44835</v>
      </c>
      <c r="C9" s="45">
        <f>EDATE(B9,1)</f>
        <v>44866</v>
      </c>
      <c r="D9" s="45">
        <f t="shared" ref="D9:J9" si="4">EDATE(C9,1)</f>
        <v>44896</v>
      </c>
      <c r="E9" s="45">
        <f t="shared" si="4"/>
        <v>44927</v>
      </c>
      <c r="F9" s="45">
        <f t="shared" si="4"/>
        <v>44958</v>
      </c>
      <c r="G9" s="45">
        <f t="shared" si="4"/>
        <v>44986</v>
      </c>
      <c r="H9" s="45">
        <f t="shared" si="4"/>
        <v>45017</v>
      </c>
      <c r="I9" s="45">
        <f t="shared" si="4"/>
        <v>45047</v>
      </c>
      <c r="J9" s="45">
        <f t="shared" si="4"/>
        <v>45078</v>
      </c>
      <c r="K9" s="45" t="s">
        <v>109</v>
      </c>
    </row>
    <row r="10" spans="1:11" ht="12.75" customHeight="1" x14ac:dyDescent="0.2">
      <c r="A10" t="s">
        <v>126</v>
      </c>
      <c r="B10" s="14">
        <f>SUMPRODUCT((Data!$F$2:$F$112&lt;=B$1)*(Data!$S$2:$S$112=$A10))</f>
        <v>23</v>
      </c>
      <c r="C10" s="14">
        <f>SUMPRODUCT((Data!$F$2:$F$112&lt;=C$1)*(Data!$S$2:$S$112=$A10))</f>
        <v>23</v>
      </c>
      <c r="D10" s="14">
        <f>SUMPRODUCT((Data!$F$2:$F$112&lt;=D$1)*(Data!$S$2:$S$112=$A10))</f>
        <v>23</v>
      </c>
      <c r="E10" s="14">
        <f>SUMPRODUCT((Data!$F$2:$F$112&lt;=E$1)*(Data!$S$2:$S$112=$A10))</f>
        <v>23</v>
      </c>
      <c r="F10" s="14">
        <f>SUMPRODUCT((Data!$F$2:$F$112&lt;=F$1)*(Data!$S$2:$S$112=$A10))</f>
        <v>23</v>
      </c>
      <c r="G10" s="14">
        <f>SUMPRODUCT((Data!$F$2:$F$112&lt;=G$1)*(Data!$S$2:$S$112=$A10))</f>
        <v>23</v>
      </c>
      <c r="H10" s="14">
        <f>SUMPRODUCT((Data!$F$2:$F$112&lt;=H$1)*(Data!$S$2:$S$112=$A10))</f>
        <v>23</v>
      </c>
      <c r="I10" s="14">
        <f>SUMPRODUCT((Data!$F$2:$F$112&lt;=I$1)*(Data!$S$2:$S$112=$A10))</f>
        <v>23</v>
      </c>
      <c r="J10" s="14">
        <f>SUMPRODUCT((Data!$F$2:$F$112&lt;=J$1)*(Data!$S$2:$S$112=$A10))</f>
        <v>23</v>
      </c>
      <c r="K10" s="19">
        <f>SUM(B10:J10)</f>
        <v>207</v>
      </c>
    </row>
    <row r="11" spans="1:11" ht="12.75" customHeight="1" x14ac:dyDescent="0.2">
      <c r="A11" t="s">
        <v>125</v>
      </c>
      <c r="B11" s="14">
        <f>SUMPRODUCT((Data!$F$2:$F$112&lt;=B$1)*(Data!$S$2:$S$112=$A11))</f>
        <v>37</v>
      </c>
      <c r="C11" s="14">
        <f>SUMPRODUCT((Data!$F$2:$F$112&lt;=C$1)*(Data!$S$2:$S$112=$A11))</f>
        <v>37</v>
      </c>
      <c r="D11" s="14">
        <f>SUMPRODUCT((Data!$F$2:$F$112&lt;=D$1)*(Data!$S$2:$S$112=$A11))</f>
        <v>37</v>
      </c>
      <c r="E11" s="14">
        <f>SUMPRODUCT((Data!$F$2:$F$112&lt;=E$1)*(Data!$S$2:$S$112=$A11))</f>
        <v>37</v>
      </c>
      <c r="F11" s="14">
        <f>SUMPRODUCT((Data!$F$2:$F$112&lt;=F$1)*(Data!$S$2:$S$112=$A11))</f>
        <v>37</v>
      </c>
      <c r="G11" s="14">
        <f>SUMPRODUCT((Data!$F$2:$F$112&lt;=G$1)*(Data!$S$2:$S$112=$A11))</f>
        <v>37</v>
      </c>
      <c r="H11" s="14">
        <f>SUMPRODUCT((Data!$F$2:$F$112&lt;=H$1)*(Data!$S$2:$S$112=$A11))</f>
        <v>37</v>
      </c>
      <c r="I11" s="14">
        <f>SUMPRODUCT((Data!$F$2:$F$112&lt;=I$1)*(Data!$S$2:$S$112=$A11))</f>
        <v>37</v>
      </c>
      <c r="J11" s="14">
        <f>SUMPRODUCT((Data!$F$2:$F$112&lt;=J$1)*(Data!$S$2:$S$112=$A11))</f>
        <v>37</v>
      </c>
      <c r="K11" s="19">
        <f t="shared" ref="K11:K17" si="5">SUM(B11:J11)</f>
        <v>333</v>
      </c>
    </row>
    <row r="12" spans="1:11" ht="12.75" customHeight="1" x14ac:dyDescent="0.2">
      <c r="A12" t="s">
        <v>127</v>
      </c>
      <c r="B12" s="14">
        <f>SUMPRODUCT((Data!$F$2:$F$112&lt;=B$1)*(Data!$S$2:$S$112=$A12))</f>
        <v>25</v>
      </c>
      <c r="C12" s="14">
        <f>SUMPRODUCT((Data!$F$2:$F$112&lt;=C$1)*(Data!$S$2:$S$112=$A12))</f>
        <v>25</v>
      </c>
      <c r="D12" s="14">
        <f>SUMPRODUCT((Data!$F$2:$F$112&lt;=D$1)*(Data!$S$2:$S$112=$A12))</f>
        <v>25</v>
      </c>
      <c r="E12" s="14">
        <f>SUMPRODUCT((Data!$F$2:$F$112&lt;=E$1)*(Data!$S$2:$S$112=$A12))</f>
        <v>25</v>
      </c>
      <c r="F12" s="14">
        <f>SUMPRODUCT((Data!$F$2:$F$112&lt;=F$1)*(Data!$S$2:$S$112=$A12))</f>
        <v>25</v>
      </c>
      <c r="G12" s="14">
        <f>SUMPRODUCT((Data!$F$2:$F$112&lt;=G$1)*(Data!$S$2:$S$112=$A12))</f>
        <v>25</v>
      </c>
      <c r="H12" s="14">
        <f>SUMPRODUCT((Data!$F$2:$F$112&lt;=H$1)*(Data!$S$2:$S$112=$A12))</f>
        <v>25</v>
      </c>
      <c r="I12" s="14">
        <f>SUMPRODUCT((Data!$F$2:$F$112&lt;=I$1)*(Data!$S$2:$S$112=$A12))</f>
        <v>25</v>
      </c>
      <c r="J12" s="14">
        <f>SUMPRODUCT((Data!$F$2:$F$112&lt;=J$1)*(Data!$S$2:$S$112=$A12))</f>
        <v>25</v>
      </c>
      <c r="K12" s="19">
        <f t="shared" si="5"/>
        <v>225</v>
      </c>
    </row>
    <row r="13" spans="1:11" ht="12.75" customHeight="1" x14ac:dyDescent="0.2">
      <c r="A13" t="s">
        <v>138</v>
      </c>
      <c r="B13" s="14">
        <f>SUMPRODUCT((Data!$F$2:$F$112&lt;=B$1)*(Data!$S$2:$S$112=$A13))</f>
        <v>23</v>
      </c>
      <c r="C13" s="14">
        <f>SUMPRODUCT((Data!$F$2:$F$112&lt;=C$1)*(Data!$S$2:$S$112=$A13))</f>
        <v>23</v>
      </c>
      <c r="D13" s="14">
        <f>SUMPRODUCT((Data!$F$2:$F$112&lt;=D$1)*(Data!$S$2:$S$112=$A13))</f>
        <v>23</v>
      </c>
      <c r="E13" s="14">
        <f>SUMPRODUCT((Data!$F$2:$F$112&lt;=E$1)*(Data!$S$2:$S$112=$A13))</f>
        <v>23</v>
      </c>
      <c r="F13" s="14">
        <f>SUMPRODUCT((Data!$F$2:$F$112&lt;=F$1)*(Data!$S$2:$S$112=$A13))</f>
        <v>23</v>
      </c>
      <c r="G13" s="14">
        <f>SUMPRODUCT((Data!$F$2:$F$112&lt;=G$1)*(Data!$S$2:$S$112=$A13))</f>
        <v>23</v>
      </c>
      <c r="H13" s="14">
        <f>SUMPRODUCT((Data!$F$2:$F$112&lt;=H$1)*(Data!$S$2:$S$112=$A13))</f>
        <v>23</v>
      </c>
      <c r="I13" s="14">
        <f>SUMPRODUCT((Data!$F$2:$F$112&lt;=I$1)*(Data!$S$2:$S$112=$A13))</f>
        <v>23</v>
      </c>
      <c r="J13" s="14">
        <f>SUMPRODUCT((Data!$F$2:$F$112&lt;=J$1)*(Data!$S$2:$S$112=$A13))</f>
        <v>23</v>
      </c>
      <c r="K13" s="19">
        <f t="shared" si="5"/>
        <v>207</v>
      </c>
    </row>
    <row r="14" spans="1:11" ht="12.75" customHeight="1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9">
        <f t="shared" si="5"/>
        <v>0</v>
      </c>
    </row>
    <row r="15" spans="1:11" ht="12.75" customHeight="1" x14ac:dyDescent="0.2">
      <c r="A15" t="s">
        <v>109</v>
      </c>
      <c r="B15" s="17">
        <f>SUM(B10:B14)</f>
        <v>108</v>
      </c>
      <c r="C15" s="17">
        <f>SUM(C10:C14)</f>
        <v>108</v>
      </c>
      <c r="D15" s="17">
        <f t="shared" ref="D15:J15" si="6">SUM(D10:D14)</f>
        <v>108</v>
      </c>
      <c r="E15" s="17">
        <f t="shared" si="6"/>
        <v>108</v>
      </c>
      <c r="F15" s="17">
        <f t="shared" si="6"/>
        <v>108</v>
      </c>
      <c r="G15" s="17">
        <f t="shared" si="6"/>
        <v>108</v>
      </c>
      <c r="H15" s="17">
        <f t="shared" si="6"/>
        <v>108</v>
      </c>
      <c r="I15" s="17">
        <f t="shared" si="6"/>
        <v>108</v>
      </c>
      <c r="J15" s="17">
        <f t="shared" si="6"/>
        <v>108</v>
      </c>
      <c r="K15" s="19">
        <f t="shared" si="5"/>
        <v>972</v>
      </c>
    </row>
    <row r="16" spans="1:11" ht="12.75" customHeight="1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9">
        <f t="shared" si="5"/>
        <v>0</v>
      </c>
    </row>
    <row r="17" spans="1:11" ht="12.75" customHeight="1" x14ac:dyDescent="0.2">
      <c r="A17" t="s">
        <v>113</v>
      </c>
      <c r="B17" s="14">
        <f>COUNTIF(Data!$F$2:$F$112,"&lt;=" &amp;B1)</f>
        <v>108</v>
      </c>
      <c r="C17" s="14">
        <f>COUNTIF(Data!$F$2:$F$112,"&lt;=" &amp;C1)</f>
        <v>108</v>
      </c>
      <c r="D17" s="14">
        <f>COUNTIF(Data!$F$2:$F$112,"&lt;=" &amp;D1)</f>
        <v>108</v>
      </c>
      <c r="E17" s="14">
        <f>COUNTIF(Data!$F$2:$F$112,"&lt;=" &amp;E1)</f>
        <v>108</v>
      </c>
      <c r="F17" s="14">
        <f>COUNTIF(Data!$F$2:$F$112,"&lt;=" &amp;F1)</f>
        <v>108</v>
      </c>
      <c r="G17" s="14">
        <f>COUNTIF(Data!$F$2:$F$112,"&lt;=" &amp;G1)</f>
        <v>108</v>
      </c>
      <c r="H17" s="14">
        <f>COUNTIF(Data!$F$2:$F$112,"&lt;=" &amp;H1)</f>
        <v>108</v>
      </c>
      <c r="I17" s="14">
        <f>COUNTIF(Data!$F$2:$F$112,"&lt;=" &amp;I1)</f>
        <v>108</v>
      </c>
      <c r="J17" s="14">
        <f>COUNTIF(Data!$F$2:$F$112,"&lt;=" &amp;J1)</f>
        <v>108</v>
      </c>
      <c r="K17" s="19">
        <f t="shared" si="5"/>
        <v>972</v>
      </c>
    </row>
    <row r="18" spans="1:11" ht="12.75" customHeight="1" x14ac:dyDescent="0.2">
      <c r="A18" t="s">
        <v>123</v>
      </c>
      <c r="B18" s="14">
        <f>B17-B15</f>
        <v>0</v>
      </c>
      <c r="C18" s="14">
        <f t="shared" ref="C18:K18" si="7">C17-C15</f>
        <v>0</v>
      </c>
      <c r="D18" s="14">
        <f t="shared" si="7"/>
        <v>0</v>
      </c>
      <c r="E18" s="14">
        <f t="shared" si="7"/>
        <v>0</v>
      </c>
      <c r="F18" s="14">
        <f t="shared" si="7"/>
        <v>0</v>
      </c>
      <c r="G18" s="14">
        <f t="shared" si="7"/>
        <v>0</v>
      </c>
      <c r="H18" s="14">
        <f t="shared" si="7"/>
        <v>0</v>
      </c>
      <c r="I18" s="14">
        <f t="shared" si="7"/>
        <v>0</v>
      </c>
      <c r="J18" s="14">
        <f t="shared" si="7"/>
        <v>0</v>
      </c>
      <c r="K18" s="14">
        <f t="shared" si="7"/>
        <v>0</v>
      </c>
    </row>
    <row r="19" spans="1:11" ht="12.75" customHeight="1" x14ac:dyDescent="0.25">
      <c r="A19" s="13"/>
      <c r="B19" s="19"/>
      <c r="C19" s="19"/>
      <c r="D19" s="19"/>
      <c r="E19" s="19"/>
      <c r="F19" s="19"/>
      <c r="G19" s="19"/>
      <c r="H19" s="19"/>
      <c r="I19" s="19"/>
      <c r="J19" s="19"/>
      <c r="K19" s="16"/>
    </row>
    <row r="20" spans="1:11" ht="12.75" customHeight="1" x14ac:dyDescent="0.25">
      <c r="A20" s="13"/>
      <c r="B20" s="19"/>
      <c r="C20" s="19"/>
      <c r="D20" s="19"/>
      <c r="E20" s="19"/>
      <c r="F20" s="19"/>
      <c r="G20" s="19"/>
      <c r="H20" s="19"/>
      <c r="I20" s="19"/>
      <c r="J20" s="19"/>
      <c r="K20" s="16"/>
    </row>
    <row r="21" spans="1:11" ht="12.75" customHeight="1" x14ac:dyDescent="0.25">
      <c r="A21" s="44" t="s">
        <v>121</v>
      </c>
      <c r="B21" s="45">
        <f>Lists!$O$2</f>
        <v>44835</v>
      </c>
      <c r="C21" s="45">
        <f>EDATE(B21,1)</f>
        <v>44866</v>
      </c>
      <c r="D21" s="45">
        <f t="shared" ref="D21:J21" si="8">EDATE(C21,1)</f>
        <v>44896</v>
      </c>
      <c r="E21" s="45">
        <f t="shared" si="8"/>
        <v>44927</v>
      </c>
      <c r="F21" s="45">
        <f t="shared" si="8"/>
        <v>44958</v>
      </c>
      <c r="G21" s="45">
        <f t="shared" si="8"/>
        <v>44986</v>
      </c>
      <c r="H21" s="45">
        <f t="shared" si="8"/>
        <v>45017</v>
      </c>
      <c r="I21" s="45">
        <f t="shared" si="8"/>
        <v>45047</v>
      </c>
      <c r="J21" s="45">
        <f t="shared" si="8"/>
        <v>45078</v>
      </c>
      <c r="K21" s="45" t="s">
        <v>109</v>
      </c>
    </row>
    <row r="22" spans="1:11" x14ac:dyDescent="0.2">
      <c r="A22" t="s">
        <v>105</v>
      </c>
      <c r="B22" s="14">
        <f>SUMPRODUCT((Data!$F$2:$F$112&lt;=B$1)*(Data!$U$2:$U$112=$A22)*(Data!$V$2:$V$112))</f>
        <v>169000</v>
      </c>
      <c r="C22" s="14">
        <f>SUMPRODUCT((Data!$F$2:$F$112&lt;=C$1)*(Data!$U$2:$U$112=$A22)*(Data!$V$2:$V$112))</f>
        <v>169000</v>
      </c>
      <c r="D22" s="14">
        <f>SUMPRODUCT((Data!$F$2:$F$112&lt;=D$1)*(Data!$U$2:$U$112=$A22)*(Data!$V$2:$V$112))</f>
        <v>169000</v>
      </c>
      <c r="E22" s="14">
        <f>SUMPRODUCT((Data!$F$2:$F$112&lt;=E$1)*(Data!$U$2:$U$112=$A22)*(Data!$V$2:$V$112))</f>
        <v>169000</v>
      </c>
      <c r="F22" s="14">
        <f>SUMPRODUCT((Data!$F$2:$F$112&lt;=F$1)*(Data!$U$2:$U$112=$A22)*(Data!$V$2:$V$112))</f>
        <v>169000</v>
      </c>
      <c r="G22" s="14">
        <f>SUMPRODUCT((Data!$F$2:$F$112&lt;=G$1)*(Data!$U$2:$U$112=$A22)*(Data!$V$2:$V$112))</f>
        <v>169000</v>
      </c>
      <c r="H22" s="14">
        <f>SUMPRODUCT((Data!$F$2:$F$112&lt;=H$1)*(Data!$U$2:$U$112=$A22)*(Data!$V$2:$V$112))</f>
        <v>169000</v>
      </c>
      <c r="I22" s="14">
        <f>SUMPRODUCT((Data!$F$2:$F$112&lt;=I$1)*(Data!$U$2:$U$112=$A22)*(Data!$V$2:$V$112))</f>
        <v>169000</v>
      </c>
      <c r="J22" s="14">
        <f>SUMPRODUCT((Data!$F$2:$F$112&lt;=J$1)*(Data!$U$2:$U$112=$A22)*(Data!$V$2:$V$112))</f>
        <v>169000</v>
      </c>
      <c r="K22" s="14">
        <f>SUM(B22:J22)</f>
        <v>1521000</v>
      </c>
    </row>
    <row r="23" spans="1:11" x14ac:dyDescent="0.2">
      <c r="A23" t="s">
        <v>110</v>
      </c>
      <c r="B23" s="14">
        <f>SUMPRODUCT((Data!$F$2:$F$112&lt;=B$1)*(Data!$U$2:$U$112=$A23)*(Data!$V$2:$V$112))</f>
        <v>188794.66666666666</v>
      </c>
      <c r="C23" s="14">
        <f>SUMPRODUCT((Data!$F$2:$F$112&lt;=C$1)*(Data!$U$2:$U$112=$A23)*(Data!$V$2:$V$112))</f>
        <v>188794.66666666666</v>
      </c>
      <c r="D23" s="14">
        <f>SUMPRODUCT((Data!$F$2:$F$112&lt;=D$1)*(Data!$U$2:$U$112=$A23)*(Data!$V$2:$V$112))</f>
        <v>188794.66666666666</v>
      </c>
      <c r="E23" s="14">
        <f>SUMPRODUCT((Data!$F$2:$F$112&lt;=E$1)*(Data!$U$2:$U$112=$A23)*(Data!$V$2:$V$112))</f>
        <v>188794.66666666666</v>
      </c>
      <c r="F23" s="14">
        <f>SUMPRODUCT((Data!$F$2:$F$112&lt;=F$1)*(Data!$U$2:$U$112=$A23)*(Data!$V$2:$V$112))</f>
        <v>188794.66666666666</v>
      </c>
      <c r="G23" s="14">
        <f>SUMPRODUCT((Data!$F$2:$F$112&lt;=G$1)*(Data!$U$2:$U$112=$A23)*(Data!$V$2:$V$112))</f>
        <v>188794.66666666666</v>
      </c>
      <c r="H23" s="14">
        <f>SUMPRODUCT((Data!$F$2:$F$112&lt;=H$1)*(Data!$U$2:$U$112=$A23)*(Data!$V$2:$V$112))</f>
        <v>188794.66666666666</v>
      </c>
      <c r="I23" s="14">
        <f>SUMPRODUCT((Data!$F$2:$F$112&lt;=I$1)*(Data!$U$2:$U$112=$A23)*(Data!$V$2:$V$112))</f>
        <v>188794.66666666666</v>
      </c>
      <c r="J23" s="14">
        <f>SUMPRODUCT((Data!$F$2:$F$112&lt;=J$1)*(Data!$U$2:$U$112=$A23)*(Data!$V$2:$V$112))</f>
        <v>188794.66666666666</v>
      </c>
      <c r="K23" s="14">
        <f t="shared" ref="K23:K26" si="9">SUM(B23:J23)</f>
        <v>1699152.0000000002</v>
      </c>
    </row>
    <row r="24" spans="1:11" x14ac:dyDescent="0.2">
      <c r="A24" t="s">
        <v>124</v>
      </c>
      <c r="B24" s="14">
        <f>SUMPRODUCT((Data!$F$2:$F$112&lt;=B$1)*(Data!$U$2:$U$112=$A24)*(Data!$V$2:$V$112))</f>
        <v>59921.333333333328</v>
      </c>
      <c r="C24" s="14">
        <f>SUMPRODUCT((Data!$F$2:$F$112&lt;=C$1)*(Data!$U$2:$U$112=$A24)*(Data!$V$2:$V$112))</f>
        <v>59921.333333333328</v>
      </c>
      <c r="D24" s="14">
        <f>SUMPRODUCT((Data!$F$2:$F$112&lt;=D$1)*(Data!$U$2:$U$112=$A24)*(Data!$V$2:$V$112))</f>
        <v>59921.333333333328</v>
      </c>
      <c r="E24" s="14">
        <f>SUMPRODUCT((Data!$F$2:$F$112&lt;=E$1)*(Data!$U$2:$U$112=$A24)*(Data!$V$2:$V$112))</f>
        <v>59921.333333333328</v>
      </c>
      <c r="F24" s="14">
        <f>SUMPRODUCT((Data!$F$2:$F$112&lt;=F$1)*(Data!$U$2:$U$112=$A24)*(Data!$V$2:$V$112))</f>
        <v>59921.333333333328</v>
      </c>
      <c r="G24" s="14">
        <f>SUMPRODUCT((Data!$F$2:$F$112&lt;=G$1)*(Data!$U$2:$U$112=$A24)*(Data!$V$2:$V$112))</f>
        <v>59921.333333333328</v>
      </c>
      <c r="H24" s="14">
        <f>SUMPRODUCT((Data!$F$2:$F$112&lt;=H$1)*(Data!$U$2:$U$112=$A24)*(Data!$V$2:$V$112))</f>
        <v>59921.333333333328</v>
      </c>
      <c r="I24" s="14">
        <f>SUMPRODUCT((Data!$F$2:$F$112&lt;=I$1)*(Data!$U$2:$U$112=$A24)*(Data!$V$2:$V$112))</f>
        <v>59921.333333333328</v>
      </c>
      <c r="J24" s="14">
        <f>SUMPRODUCT((Data!$F$2:$F$112&lt;=J$1)*(Data!$U$2:$U$112=$A24)*(Data!$V$2:$V$112))</f>
        <v>59921.333333333328</v>
      </c>
      <c r="K24" s="14">
        <f t="shared" si="9"/>
        <v>539291.99999999988</v>
      </c>
    </row>
    <row r="25" spans="1:11" x14ac:dyDescent="0.2">
      <c r="A25" t="s">
        <v>332</v>
      </c>
      <c r="B25" s="14">
        <f>SUMPRODUCT((Data!$F$2:$F$112&lt;=B$1)*(Data!$U$2:$U$112=$A25)*(Data!$V$2:$V$112))</f>
        <v>74639.5</v>
      </c>
      <c r="C25" s="14">
        <f>SUMPRODUCT((Data!$F$2:$F$112&lt;=C$1)*(Data!$U$2:$U$112=$A25)*(Data!$V$2:$V$112))</f>
        <v>74639.5</v>
      </c>
      <c r="D25" s="14">
        <f>SUMPRODUCT((Data!$F$2:$F$112&lt;=D$1)*(Data!$U$2:$U$112=$A25)*(Data!$V$2:$V$112))</f>
        <v>74639.5</v>
      </c>
      <c r="E25" s="14">
        <f>SUMPRODUCT((Data!$F$2:$F$112&lt;=E$1)*(Data!$U$2:$U$112=$A25)*(Data!$V$2:$V$112))</f>
        <v>74639.5</v>
      </c>
      <c r="F25" s="14">
        <f>SUMPRODUCT((Data!$F$2:$F$112&lt;=F$1)*(Data!$U$2:$U$112=$A25)*(Data!$V$2:$V$112))</f>
        <v>74639.5</v>
      </c>
      <c r="G25" s="14">
        <f>SUMPRODUCT((Data!$F$2:$F$112&lt;=G$1)*(Data!$U$2:$U$112=$A25)*(Data!$V$2:$V$112))</f>
        <v>74639.5</v>
      </c>
      <c r="H25" s="14">
        <f>SUMPRODUCT((Data!$F$2:$F$112&lt;=H$1)*(Data!$U$2:$U$112=$A25)*(Data!$V$2:$V$112))</f>
        <v>74639.5</v>
      </c>
      <c r="I25" s="14">
        <f>SUMPRODUCT((Data!$F$2:$F$112&lt;=I$1)*(Data!$U$2:$U$112=$A25)*(Data!$V$2:$V$112))</f>
        <v>74639.5</v>
      </c>
      <c r="J25" s="14">
        <f>SUMPRODUCT((Data!$F$2:$F$112&lt;=J$1)*(Data!$U$2:$U$112=$A25)*(Data!$V$2:$V$112))</f>
        <v>74639.5</v>
      </c>
      <c r="K25" s="14">
        <f t="shared" ref="K25" si="10">SUM(B25:J25)</f>
        <v>671755.5</v>
      </c>
    </row>
    <row r="26" spans="1:11" x14ac:dyDescent="0.2">
      <c r="A26" t="s">
        <v>108</v>
      </c>
      <c r="B26" s="14">
        <f>SUMPRODUCT((Data!$F$2:$F$112&lt;=B$1)*(Data!$U$2:$U$112=$A26)*(Data!$V$2:$V$112))</f>
        <v>223712.6666666666</v>
      </c>
      <c r="C26" s="14">
        <f>SUMPRODUCT((Data!$F$2:$F$112&lt;=C$1)*(Data!$U$2:$U$112=$A26)*(Data!$V$2:$V$112))</f>
        <v>223712.6666666666</v>
      </c>
      <c r="D26" s="14">
        <f>SUMPRODUCT((Data!$F$2:$F$112&lt;=D$1)*(Data!$U$2:$U$112=$A26)*(Data!$V$2:$V$112))</f>
        <v>223712.6666666666</v>
      </c>
      <c r="E26" s="14">
        <f>SUMPRODUCT((Data!$F$2:$F$112&lt;=E$1)*(Data!$U$2:$U$112=$A26)*(Data!$V$2:$V$112))</f>
        <v>223712.6666666666</v>
      </c>
      <c r="F26" s="14">
        <f>SUMPRODUCT((Data!$F$2:$F$112&lt;=F$1)*(Data!$U$2:$U$112=$A26)*(Data!$V$2:$V$112))</f>
        <v>223712.6666666666</v>
      </c>
      <c r="G26" s="14">
        <f>SUMPRODUCT((Data!$F$2:$F$112&lt;=G$1)*(Data!$U$2:$U$112=$A26)*(Data!$V$2:$V$112))</f>
        <v>223712.6666666666</v>
      </c>
      <c r="H26" s="14">
        <f>SUMPRODUCT((Data!$F$2:$F$112&lt;=H$1)*(Data!$U$2:$U$112=$A26)*(Data!$V$2:$V$112))</f>
        <v>223712.6666666666</v>
      </c>
      <c r="I26" s="14">
        <f>SUMPRODUCT((Data!$F$2:$F$112&lt;=I$1)*(Data!$U$2:$U$112=$A26)*(Data!$V$2:$V$112))</f>
        <v>223712.6666666666</v>
      </c>
      <c r="J26" s="14">
        <f>SUMPRODUCT((Data!$F$2:$F$112&lt;=J$1)*(Data!$U$2:$U$112=$A26)*(Data!$V$2:$V$112))</f>
        <v>223712.6666666666</v>
      </c>
      <c r="K26" s="14">
        <f t="shared" si="9"/>
        <v>2013413.9999999991</v>
      </c>
    </row>
    <row r="27" spans="1:11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">
      <c r="A28" s="22" t="s">
        <v>109</v>
      </c>
      <c r="B28" s="17">
        <f t="shared" ref="B28" si="11">SUM(B22:B27)</f>
        <v>716068.16666666651</v>
      </c>
      <c r="C28" s="17">
        <f t="shared" ref="C28" si="12">SUM(C22:C27)</f>
        <v>716068.16666666651</v>
      </c>
      <c r="D28" s="17">
        <f t="shared" ref="D28" si="13">SUM(D22:D27)</f>
        <v>716068.16666666651</v>
      </c>
      <c r="E28" s="17">
        <f t="shared" ref="E28" si="14">SUM(E22:E27)</f>
        <v>716068.16666666651</v>
      </c>
      <c r="F28" s="17">
        <f t="shared" ref="F28" si="15">SUM(F22:F27)</f>
        <v>716068.16666666651</v>
      </c>
      <c r="G28" s="17">
        <f t="shared" ref="G28" si="16">SUM(G22:G27)</f>
        <v>716068.16666666651</v>
      </c>
      <c r="H28" s="17">
        <f t="shared" ref="H28" si="17">SUM(H22:H27)</f>
        <v>716068.16666666651</v>
      </c>
      <c r="I28" s="17">
        <f t="shared" ref="I28" si="18">SUM(I22:I27)</f>
        <v>716068.16666666651</v>
      </c>
      <c r="J28" s="17">
        <f t="shared" ref="J28:K28" si="19">SUM(J22:J27)</f>
        <v>716068.16666666651</v>
      </c>
      <c r="K28" s="17">
        <f t="shared" si="19"/>
        <v>6444613.4999999991</v>
      </c>
    </row>
    <row r="30" spans="1:11" x14ac:dyDescent="0.2">
      <c r="A30" t="s">
        <v>113</v>
      </c>
      <c r="B30" s="14">
        <f>SUMPRODUCT((Data!$F$2:$F$112&lt;=B$1)*(Data!$V$2:$V$112))</f>
        <v>716068.1666666664</v>
      </c>
      <c r="C30" s="14">
        <f>SUMPRODUCT((Data!$F$2:$F$112&lt;=C$1)*(Data!$V$2:$V$112))</f>
        <v>716068.1666666664</v>
      </c>
      <c r="D30" s="14">
        <f>SUMPRODUCT((Data!$F$2:$F$112&lt;=D$1)*(Data!$V$2:$V$112))</f>
        <v>716068.1666666664</v>
      </c>
      <c r="E30" s="14">
        <f>SUMPRODUCT((Data!$F$2:$F$112&lt;=E$1)*(Data!$V$2:$V$112))</f>
        <v>716068.1666666664</v>
      </c>
      <c r="F30" s="14">
        <f>SUMPRODUCT((Data!$F$2:$F$112&lt;=F$1)*(Data!$V$2:$V$112))</f>
        <v>716068.1666666664</v>
      </c>
      <c r="G30" s="14">
        <f>SUMPRODUCT((Data!$F$2:$F$112&lt;=G$1)*(Data!$V$2:$V$112))</f>
        <v>716068.1666666664</v>
      </c>
      <c r="H30" s="14">
        <f>SUMPRODUCT((Data!$F$2:$F$112&lt;=H$1)*(Data!$V$2:$V$112))</f>
        <v>716068.1666666664</v>
      </c>
      <c r="I30" s="14">
        <f>SUMPRODUCT((Data!$F$2:$F$112&lt;=I$1)*(Data!$V$2:$V$112))</f>
        <v>716068.1666666664</v>
      </c>
      <c r="J30" s="14">
        <f>SUMPRODUCT((Data!$F$2:$F$112&lt;=J$1)*(Data!$V$2:$V$112))</f>
        <v>716068.1666666664</v>
      </c>
      <c r="K30" s="14"/>
    </row>
    <row r="31" spans="1:11" x14ac:dyDescent="0.2">
      <c r="A31" t="s">
        <v>123</v>
      </c>
      <c r="B31">
        <f t="shared" ref="B31:J31" si="20">B30-B28</f>
        <v>0</v>
      </c>
      <c r="C31">
        <f t="shared" si="20"/>
        <v>0</v>
      </c>
      <c r="D31">
        <f t="shared" si="20"/>
        <v>0</v>
      </c>
      <c r="E31">
        <f t="shared" si="20"/>
        <v>0</v>
      </c>
      <c r="F31">
        <f t="shared" si="20"/>
        <v>0</v>
      </c>
      <c r="G31">
        <f t="shared" si="20"/>
        <v>0</v>
      </c>
      <c r="H31">
        <f t="shared" si="20"/>
        <v>0</v>
      </c>
      <c r="I31">
        <f t="shared" si="20"/>
        <v>0</v>
      </c>
      <c r="J31">
        <f t="shared" si="20"/>
        <v>0</v>
      </c>
    </row>
    <row r="34" spans="1:11" ht="12.75" customHeight="1" x14ac:dyDescent="0.25">
      <c r="A34" s="44" t="s">
        <v>122</v>
      </c>
      <c r="B34" s="45">
        <f>Lists!$O$2</f>
        <v>44835</v>
      </c>
      <c r="C34" s="45">
        <f>EDATE(B34,1)</f>
        <v>44866</v>
      </c>
      <c r="D34" s="45">
        <f t="shared" ref="D34:J34" si="21">EDATE(C34,1)</f>
        <v>44896</v>
      </c>
      <c r="E34" s="45">
        <f t="shared" si="21"/>
        <v>44927</v>
      </c>
      <c r="F34" s="45">
        <f t="shared" si="21"/>
        <v>44958</v>
      </c>
      <c r="G34" s="45">
        <f t="shared" si="21"/>
        <v>44986</v>
      </c>
      <c r="H34" s="45">
        <f t="shared" si="21"/>
        <v>45017</v>
      </c>
      <c r="I34" s="45">
        <f t="shared" si="21"/>
        <v>45047</v>
      </c>
      <c r="J34" s="45">
        <f t="shared" si="21"/>
        <v>45078</v>
      </c>
      <c r="K34" s="45" t="s">
        <v>109</v>
      </c>
    </row>
    <row r="35" spans="1:11" x14ac:dyDescent="0.2">
      <c r="A35" t="s">
        <v>105</v>
      </c>
      <c r="B35" s="14">
        <f>SUMPRODUCT((Data!$F$2:$F$112&lt;=B$1)*(Data!$U$2:$U$112=$A35))</f>
        <v>13</v>
      </c>
      <c r="C35" s="14">
        <f>SUMPRODUCT((Data!$F$2:$F$112&lt;=C$1)*(Data!$U$2:$U$112=$A35))</f>
        <v>13</v>
      </c>
      <c r="D35" s="14">
        <f>SUMPRODUCT((Data!$F$2:$F$112&lt;=D$1)*(Data!$U$2:$U$112=$A35))</f>
        <v>13</v>
      </c>
      <c r="E35" s="14">
        <f>SUMPRODUCT((Data!$F$2:$F$112&lt;=E$1)*(Data!$U$2:$U$112=$A35))</f>
        <v>13</v>
      </c>
      <c r="F35" s="14">
        <f>SUMPRODUCT((Data!$F$2:$F$112&lt;=F$1)*(Data!$U$2:$U$112=$A35))</f>
        <v>13</v>
      </c>
      <c r="G35" s="14">
        <f>SUMPRODUCT((Data!$F$2:$F$112&lt;=G$1)*(Data!$U$2:$U$112=$A35))</f>
        <v>13</v>
      </c>
      <c r="H35" s="14">
        <f>SUMPRODUCT((Data!$F$2:$F$112&lt;=H$1)*(Data!$U$2:$U$112=$A35))</f>
        <v>13</v>
      </c>
      <c r="I35" s="14">
        <f>SUMPRODUCT((Data!$F$2:$F$112&lt;=I$1)*(Data!$U$2:$U$112=$A35))</f>
        <v>13</v>
      </c>
      <c r="J35" s="14">
        <f>SUMPRODUCT((Data!$F$2:$F$112&lt;=J$1)*(Data!$U$2:$U$112=$A35))</f>
        <v>13</v>
      </c>
      <c r="K35" s="15">
        <f>SUM(B35:J35)</f>
        <v>117</v>
      </c>
    </row>
    <row r="36" spans="1:11" x14ac:dyDescent="0.2">
      <c r="A36" t="s">
        <v>110</v>
      </c>
      <c r="B36" s="14">
        <f>SUMPRODUCT((Data!$F$2:$F$112&lt;=B$1)*(Data!$U$2:$U$112=$A36))</f>
        <v>37</v>
      </c>
      <c r="C36" s="14">
        <f>SUMPRODUCT((Data!$F$2:$F$112&lt;=C$1)*(Data!$U$2:$U$112=$A36))</f>
        <v>37</v>
      </c>
      <c r="D36" s="14">
        <f>SUMPRODUCT((Data!$F$2:$F$112&lt;=D$1)*(Data!$U$2:$U$112=$A36))</f>
        <v>37</v>
      </c>
      <c r="E36" s="14">
        <f>SUMPRODUCT((Data!$F$2:$F$112&lt;=E$1)*(Data!$U$2:$U$112=$A36))</f>
        <v>37</v>
      </c>
      <c r="F36" s="14">
        <f>SUMPRODUCT((Data!$F$2:$F$112&lt;=F$1)*(Data!$U$2:$U$112=$A36))</f>
        <v>37</v>
      </c>
      <c r="G36" s="14">
        <f>SUMPRODUCT((Data!$F$2:$F$112&lt;=G$1)*(Data!$U$2:$U$112=$A36))</f>
        <v>37</v>
      </c>
      <c r="H36" s="14">
        <f>SUMPRODUCT((Data!$F$2:$F$112&lt;=H$1)*(Data!$U$2:$U$112=$A36))</f>
        <v>37</v>
      </c>
      <c r="I36" s="14">
        <f>SUMPRODUCT((Data!$F$2:$F$112&lt;=I$1)*(Data!$U$2:$U$112=$A36))</f>
        <v>37</v>
      </c>
      <c r="J36" s="14">
        <f>SUMPRODUCT((Data!$F$2:$F$112&lt;=J$1)*(Data!$U$2:$U$112=$A36))</f>
        <v>37</v>
      </c>
      <c r="K36" s="15">
        <f t="shared" ref="K36:K39" si="22">SUM(B36:J36)</f>
        <v>333</v>
      </c>
    </row>
    <row r="37" spans="1:11" x14ac:dyDescent="0.2">
      <c r="A37" t="s">
        <v>124</v>
      </c>
      <c r="B37" s="14">
        <f>SUMPRODUCT((Data!$F$2:$F$112&lt;=B$1)*(Data!$U$2:$U$112=$A37))</f>
        <v>8</v>
      </c>
      <c r="C37" s="14">
        <f>SUMPRODUCT((Data!$F$2:$F$112&lt;=C$1)*(Data!$U$2:$U$112=$A37))</f>
        <v>8</v>
      </c>
      <c r="D37" s="14">
        <f>SUMPRODUCT((Data!$F$2:$F$112&lt;=D$1)*(Data!$U$2:$U$112=$A37))</f>
        <v>8</v>
      </c>
      <c r="E37" s="14">
        <f>SUMPRODUCT((Data!$F$2:$F$112&lt;=E$1)*(Data!$U$2:$U$112=$A37))</f>
        <v>8</v>
      </c>
      <c r="F37" s="14">
        <f>SUMPRODUCT((Data!$F$2:$F$112&lt;=F$1)*(Data!$U$2:$U$112=$A37))</f>
        <v>8</v>
      </c>
      <c r="G37" s="14">
        <f>SUMPRODUCT((Data!$F$2:$F$112&lt;=G$1)*(Data!$U$2:$U$112=$A37))</f>
        <v>8</v>
      </c>
      <c r="H37" s="14">
        <f>SUMPRODUCT((Data!$F$2:$F$112&lt;=H$1)*(Data!$U$2:$U$112=$A37))</f>
        <v>8</v>
      </c>
      <c r="I37" s="14">
        <f>SUMPRODUCT((Data!$F$2:$F$112&lt;=I$1)*(Data!$U$2:$U$112=$A37))</f>
        <v>8</v>
      </c>
      <c r="J37" s="14">
        <f>SUMPRODUCT((Data!$F$2:$F$112&lt;=J$1)*(Data!$U$2:$U$112=$A37))</f>
        <v>8</v>
      </c>
      <c r="K37" s="15">
        <f t="shared" si="22"/>
        <v>72</v>
      </c>
    </row>
    <row r="38" spans="1:11" x14ac:dyDescent="0.2">
      <c r="A38" t="s">
        <v>332</v>
      </c>
      <c r="B38" s="14">
        <f>SUMPRODUCT((Data!$F$2:$F$112&lt;=B$1)*(Data!$U$2:$U$112=$A38))</f>
        <v>9</v>
      </c>
      <c r="C38" s="14">
        <f>SUMPRODUCT((Data!$F$2:$F$112&lt;=C$1)*(Data!$U$2:$U$112=$A38))</f>
        <v>9</v>
      </c>
      <c r="D38" s="14">
        <f>SUMPRODUCT((Data!$F$2:$F$112&lt;=D$1)*(Data!$U$2:$U$112=$A38))</f>
        <v>9</v>
      </c>
      <c r="E38" s="14">
        <f>SUMPRODUCT((Data!$F$2:$F$112&lt;=E$1)*(Data!$U$2:$U$112=$A38))</f>
        <v>9</v>
      </c>
      <c r="F38" s="14">
        <f>SUMPRODUCT((Data!$F$2:$F$112&lt;=F$1)*(Data!$U$2:$U$112=$A38))</f>
        <v>9</v>
      </c>
      <c r="G38" s="14">
        <f>SUMPRODUCT((Data!$F$2:$F$112&lt;=G$1)*(Data!$U$2:$U$112=$A38))</f>
        <v>9</v>
      </c>
      <c r="H38" s="14">
        <f>SUMPRODUCT((Data!$F$2:$F$112&lt;=H$1)*(Data!$U$2:$U$112=$A38))</f>
        <v>9</v>
      </c>
      <c r="I38" s="14">
        <f>SUMPRODUCT((Data!$F$2:$F$112&lt;=I$1)*(Data!$U$2:$U$112=$A38))</f>
        <v>9</v>
      </c>
      <c r="J38" s="14">
        <f>SUMPRODUCT((Data!$F$2:$F$112&lt;=J$1)*(Data!$U$2:$U$112=$A38))</f>
        <v>9</v>
      </c>
      <c r="K38" s="15">
        <f t="shared" si="22"/>
        <v>81</v>
      </c>
    </row>
    <row r="39" spans="1:11" x14ac:dyDescent="0.2">
      <c r="A39" t="s">
        <v>108</v>
      </c>
      <c r="B39" s="14">
        <f>SUMPRODUCT((Data!$F$2:$F$112&lt;=B$1)*(Data!$U$2:$U$112=$A39))</f>
        <v>41</v>
      </c>
      <c r="C39" s="14">
        <f>SUMPRODUCT((Data!$F$2:$F$112&lt;=C$1)*(Data!$U$2:$U$112=$A39))</f>
        <v>41</v>
      </c>
      <c r="D39" s="14">
        <f>SUMPRODUCT((Data!$F$2:$F$112&lt;=D$1)*(Data!$U$2:$U$112=$A39))</f>
        <v>41</v>
      </c>
      <c r="E39" s="14">
        <f>SUMPRODUCT((Data!$F$2:$F$112&lt;=E$1)*(Data!$U$2:$U$112=$A39))</f>
        <v>41</v>
      </c>
      <c r="F39" s="14">
        <f>SUMPRODUCT((Data!$F$2:$F$112&lt;=F$1)*(Data!$U$2:$U$112=$A39))</f>
        <v>41</v>
      </c>
      <c r="G39" s="14">
        <f>SUMPRODUCT((Data!$F$2:$F$112&lt;=G$1)*(Data!$U$2:$U$112=$A39))</f>
        <v>41</v>
      </c>
      <c r="H39" s="14">
        <f>SUMPRODUCT((Data!$F$2:$F$112&lt;=H$1)*(Data!$U$2:$U$112=$A39))</f>
        <v>41</v>
      </c>
      <c r="I39" s="14">
        <f>SUMPRODUCT((Data!$F$2:$F$112&lt;=I$1)*(Data!$U$2:$U$112=$A39))</f>
        <v>41</v>
      </c>
      <c r="J39" s="14">
        <f>SUMPRODUCT((Data!$F$2:$F$112&lt;=J$1)*(Data!$U$2:$U$112=$A39))</f>
        <v>41</v>
      </c>
      <c r="K39" s="15">
        <f t="shared" si="22"/>
        <v>369</v>
      </c>
    </row>
    <row r="41" spans="1:11" x14ac:dyDescent="0.2">
      <c r="A41" t="s">
        <v>109</v>
      </c>
      <c r="B41" s="14">
        <f t="shared" ref="B41" si="23">SUM(B35:B40)</f>
        <v>108</v>
      </c>
      <c r="C41" s="14">
        <f>SUM(C35:C40)</f>
        <v>108</v>
      </c>
      <c r="D41" s="14">
        <f t="shared" ref="D41" si="24">SUM(D35:D40)</f>
        <v>108</v>
      </c>
      <c r="E41" s="14">
        <f t="shared" ref="E41" si="25">SUM(E35:E40)</f>
        <v>108</v>
      </c>
      <c r="F41" s="14">
        <f t="shared" ref="F41" si="26">SUM(F35:F40)</f>
        <v>108</v>
      </c>
      <c r="G41" s="14">
        <f t="shared" ref="G41" si="27">SUM(G35:G40)</f>
        <v>108</v>
      </c>
      <c r="H41" s="14">
        <f t="shared" ref="H41" si="28">SUM(H35:H40)</f>
        <v>108</v>
      </c>
      <c r="I41" s="14">
        <f t="shared" ref="I41" si="29">SUM(I35:I40)</f>
        <v>108</v>
      </c>
      <c r="J41" s="14">
        <f t="shared" ref="J41" si="30">SUM(J35:J40)</f>
        <v>108</v>
      </c>
    </row>
    <row r="44" spans="1:11" x14ac:dyDescent="0.2">
      <c r="A44" s="58" t="s">
        <v>114</v>
      </c>
      <c r="B44" s="59" t="s">
        <v>373</v>
      </c>
    </row>
    <row r="45" spans="1:11" x14ac:dyDescent="0.2">
      <c r="A45" t="s">
        <v>125</v>
      </c>
      <c r="B45" s="15">
        <f>K2</f>
        <v>1530457.4999999995</v>
      </c>
    </row>
    <row r="46" spans="1:11" x14ac:dyDescent="0.2">
      <c r="A46" t="s">
        <v>126</v>
      </c>
      <c r="B46" s="15">
        <f>K3</f>
        <v>2056606.4999999991</v>
      </c>
    </row>
    <row r="47" spans="1:11" x14ac:dyDescent="0.2">
      <c r="A47" t="s">
        <v>127</v>
      </c>
      <c r="B47" s="15">
        <f>K4</f>
        <v>1550932.5</v>
      </c>
    </row>
    <row r="48" spans="1:11" x14ac:dyDescent="0.2">
      <c r="A48" t="s">
        <v>138</v>
      </c>
      <c r="B48" s="15">
        <f>K5</f>
        <v>1306617</v>
      </c>
    </row>
    <row r="51" spans="1:16" x14ac:dyDescent="0.2">
      <c r="A51" s="39" t="s">
        <v>118</v>
      </c>
      <c r="B51" s="39" t="s">
        <v>116</v>
      </c>
      <c r="C51" s="39" t="s">
        <v>117</v>
      </c>
    </row>
    <row r="52" spans="1:16" x14ac:dyDescent="0.2">
      <c r="A52" t="s">
        <v>105</v>
      </c>
      <c r="B52" s="15">
        <f>C22</f>
        <v>169000</v>
      </c>
      <c r="C52" s="15">
        <f>K22</f>
        <v>1521000</v>
      </c>
      <c r="L52" s="31"/>
      <c r="M52" s="31"/>
      <c r="N52" s="31"/>
      <c r="O52" s="31"/>
      <c r="P52" s="31"/>
    </row>
    <row r="53" spans="1:16" x14ac:dyDescent="0.2">
      <c r="A53" t="s">
        <v>110</v>
      </c>
      <c r="B53" s="15">
        <f>C23</f>
        <v>188794.66666666666</v>
      </c>
      <c r="C53" s="15">
        <f>K23</f>
        <v>1699152.0000000002</v>
      </c>
      <c r="L53" s="31"/>
      <c r="M53" s="31"/>
      <c r="N53" s="31"/>
      <c r="O53" s="31"/>
      <c r="P53" s="31"/>
    </row>
    <row r="54" spans="1:16" x14ac:dyDescent="0.2">
      <c r="A54" t="s">
        <v>124</v>
      </c>
      <c r="B54" s="15">
        <f>C24</f>
        <v>59921.333333333328</v>
      </c>
      <c r="C54" s="15">
        <f>K24</f>
        <v>539291.99999999988</v>
      </c>
      <c r="L54" s="31"/>
      <c r="M54" s="31"/>
      <c r="N54" s="31"/>
      <c r="O54" s="31"/>
      <c r="P54" s="31"/>
    </row>
    <row r="55" spans="1:16" x14ac:dyDescent="0.2">
      <c r="A55" t="s">
        <v>332</v>
      </c>
      <c r="B55" s="15">
        <f>C25</f>
        <v>74639.5</v>
      </c>
      <c r="C55" s="15">
        <f>K25</f>
        <v>671755.5</v>
      </c>
      <c r="L55" s="31"/>
      <c r="M55" s="31"/>
      <c r="N55" s="31"/>
      <c r="O55" s="31"/>
      <c r="P55" s="31"/>
    </row>
    <row r="56" spans="1:16" x14ac:dyDescent="0.2">
      <c r="A56" t="s">
        <v>108</v>
      </c>
      <c r="B56" s="15">
        <f>C26</f>
        <v>223712.6666666666</v>
      </c>
      <c r="C56" s="15">
        <f>K26</f>
        <v>2013413.9999999991</v>
      </c>
      <c r="L56" s="31"/>
      <c r="M56" s="31"/>
      <c r="N56" s="31"/>
      <c r="O56" s="31"/>
      <c r="P56" s="31"/>
    </row>
    <row r="57" spans="1:16" x14ac:dyDescent="0.2">
      <c r="L57" s="31"/>
      <c r="M57" s="31"/>
      <c r="N57" s="31"/>
      <c r="O57" s="31"/>
      <c r="P57" s="31"/>
    </row>
    <row r="58" spans="1:16" x14ac:dyDescent="0.2">
      <c r="L58" s="31"/>
      <c r="M58" s="31"/>
      <c r="N58" s="31"/>
      <c r="O58" s="31"/>
      <c r="P58" s="31"/>
    </row>
    <row r="59" spans="1:16" x14ac:dyDescent="0.2">
      <c r="A59" s="39"/>
      <c r="B59" s="39" t="s">
        <v>335</v>
      </c>
      <c r="C59" s="47" t="s">
        <v>336</v>
      </c>
      <c r="D59" s="48" t="s">
        <v>337</v>
      </c>
      <c r="E59" s="47" t="s">
        <v>339</v>
      </c>
      <c r="F59" s="39" t="s">
        <v>338</v>
      </c>
      <c r="G59" s="39" t="s">
        <v>109</v>
      </c>
    </row>
    <row r="60" spans="1:16" x14ac:dyDescent="0.2">
      <c r="A60" t="s">
        <v>125</v>
      </c>
      <c r="B60">
        <f>SUMPRODUCT((Data!$H$2:$H$109=B$59)*(Data!$S$2:$S$109=$A60))</f>
        <v>4</v>
      </c>
      <c r="C60">
        <f>SUMPRODUCT((Data!$H$2:$H$109=C$59)*(Data!$S$2:$S$109=$A60))</f>
        <v>8</v>
      </c>
      <c r="D60">
        <f>SUMPRODUCT((Data!$H$2:$H$109=D$59)*(Data!$S$2:$S$109=$A60))</f>
        <v>6</v>
      </c>
      <c r="E60">
        <f>SUMPRODUCT((Data!$H$2:$H$109=E$59)*(Data!$S$2:$S$109=$A60))</f>
        <v>6</v>
      </c>
      <c r="F60">
        <f>SUMPRODUCT((Data!$H$2:$H$109=F$59)*(Data!$S$2:$S$109=$A60))</f>
        <v>13</v>
      </c>
      <c r="G60">
        <f>SUM(B60:F60)</f>
        <v>37</v>
      </c>
    </row>
    <row r="61" spans="1:16" x14ac:dyDescent="0.2">
      <c r="A61" t="s">
        <v>126</v>
      </c>
      <c r="B61">
        <f>SUMPRODUCT((Data!$H$2:$H$109=B$59)*(Data!$S$2:$S$109=$A61))</f>
        <v>5</v>
      </c>
      <c r="C61">
        <f>SUMPRODUCT((Data!$H$2:$H$109=C$59)*(Data!$S$2:$S$109=$A61))</f>
        <v>2</v>
      </c>
      <c r="D61">
        <f>SUMPRODUCT((Data!$H$2:$H$109=D$59)*(Data!$S$2:$S$109=$A61))</f>
        <v>2</v>
      </c>
      <c r="E61">
        <f>SUMPRODUCT((Data!$H$2:$H$109=E$59)*(Data!$S$2:$S$109=$A61))</f>
        <v>8</v>
      </c>
      <c r="F61">
        <f>SUMPRODUCT((Data!$H$2:$H$109=F$59)*(Data!$S$2:$S$109=$A61))</f>
        <v>6</v>
      </c>
      <c r="G61">
        <f t="shared" ref="G61:G63" si="31">SUM(B61:F61)</f>
        <v>23</v>
      </c>
    </row>
    <row r="62" spans="1:16" x14ac:dyDescent="0.2">
      <c r="A62" t="s">
        <v>127</v>
      </c>
      <c r="B62">
        <f>SUMPRODUCT((Data!$H$2:$H$109=B$59)*(Data!$S$2:$S$109=$A62))</f>
        <v>0</v>
      </c>
      <c r="C62">
        <f>SUMPRODUCT((Data!$H$2:$H$109=C$59)*(Data!$S$2:$S$109=$A62))</f>
        <v>9</v>
      </c>
      <c r="D62">
        <f>SUMPRODUCT((Data!$H$2:$H$109=D$59)*(Data!$S$2:$S$109=$A62))</f>
        <v>2</v>
      </c>
      <c r="E62">
        <f>SUMPRODUCT((Data!$H$2:$H$109=E$59)*(Data!$S$2:$S$109=$A62))</f>
        <v>4</v>
      </c>
      <c r="F62">
        <f>SUMPRODUCT((Data!$H$2:$H$109=F$59)*(Data!$S$2:$S$109=$A62))</f>
        <v>10</v>
      </c>
      <c r="G62">
        <f t="shared" si="31"/>
        <v>25</v>
      </c>
    </row>
    <row r="63" spans="1:16" x14ac:dyDescent="0.2">
      <c r="A63" t="s">
        <v>138</v>
      </c>
      <c r="B63">
        <f>SUMPRODUCT((Data!$H$2:$H$109=B$59)*(Data!$S$2:$S$109=$A63))</f>
        <v>0</v>
      </c>
      <c r="C63">
        <f>SUMPRODUCT((Data!$H$2:$H$109=C$59)*(Data!$S$2:$S$109=$A63))</f>
        <v>7</v>
      </c>
      <c r="D63">
        <f>SUMPRODUCT((Data!$H$2:$H$109=D$59)*(Data!$S$2:$S$109=$A63))</f>
        <v>2</v>
      </c>
      <c r="E63">
        <f>SUMPRODUCT((Data!$H$2:$H$109=E$59)*(Data!$S$2:$S$109=$A63))</f>
        <v>4</v>
      </c>
      <c r="F63">
        <f>SUMPRODUCT((Data!$H$2:$H$109=F$59)*(Data!$S$2:$S$109=$A63))</f>
        <v>10</v>
      </c>
      <c r="G63">
        <f t="shared" si="31"/>
        <v>23</v>
      </c>
    </row>
    <row r="66" spans="1:8" x14ac:dyDescent="0.2">
      <c r="A66" s="39" t="s">
        <v>375</v>
      </c>
      <c r="B66" s="39" t="s">
        <v>335</v>
      </c>
      <c r="C66" s="47" t="s">
        <v>336</v>
      </c>
      <c r="D66" s="48" t="s">
        <v>337</v>
      </c>
      <c r="E66" s="47" t="s">
        <v>339</v>
      </c>
      <c r="F66" s="39" t="s">
        <v>338</v>
      </c>
      <c r="G66" s="39" t="s">
        <v>109</v>
      </c>
    </row>
    <row r="67" spans="1:8" x14ac:dyDescent="0.2">
      <c r="A67" t="s">
        <v>125</v>
      </c>
      <c r="B67" s="31">
        <f>B60/$G60</f>
        <v>0.10810810810810811</v>
      </c>
      <c r="C67" s="31">
        <f t="shared" ref="C67:F67" si="32">C60/$G60</f>
        <v>0.21621621621621623</v>
      </c>
      <c r="D67" s="31">
        <f t="shared" si="32"/>
        <v>0.16216216216216217</v>
      </c>
      <c r="E67" s="31">
        <f t="shared" si="32"/>
        <v>0.16216216216216217</v>
      </c>
      <c r="F67" s="31">
        <f t="shared" si="32"/>
        <v>0.35135135135135137</v>
      </c>
      <c r="G67" s="31">
        <f>SUM(B67:F67)</f>
        <v>1</v>
      </c>
    </row>
    <row r="68" spans="1:8" x14ac:dyDescent="0.2">
      <c r="A68" t="s">
        <v>126</v>
      </c>
      <c r="B68" s="31">
        <f t="shared" ref="B68:F68" si="33">B61/$G61</f>
        <v>0.21739130434782608</v>
      </c>
      <c r="C68" s="31">
        <f t="shared" si="33"/>
        <v>8.6956521739130432E-2</v>
      </c>
      <c r="D68" s="31">
        <f t="shared" si="33"/>
        <v>8.6956521739130432E-2</v>
      </c>
      <c r="E68" s="31">
        <f t="shared" si="33"/>
        <v>0.34782608695652173</v>
      </c>
      <c r="F68" s="31">
        <f t="shared" si="33"/>
        <v>0.2608695652173913</v>
      </c>
      <c r="G68" s="31">
        <f t="shared" ref="G68:G70" si="34">SUM(B68:F68)</f>
        <v>1</v>
      </c>
    </row>
    <row r="69" spans="1:8" x14ac:dyDescent="0.2">
      <c r="A69" t="s">
        <v>127</v>
      </c>
      <c r="B69" s="31">
        <f t="shared" ref="B69:F69" si="35">B62/$G62</f>
        <v>0</v>
      </c>
      <c r="C69" s="31">
        <f t="shared" si="35"/>
        <v>0.36</v>
      </c>
      <c r="D69" s="31">
        <f t="shared" si="35"/>
        <v>0.08</v>
      </c>
      <c r="E69" s="31">
        <f t="shared" si="35"/>
        <v>0.16</v>
      </c>
      <c r="F69" s="31">
        <f t="shared" si="35"/>
        <v>0.4</v>
      </c>
      <c r="G69" s="31">
        <f t="shared" si="34"/>
        <v>1</v>
      </c>
    </row>
    <row r="70" spans="1:8" x14ac:dyDescent="0.2">
      <c r="A70" t="s">
        <v>138</v>
      </c>
      <c r="B70" s="31">
        <f t="shared" ref="B70:F70" si="36">B63/$G63</f>
        <v>0</v>
      </c>
      <c r="C70" s="31">
        <f t="shared" si="36"/>
        <v>0.30434782608695654</v>
      </c>
      <c r="D70" s="31">
        <f t="shared" si="36"/>
        <v>8.6956521739130432E-2</v>
      </c>
      <c r="E70" s="31">
        <f t="shared" si="36"/>
        <v>0.17391304347826086</v>
      </c>
      <c r="F70" s="31">
        <f t="shared" si="36"/>
        <v>0.43478260869565216</v>
      </c>
      <c r="G70" s="31">
        <f t="shared" si="34"/>
        <v>1</v>
      </c>
    </row>
    <row r="73" spans="1:8" x14ac:dyDescent="0.2">
      <c r="A73" s="39" t="s">
        <v>374</v>
      </c>
      <c r="B73" s="49" t="s">
        <v>19</v>
      </c>
      <c r="C73" s="49" t="s">
        <v>372</v>
      </c>
      <c r="D73" s="49" t="s">
        <v>38</v>
      </c>
      <c r="E73" s="2"/>
      <c r="F73" s="2"/>
      <c r="G73" s="2"/>
      <c r="H73" s="2"/>
    </row>
    <row r="74" spans="1:8" x14ac:dyDescent="0.2">
      <c r="A74" t="s">
        <v>105</v>
      </c>
      <c r="B74">
        <f>SUMPRODUCT((Data!$I$2:$I$109=B$73)*(Data!$U$2:$U$109=$A74))</f>
        <v>1</v>
      </c>
      <c r="C74">
        <f>SUMPRODUCT((Data!$I$2:$I$109=C$73)*(Data!$U$2:$U$109=$A74))</f>
        <v>9</v>
      </c>
      <c r="D74">
        <f>SUMPRODUCT((Data!$I$2:$I$109=D$73)*(Data!$U$2:$U$109=$A74))</f>
        <v>3</v>
      </c>
    </row>
    <row r="75" spans="1:8" x14ac:dyDescent="0.2">
      <c r="A75" t="s">
        <v>110</v>
      </c>
      <c r="B75">
        <f>SUMPRODUCT((Data!$I$2:$I$109=B$73)*(Data!$U$2:$U$109=$A75))</f>
        <v>16</v>
      </c>
      <c r="C75">
        <f>SUMPRODUCT((Data!$I$2:$I$109=C$73)*(Data!$U$2:$U$109=$A75))</f>
        <v>13</v>
      </c>
      <c r="D75">
        <f>SUMPRODUCT((Data!$I$2:$I$109=D$73)*(Data!$U$2:$U$109=$A75))</f>
        <v>8</v>
      </c>
    </row>
    <row r="76" spans="1:8" x14ac:dyDescent="0.2">
      <c r="A76" t="s">
        <v>124</v>
      </c>
      <c r="B76">
        <f>SUMPRODUCT((Data!$I$2:$I$109=B$73)*(Data!$U$2:$U$109=$A76))</f>
        <v>1</v>
      </c>
      <c r="C76">
        <f>SUMPRODUCT((Data!$I$2:$I$109=C$73)*(Data!$U$2:$U$109=$A76))</f>
        <v>7</v>
      </c>
      <c r="D76">
        <f>SUMPRODUCT((Data!$I$2:$I$109=D$73)*(Data!$U$2:$U$109=$A76))</f>
        <v>0</v>
      </c>
    </row>
    <row r="77" spans="1:8" x14ac:dyDescent="0.2">
      <c r="A77" t="s">
        <v>332</v>
      </c>
      <c r="B77">
        <f>SUMPRODUCT((Data!$I$2:$I$109=B$73)*(Data!$U$2:$U$109=$A77))</f>
        <v>2</v>
      </c>
      <c r="C77">
        <f>SUMPRODUCT((Data!$I$2:$I$109=C$73)*(Data!$U$2:$U$109=$A77))</f>
        <v>7</v>
      </c>
      <c r="D77">
        <f>SUMPRODUCT((Data!$I$2:$I$109=D$73)*(Data!$U$2:$U$109=$A77))</f>
        <v>0</v>
      </c>
    </row>
    <row r="78" spans="1:8" x14ac:dyDescent="0.2">
      <c r="A78" t="s">
        <v>108</v>
      </c>
      <c r="B78">
        <f>SUMPRODUCT((Data!$I$2:$I$109=B$73)*(Data!$U$2:$U$109=$A78))</f>
        <v>9</v>
      </c>
      <c r="C78">
        <f>SUMPRODUCT((Data!$I$2:$I$109=C$73)*(Data!$U$2:$U$109=$A78))</f>
        <v>19</v>
      </c>
      <c r="D78">
        <f>SUMPRODUCT((Data!$I$2:$I$109=D$73)*(Data!$U$2:$U$109=$A78))</f>
        <v>13</v>
      </c>
    </row>
    <row r="81" spans="1:4" x14ac:dyDescent="0.2">
      <c r="A81" s="39"/>
      <c r="B81" s="49" t="s">
        <v>19</v>
      </c>
      <c r="C81" s="49" t="s">
        <v>372</v>
      </c>
      <c r="D81" s="49" t="s">
        <v>38</v>
      </c>
    </row>
    <row r="82" spans="1:4" x14ac:dyDescent="0.2">
      <c r="A82" t="s">
        <v>105</v>
      </c>
      <c r="B82">
        <v>10</v>
      </c>
      <c r="C82">
        <v>9</v>
      </c>
      <c r="D82">
        <v>4</v>
      </c>
    </row>
    <row r="83" spans="1:4" x14ac:dyDescent="0.2">
      <c r="A83" t="s">
        <v>110</v>
      </c>
      <c r="B83">
        <v>13</v>
      </c>
      <c r="C83">
        <v>4</v>
      </c>
      <c r="D83">
        <v>6</v>
      </c>
    </row>
    <row r="84" spans="1:4" x14ac:dyDescent="0.2">
      <c r="A84" t="s">
        <v>124</v>
      </c>
      <c r="B84">
        <v>6</v>
      </c>
      <c r="C84">
        <v>7</v>
      </c>
      <c r="D84">
        <v>8</v>
      </c>
    </row>
    <row r="85" spans="1:4" x14ac:dyDescent="0.2">
      <c r="A85" t="s">
        <v>332</v>
      </c>
      <c r="B85">
        <v>7</v>
      </c>
      <c r="C85">
        <v>10</v>
      </c>
      <c r="D85">
        <v>9</v>
      </c>
    </row>
    <row r="86" spans="1:4" x14ac:dyDescent="0.2">
      <c r="A86" t="s">
        <v>108</v>
      </c>
      <c r="B86">
        <v>9</v>
      </c>
      <c r="C86">
        <v>2</v>
      </c>
      <c r="D86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F40"/>
  <sheetViews>
    <sheetView workbookViewId="0">
      <selection activeCell="N35" sqref="N35"/>
    </sheetView>
  </sheetViews>
  <sheetFormatPr defaultRowHeight="12.75" x14ac:dyDescent="0.2"/>
  <cols>
    <col min="2" max="2" width="12.7109375" bestFit="1" customWidth="1"/>
    <col min="3" max="3" width="12.85546875" bestFit="1" customWidth="1"/>
    <col min="4" max="4" width="11.28515625" bestFit="1" customWidth="1"/>
    <col min="5" max="5" width="4.140625" customWidth="1"/>
  </cols>
  <sheetData>
    <row r="2" spans="2:6" x14ac:dyDescent="0.2">
      <c r="B2" s="39" t="s">
        <v>398</v>
      </c>
      <c r="C2" s="62" t="s">
        <v>109</v>
      </c>
      <c r="D2" s="62" t="s">
        <v>399</v>
      </c>
      <c r="F2" s="62" t="s">
        <v>389</v>
      </c>
    </row>
    <row r="3" spans="2:6" x14ac:dyDescent="0.2">
      <c r="B3" t="s">
        <v>126</v>
      </c>
      <c r="C3" s="14">
        <f>Calcs!J2</f>
        <v>170050.83333333331</v>
      </c>
      <c r="D3" s="14">
        <f>SUMIFS(Data!$V$2:$V$110,Data!$S$2:$S$110,B3)</f>
        <v>170050.83333333331</v>
      </c>
    </row>
    <row r="4" spans="2:6" x14ac:dyDescent="0.2">
      <c r="B4" t="s">
        <v>125</v>
      </c>
      <c r="C4" s="14">
        <f>Calcs!J3</f>
        <v>228511.83333333323</v>
      </c>
      <c r="D4" s="14">
        <f>SUMIFS(Data!$V$2:$V$110,Data!$S$2:$S$110,B4)</f>
        <v>228511.83333333323</v>
      </c>
    </row>
    <row r="5" spans="2:6" x14ac:dyDescent="0.2">
      <c r="B5" t="s">
        <v>127</v>
      </c>
      <c r="C5" s="14">
        <f>Calcs!J4</f>
        <v>172325.83333333334</v>
      </c>
      <c r="D5" s="14">
        <f>SUMIFS(Data!$V$2:$V$110,Data!$S$2:$S$110,B5)</f>
        <v>172325.83333333334</v>
      </c>
    </row>
    <row r="6" spans="2:6" x14ac:dyDescent="0.2">
      <c r="B6" t="s">
        <v>138</v>
      </c>
      <c r="C6" s="14">
        <f>Calcs!J5</f>
        <v>145179.66666666666</v>
      </c>
      <c r="D6" s="14">
        <f>SUMIFS(Data!$V$2:$V$110,Data!$S$2:$S$110,B6)</f>
        <v>145179.66666666666</v>
      </c>
    </row>
    <row r="7" spans="2:6" x14ac:dyDescent="0.2">
      <c r="C7" s="14"/>
      <c r="D7" s="14"/>
    </row>
    <row r="8" spans="2:6" x14ac:dyDescent="0.2">
      <c r="B8" t="s">
        <v>109</v>
      </c>
      <c r="C8" s="15">
        <f>SUM(C3:C7)</f>
        <v>716068.16666666651</v>
      </c>
      <c r="D8" s="15">
        <f>SUM(D3:D7)</f>
        <v>716068.16666666651</v>
      </c>
      <c r="F8" s="15">
        <f>D8-C8</f>
        <v>0</v>
      </c>
    </row>
    <row r="10" spans="2:6" x14ac:dyDescent="0.2">
      <c r="B10" t="s">
        <v>389</v>
      </c>
      <c r="D10" s="15">
        <f>D8-C8</f>
        <v>0</v>
      </c>
    </row>
    <row r="12" spans="2:6" x14ac:dyDescent="0.2">
      <c r="B12" s="39" t="s">
        <v>398</v>
      </c>
      <c r="C12" s="62" t="s">
        <v>109</v>
      </c>
      <c r="D12" s="62" t="s">
        <v>399</v>
      </c>
      <c r="F12" s="62" t="s">
        <v>389</v>
      </c>
    </row>
    <row r="13" spans="2:6" x14ac:dyDescent="0.2">
      <c r="B13" t="s">
        <v>126</v>
      </c>
      <c r="C13">
        <f>Calcs!J10</f>
        <v>23</v>
      </c>
      <c r="D13">
        <f>COUNTIFS(Data!$S$2:$S$110,$B13)</f>
        <v>23</v>
      </c>
    </row>
    <row r="14" spans="2:6" x14ac:dyDescent="0.2">
      <c r="B14" t="s">
        <v>125</v>
      </c>
      <c r="C14">
        <f>Calcs!J11</f>
        <v>37</v>
      </c>
      <c r="D14">
        <f>COUNTIFS(Data!$S$2:$S$110,$B14)</f>
        <v>37</v>
      </c>
    </row>
    <row r="15" spans="2:6" x14ac:dyDescent="0.2">
      <c r="B15" t="s">
        <v>127</v>
      </c>
      <c r="C15">
        <f>Calcs!J12</f>
        <v>25</v>
      </c>
      <c r="D15">
        <f>COUNTIFS(Data!$S$2:$S$110,$B15)</f>
        <v>25</v>
      </c>
    </row>
    <row r="16" spans="2:6" x14ac:dyDescent="0.2">
      <c r="B16" t="s">
        <v>138</v>
      </c>
      <c r="C16">
        <f>Calcs!J13</f>
        <v>23</v>
      </c>
      <c r="D16">
        <f>COUNTIFS(Data!$S$2:$S$110,$B16)</f>
        <v>23</v>
      </c>
    </row>
    <row r="18" spans="2:6" x14ac:dyDescent="0.2">
      <c r="B18" t="s">
        <v>109</v>
      </c>
      <c r="C18">
        <f t="shared" ref="C18:D18" si="0">SUM(C13:C17)</f>
        <v>108</v>
      </c>
      <c r="D18">
        <f t="shared" si="0"/>
        <v>108</v>
      </c>
      <c r="F18" s="15">
        <f>D18-C18</f>
        <v>0</v>
      </c>
    </row>
    <row r="21" spans="2:6" x14ac:dyDescent="0.2">
      <c r="B21" s="39" t="s">
        <v>398</v>
      </c>
      <c r="C21" s="62" t="s">
        <v>109</v>
      </c>
      <c r="D21" s="62" t="s">
        <v>399</v>
      </c>
      <c r="F21" s="62" t="s">
        <v>389</v>
      </c>
    </row>
    <row r="22" spans="2:6" x14ac:dyDescent="0.2">
      <c r="B22" t="s">
        <v>105</v>
      </c>
      <c r="C22" s="14">
        <f>Calcs!J22</f>
        <v>169000</v>
      </c>
      <c r="D22">
        <f>SUMIFS(Data!$V$2:$V$110,Data!$U$2:$U$110,$B22)</f>
        <v>169000</v>
      </c>
    </row>
    <row r="23" spans="2:6" x14ac:dyDescent="0.2">
      <c r="B23" t="s">
        <v>110</v>
      </c>
      <c r="C23" s="14">
        <f>Calcs!J23</f>
        <v>188794.66666666666</v>
      </c>
      <c r="D23">
        <f>SUMIFS(Data!$V$2:$V$110,Data!$U$2:$U$110,$B23)</f>
        <v>188794.66666666666</v>
      </c>
    </row>
    <row r="24" spans="2:6" x14ac:dyDescent="0.2">
      <c r="B24" t="s">
        <v>124</v>
      </c>
      <c r="C24" s="14">
        <f>Calcs!J24</f>
        <v>59921.333333333328</v>
      </c>
      <c r="D24">
        <f>SUMIFS(Data!$V$2:$V$110,Data!$U$2:$U$110,$B24)</f>
        <v>59921.333333333328</v>
      </c>
    </row>
    <row r="25" spans="2:6" x14ac:dyDescent="0.2">
      <c r="B25" t="s">
        <v>332</v>
      </c>
      <c r="C25" s="14">
        <f>Calcs!J25</f>
        <v>74639.5</v>
      </c>
      <c r="D25">
        <f>SUMIFS(Data!$V$2:$V$110,Data!$U$2:$U$110,$B25)</f>
        <v>74639.5</v>
      </c>
    </row>
    <row r="26" spans="2:6" x14ac:dyDescent="0.2">
      <c r="B26" t="s">
        <v>108</v>
      </c>
      <c r="C26" s="14">
        <f>Calcs!J26</f>
        <v>223712.6666666666</v>
      </c>
      <c r="D26">
        <f>SUMIFS(Data!$V$2:$V$110,Data!$U$2:$U$110,$B26)</f>
        <v>223712.6666666666</v>
      </c>
    </row>
    <row r="28" spans="2:6" x14ac:dyDescent="0.2">
      <c r="B28" t="s">
        <v>109</v>
      </c>
      <c r="C28" s="15">
        <f t="shared" ref="C28:D28" si="1">SUM(C22:C27)</f>
        <v>716068.16666666651</v>
      </c>
      <c r="D28" s="15">
        <f t="shared" si="1"/>
        <v>716068.16666666651</v>
      </c>
      <c r="F28" s="15">
        <f>D28-C28</f>
        <v>0</v>
      </c>
    </row>
    <row r="31" spans="2:6" x14ac:dyDescent="0.2">
      <c r="B31" s="39" t="s">
        <v>398</v>
      </c>
      <c r="C31" s="62" t="s">
        <v>109</v>
      </c>
      <c r="D31" s="62" t="s">
        <v>399</v>
      </c>
      <c r="F31" s="62" t="s">
        <v>389</v>
      </c>
    </row>
    <row r="32" spans="2:6" x14ac:dyDescent="0.2">
      <c r="B32" t="s">
        <v>105</v>
      </c>
      <c r="C32">
        <f>Calcs!J35</f>
        <v>13</v>
      </c>
      <c r="D32">
        <f>COUNTIFS(Data!$U$2:$U$110,$B32)</f>
        <v>13</v>
      </c>
    </row>
    <row r="33" spans="2:6" x14ac:dyDescent="0.2">
      <c r="B33" t="s">
        <v>110</v>
      </c>
      <c r="C33">
        <f>Calcs!J36</f>
        <v>37</v>
      </c>
      <c r="D33">
        <f>COUNTIFS(Data!$U$2:$U$110,$B33)</f>
        <v>37</v>
      </c>
    </row>
    <row r="34" spans="2:6" x14ac:dyDescent="0.2">
      <c r="B34" t="s">
        <v>124</v>
      </c>
      <c r="C34">
        <f>Calcs!J37</f>
        <v>8</v>
      </c>
      <c r="D34">
        <f>COUNTIFS(Data!$U$2:$U$110,$B34)</f>
        <v>8</v>
      </c>
    </row>
    <row r="35" spans="2:6" x14ac:dyDescent="0.2">
      <c r="B35" t="s">
        <v>332</v>
      </c>
      <c r="C35">
        <f>Calcs!J38</f>
        <v>9</v>
      </c>
      <c r="D35">
        <f>COUNTIFS(Data!$U$2:$U$110,$B35)</f>
        <v>9</v>
      </c>
    </row>
    <row r="36" spans="2:6" x14ac:dyDescent="0.2">
      <c r="B36" t="s">
        <v>108</v>
      </c>
      <c r="C36">
        <f>Calcs!J39</f>
        <v>41</v>
      </c>
      <c r="D36">
        <f>COUNTIFS(Data!$U$2:$U$110,$B36)</f>
        <v>41</v>
      </c>
    </row>
    <row r="38" spans="2:6" x14ac:dyDescent="0.2">
      <c r="B38" t="s">
        <v>109</v>
      </c>
      <c r="C38" s="15">
        <f t="shared" ref="C38" si="2">SUM(C32:C37)</f>
        <v>108</v>
      </c>
      <c r="D38" s="15">
        <f t="shared" ref="D38" si="3">SUM(D32:D37)</f>
        <v>108</v>
      </c>
      <c r="F38" s="15">
        <f>D38-C38</f>
        <v>0</v>
      </c>
    </row>
    <row r="40" spans="2:6" x14ac:dyDescent="0.2">
      <c r="B40" t="s">
        <v>400</v>
      </c>
      <c r="D40" t="str">
        <f>IF(F40=0,Lists!Q2,Lists!Q3)</f>
        <v>Model OK</v>
      </c>
      <c r="F40" s="61">
        <f>SUM(F3:F39)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C00000"/>
    <pageSetUpPr fitToPage="1"/>
  </sheetPr>
  <dimension ref="B5:W50"/>
  <sheetViews>
    <sheetView showGridLines="0" showRowColHeaders="0" tabSelected="1" zoomScale="89" zoomScaleNormal="89" workbookViewId="0">
      <selection activeCell="X8" sqref="X8"/>
    </sheetView>
  </sheetViews>
  <sheetFormatPr defaultRowHeight="12.75" x14ac:dyDescent="0.2"/>
  <cols>
    <col min="1" max="1" width="4" customWidth="1"/>
    <col min="2" max="2" width="20.7109375" customWidth="1"/>
    <col min="3" max="11" width="13.140625" customWidth="1"/>
    <col min="12" max="12" width="15" customWidth="1"/>
    <col min="13" max="13" width="3.28515625" customWidth="1"/>
    <col min="14" max="14" width="21.7109375" customWidth="1"/>
    <col min="15" max="22" width="9.140625" customWidth="1"/>
    <col min="23" max="23" width="8.42578125" customWidth="1"/>
  </cols>
  <sheetData>
    <row r="5" spans="2:23" x14ac:dyDescent="0.2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7" spans="2:23" ht="24.75" customHeight="1" x14ac:dyDescent="0.2"/>
    <row r="19" spans="2:23" ht="17.25" x14ac:dyDescent="0.2">
      <c r="B19" s="33" t="s">
        <v>106</v>
      </c>
      <c r="C19" s="34">
        <f>Calcs!B1</f>
        <v>44835</v>
      </c>
      <c r="D19" s="34">
        <f>Calcs!C1</f>
        <v>44866</v>
      </c>
      <c r="E19" s="34">
        <f>Calcs!D1</f>
        <v>44896</v>
      </c>
      <c r="F19" s="34">
        <f>Calcs!E1</f>
        <v>44927</v>
      </c>
      <c r="G19" s="34">
        <f>Calcs!F1</f>
        <v>44958</v>
      </c>
      <c r="H19" s="34">
        <f>Calcs!G1</f>
        <v>44986</v>
      </c>
      <c r="I19" s="34">
        <f>Calcs!H1</f>
        <v>45017</v>
      </c>
      <c r="J19" s="34">
        <f>Calcs!I1</f>
        <v>45047</v>
      </c>
      <c r="K19" s="34">
        <f>Calcs!J1</f>
        <v>45078</v>
      </c>
      <c r="L19" s="35" t="s">
        <v>109</v>
      </c>
      <c r="N19" s="33" t="s">
        <v>106</v>
      </c>
      <c r="O19" s="34">
        <f>Calcs!B1</f>
        <v>44835</v>
      </c>
      <c r="P19" s="34">
        <f>Calcs!C1</f>
        <v>44866</v>
      </c>
      <c r="Q19" s="34">
        <f>Calcs!D1</f>
        <v>44896</v>
      </c>
      <c r="R19" s="34">
        <f>Calcs!E1</f>
        <v>44927</v>
      </c>
      <c r="S19" s="34">
        <f>Calcs!F1</f>
        <v>44958</v>
      </c>
      <c r="T19" s="34">
        <f>Calcs!G1</f>
        <v>44986</v>
      </c>
      <c r="U19" s="34">
        <f>Calcs!H1</f>
        <v>45017</v>
      </c>
      <c r="V19" s="34">
        <f>Calcs!I1</f>
        <v>45047</v>
      </c>
      <c r="W19" s="34">
        <f>Calcs!J1</f>
        <v>45078</v>
      </c>
    </row>
    <row r="20" spans="2:23" ht="15" x14ac:dyDescent="0.25">
      <c r="B20" s="38" t="s">
        <v>125</v>
      </c>
      <c r="C20" s="18">
        <f>Calcs!B2</f>
        <v>170050.83333333331</v>
      </c>
      <c r="D20" s="18">
        <f>Calcs!C2</f>
        <v>170050.83333333331</v>
      </c>
      <c r="E20" s="18">
        <f>Calcs!D2</f>
        <v>170050.83333333331</v>
      </c>
      <c r="F20" s="18">
        <f>Calcs!E2</f>
        <v>170050.83333333331</v>
      </c>
      <c r="G20" s="18">
        <f>Calcs!F2</f>
        <v>170050.83333333331</v>
      </c>
      <c r="H20" s="18">
        <f>Calcs!G2</f>
        <v>170050.83333333331</v>
      </c>
      <c r="I20" s="18">
        <f>Calcs!H2</f>
        <v>170050.83333333331</v>
      </c>
      <c r="J20" s="18">
        <f>Calcs!I2</f>
        <v>170050.83333333331</v>
      </c>
      <c r="K20" s="18">
        <f>Calcs!J2</f>
        <v>170050.83333333331</v>
      </c>
      <c r="L20" s="18">
        <f>SUM(C20:K20)</f>
        <v>1530457.4999999995</v>
      </c>
      <c r="N20" s="38" t="s">
        <v>125</v>
      </c>
      <c r="O20" s="18">
        <f>Calcs!B10</f>
        <v>23</v>
      </c>
      <c r="P20" s="18">
        <f>Calcs!C10</f>
        <v>23</v>
      </c>
      <c r="Q20" s="18">
        <f>Calcs!D10</f>
        <v>23</v>
      </c>
      <c r="R20" s="18">
        <f>Calcs!E10</f>
        <v>23</v>
      </c>
      <c r="S20" s="18">
        <f>Calcs!F10</f>
        <v>23</v>
      </c>
      <c r="T20" s="18">
        <f>Calcs!G10</f>
        <v>23</v>
      </c>
      <c r="U20" s="18">
        <f>Calcs!H10</f>
        <v>23</v>
      </c>
      <c r="V20" s="18">
        <f>Calcs!I10</f>
        <v>23</v>
      </c>
      <c r="W20" s="18">
        <f>Calcs!J10</f>
        <v>23</v>
      </c>
    </row>
    <row r="21" spans="2:23" ht="15" x14ac:dyDescent="0.25">
      <c r="B21" s="38" t="s">
        <v>126</v>
      </c>
      <c r="C21" s="18">
        <f>Calcs!B3</f>
        <v>228511.83333333323</v>
      </c>
      <c r="D21" s="18">
        <f>Calcs!C3</f>
        <v>228511.83333333323</v>
      </c>
      <c r="E21" s="18">
        <f>Calcs!D3</f>
        <v>228511.83333333323</v>
      </c>
      <c r="F21" s="18">
        <f>Calcs!E3</f>
        <v>228511.83333333323</v>
      </c>
      <c r="G21" s="18">
        <f>Calcs!F3</f>
        <v>228511.83333333323</v>
      </c>
      <c r="H21" s="18">
        <f>Calcs!G3</f>
        <v>228511.83333333323</v>
      </c>
      <c r="I21" s="18">
        <f>Calcs!H3</f>
        <v>228511.83333333323</v>
      </c>
      <c r="J21" s="18">
        <f>Calcs!I3</f>
        <v>228511.83333333323</v>
      </c>
      <c r="K21" s="18">
        <f>Calcs!J3</f>
        <v>228511.83333333323</v>
      </c>
      <c r="L21" s="18">
        <f t="shared" ref="L21" si="0">SUM(C21:K21)</f>
        <v>2056606.4999999991</v>
      </c>
      <c r="N21" s="38" t="s">
        <v>126</v>
      </c>
      <c r="O21" s="18">
        <f>Calcs!B11</f>
        <v>37</v>
      </c>
      <c r="P21" s="18">
        <f>Calcs!C11</f>
        <v>37</v>
      </c>
      <c r="Q21" s="18">
        <f>Calcs!D11</f>
        <v>37</v>
      </c>
      <c r="R21" s="18">
        <f>Calcs!E11</f>
        <v>37</v>
      </c>
      <c r="S21" s="18">
        <f>Calcs!F11</f>
        <v>37</v>
      </c>
      <c r="T21" s="18">
        <f>Calcs!G11</f>
        <v>37</v>
      </c>
      <c r="U21" s="18">
        <f>Calcs!H11</f>
        <v>37</v>
      </c>
      <c r="V21" s="18">
        <f>Calcs!I11</f>
        <v>37</v>
      </c>
      <c r="W21" s="18">
        <f>Calcs!J11</f>
        <v>37</v>
      </c>
    </row>
    <row r="22" spans="2:23" ht="15" x14ac:dyDescent="0.25">
      <c r="B22" s="38" t="s">
        <v>127</v>
      </c>
      <c r="C22" s="18">
        <f>Calcs!B4</f>
        <v>172325.83333333334</v>
      </c>
      <c r="D22" s="18">
        <f>Calcs!C4</f>
        <v>172325.83333333334</v>
      </c>
      <c r="E22" s="18">
        <f>Calcs!D4</f>
        <v>172325.83333333334</v>
      </c>
      <c r="F22" s="18">
        <f>Calcs!E4</f>
        <v>172325.83333333334</v>
      </c>
      <c r="G22" s="18">
        <f>Calcs!F4</f>
        <v>172325.83333333334</v>
      </c>
      <c r="H22" s="18">
        <f>Calcs!G4</f>
        <v>172325.83333333334</v>
      </c>
      <c r="I22" s="18">
        <f>Calcs!H4</f>
        <v>172325.83333333334</v>
      </c>
      <c r="J22" s="18">
        <f>Calcs!I4</f>
        <v>172325.83333333334</v>
      </c>
      <c r="K22" s="18">
        <f>Calcs!J4</f>
        <v>172325.83333333334</v>
      </c>
      <c r="L22" s="18">
        <f t="shared" ref="L22:L23" si="1">SUM(C22:K22)</f>
        <v>1550932.5</v>
      </c>
      <c r="N22" s="38" t="s">
        <v>127</v>
      </c>
      <c r="O22" s="18">
        <f>Calcs!B12</f>
        <v>25</v>
      </c>
      <c r="P22" s="18">
        <f>Calcs!C12</f>
        <v>25</v>
      </c>
      <c r="Q22" s="18">
        <f>Calcs!D12</f>
        <v>25</v>
      </c>
      <c r="R22" s="18">
        <f>Calcs!E12</f>
        <v>25</v>
      </c>
      <c r="S22" s="18">
        <f>Calcs!F12</f>
        <v>25</v>
      </c>
      <c r="T22" s="18">
        <f>Calcs!G12</f>
        <v>25</v>
      </c>
      <c r="U22" s="18">
        <f>Calcs!H12</f>
        <v>25</v>
      </c>
      <c r="V22" s="18">
        <f>Calcs!I12</f>
        <v>25</v>
      </c>
      <c r="W22" s="18">
        <f>Calcs!J12</f>
        <v>25</v>
      </c>
    </row>
    <row r="23" spans="2:23" ht="15" x14ac:dyDescent="0.25">
      <c r="B23" s="38" t="s">
        <v>138</v>
      </c>
      <c r="C23" s="18">
        <f>Calcs!B5</f>
        <v>145179.66666666666</v>
      </c>
      <c r="D23" s="18">
        <f>Calcs!C5</f>
        <v>145179.66666666666</v>
      </c>
      <c r="E23" s="18">
        <f>Calcs!D5</f>
        <v>145179.66666666666</v>
      </c>
      <c r="F23" s="18">
        <f>Calcs!E5</f>
        <v>145179.66666666666</v>
      </c>
      <c r="G23" s="18">
        <f>Calcs!F5</f>
        <v>145179.66666666666</v>
      </c>
      <c r="H23" s="18">
        <f>Calcs!G5</f>
        <v>145179.66666666666</v>
      </c>
      <c r="I23" s="18">
        <f>Calcs!H5</f>
        <v>145179.66666666666</v>
      </c>
      <c r="J23" s="18">
        <f>Calcs!I5</f>
        <v>145179.66666666666</v>
      </c>
      <c r="K23" s="18">
        <f>Calcs!J5</f>
        <v>145179.66666666666</v>
      </c>
      <c r="L23" s="18">
        <f t="shared" si="1"/>
        <v>1306617</v>
      </c>
      <c r="N23" s="38" t="s">
        <v>138</v>
      </c>
      <c r="O23" s="18">
        <f>Calcs!B13</f>
        <v>23</v>
      </c>
      <c r="P23" s="18">
        <f>Calcs!C13</f>
        <v>23</v>
      </c>
      <c r="Q23" s="18">
        <f>Calcs!D13</f>
        <v>23</v>
      </c>
      <c r="R23" s="18">
        <f>Calcs!E13</f>
        <v>23</v>
      </c>
      <c r="S23" s="18">
        <f>Calcs!F13</f>
        <v>23</v>
      </c>
      <c r="T23" s="18">
        <f>Calcs!G13</f>
        <v>23</v>
      </c>
      <c r="U23" s="18">
        <f>Calcs!H13</f>
        <v>23</v>
      </c>
      <c r="V23" s="18">
        <f>Calcs!I13</f>
        <v>23</v>
      </c>
      <c r="W23" s="18">
        <f>Calcs!J13</f>
        <v>23</v>
      </c>
    </row>
    <row r="24" spans="2:23" ht="17.25" x14ac:dyDescent="0.2">
      <c r="B24" s="33" t="s">
        <v>109</v>
      </c>
      <c r="C24" s="36">
        <f>SUM(C20:C23)</f>
        <v>716068.16666666651</v>
      </c>
      <c r="D24" s="36">
        <f t="shared" ref="D24:L24" si="2">SUM(D20:D23)</f>
        <v>716068.16666666651</v>
      </c>
      <c r="E24" s="36">
        <f t="shared" si="2"/>
        <v>716068.16666666651</v>
      </c>
      <c r="F24" s="36">
        <f t="shared" si="2"/>
        <v>716068.16666666651</v>
      </c>
      <c r="G24" s="36">
        <f t="shared" si="2"/>
        <v>716068.16666666651</v>
      </c>
      <c r="H24" s="36">
        <f t="shared" si="2"/>
        <v>716068.16666666651</v>
      </c>
      <c r="I24" s="36">
        <f t="shared" si="2"/>
        <v>716068.16666666651</v>
      </c>
      <c r="J24" s="36">
        <f t="shared" si="2"/>
        <v>716068.16666666651</v>
      </c>
      <c r="K24" s="36">
        <f t="shared" si="2"/>
        <v>716068.16666666651</v>
      </c>
      <c r="L24" s="36">
        <f t="shared" si="2"/>
        <v>6444613.4999999981</v>
      </c>
      <c r="N24" s="33" t="s">
        <v>109</v>
      </c>
      <c r="O24" s="37">
        <f>SUM(O20:O23)</f>
        <v>108</v>
      </c>
      <c r="P24" s="37">
        <f t="shared" ref="P24" si="3">SUM(P20:P23)</f>
        <v>108</v>
      </c>
      <c r="Q24" s="37">
        <f t="shared" ref="Q24" si="4">SUM(Q20:Q23)</f>
        <v>108</v>
      </c>
      <c r="R24" s="37">
        <f t="shared" ref="R24" si="5">SUM(R20:R23)</f>
        <v>108</v>
      </c>
      <c r="S24" s="37">
        <f t="shared" ref="S24" si="6">SUM(S20:S23)</f>
        <v>108</v>
      </c>
      <c r="T24" s="37">
        <f t="shared" ref="T24" si="7">SUM(T20:T23)</f>
        <v>108</v>
      </c>
      <c r="U24" s="37">
        <f t="shared" ref="U24" si="8">SUM(U20:U23)</f>
        <v>108</v>
      </c>
      <c r="V24" s="37">
        <f t="shared" ref="V24" si="9">SUM(V20:V23)</f>
        <v>108</v>
      </c>
      <c r="W24" s="37">
        <f t="shared" ref="W24" si="10">SUM(W20:W23)</f>
        <v>108</v>
      </c>
    </row>
    <row r="25" spans="2:23" ht="18.75" x14ac:dyDescent="0.3">
      <c r="N25" s="12"/>
    </row>
    <row r="26" spans="2:23" ht="18.75" x14ac:dyDescent="0.3">
      <c r="N26" s="12"/>
    </row>
    <row r="27" spans="2:23" ht="18.75" x14ac:dyDescent="0.3">
      <c r="N27" s="12"/>
    </row>
    <row r="28" spans="2:23" ht="15.75" customHeight="1" x14ac:dyDescent="0.3">
      <c r="N28" s="12"/>
    </row>
    <row r="29" spans="2:23" ht="15.75" customHeight="1" x14ac:dyDescent="0.3">
      <c r="N29" s="12"/>
    </row>
    <row r="30" spans="2:23" ht="18.75" x14ac:dyDescent="0.3">
      <c r="N30" s="12"/>
    </row>
    <row r="31" spans="2:23" ht="18.75" x14ac:dyDescent="0.3">
      <c r="N31" s="12"/>
    </row>
    <row r="32" spans="2:23" ht="18.75" x14ac:dyDescent="0.3">
      <c r="N32" s="12"/>
    </row>
    <row r="33" spans="2:23" ht="18.75" x14ac:dyDescent="0.3">
      <c r="N33" s="12"/>
    </row>
    <row r="34" spans="2:23" ht="18.75" x14ac:dyDescent="0.3">
      <c r="N34" s="12"/>
    </row>
    <row r="35" spans="2:23" ht="18.75" x14ac:dyDescent="0.3">
      <c r="N35" s="12"/>
    </row>
    <row r="36" spans="2:23" ht="18.75" x14ac:dyDescent="0.3">
      <c r="N36" s="12"/>
    </row>
    <row r="37" spans="2:23" ht="17.25" x14ac:dyDescent="0.2">
      <c r="B37" s="23" t="s">
        <v>107</v>
      </c>
      <c r="C37" s="27">
        <f>Calcs!B21</f>
        <v>44835</v>
      </c>
      <c r="D37" s="27">
        <f>Calcs!C21</f>
        <v>44866</v>
      </c>
      <c r="E37" s="27">
        <f>Calcs!D21</f>
        <v>44896</v>
      </c>
      <c r="F37" s="27">
        <f>Calcs!E21</f>
        <v>44927</v>
      </c>
      <c r="G37" s="27">
        <f>Calcs!F21</f>
        <v>44958</v>
      </c>
      <c r="H37" s="27">
        <f>Calcs!G21</f>
        <v>44986</v>
      </c>
      <c r="I37" s="27">
        <f>Calcs!H21</f>
        <v>45017</v>
      </c>
      <c r="J37" s="27">
        <f>Calcs!I21</f>
        <v>45047</v>
      </c>
      <c r="K37" s="27">
        <f>Calcs!J21</f>
        <v>45078</v>
      </c>
      <c r="L37" s="32" t="s">
        <v>109</v>
      </c>
      <c r="N37" s="23" t="s">
        <v>107</v>
      </c>
      <c r="O37" s="27">
        <f>Calcs!B1</f>
        <v>44835</v>
      </c>
      <c r="P37" s="27">
        <f>Calcs!C1</f>
        <v>44866</v>
      </c>
      <c r="Q37" s="27">
        <f>Calcs!D1</f>
        <v>44896</v>
      </c>
      <c r="R37" s="27">
        <f>Calcs!E1</f>
        <v>44927</v>
      </c>
      <c r="S37" s="27">
        <f>Calcs!F1</f>
        <v>44958</v>
      </c>
      <c r="T37" s="27">
        <f>Calcs!G1</f>
        <v>44986</v>
      </c>
      <c r="U37" s="27">
        <f>Calcs!H1</f>
        <v>45017</v>
      </c>
      <c r="V37" s="27">
        <f>Calcs!I1</f>
        <v>45047</v>
      </c>
      <c r="W37" s="27">
        <f>Calcs!J1</f>
        <v>45078</v>
      </c>
    </row>
    <row r="38" spans="2:23" ht="15" x14ac:dyDescent="0.25">
      <c r="B38" s="38" t="s">
        <v>105</v>
      </c>
      <c r="C38" s="20">
        <f>Calcs!B22</f>
        <v>169000</v>
      </c>
      <c r="D38" s="20">
        <f>Calcs!C22</f>
        <v>169000</v>
      </c>
      <c r="E38" s="20">
        <f>Calcs!D22</f>
        <v>169000</v>
      </c>
      <c r="F38" s="20">
        <f>Calcs!E22</f>
        <v>169000</v>
      </c>
      <c r="G38" s="20">
        <f>Calcs!F22</f>
        <v>169000</v>
      </c>
      <c r="H38" s="20">
        <f>Calcs!G22</f>
        <v>169000</v>
      </c>
      <c r="I38" s="20">
        <f>Calcs!H22</f>
        <v>169000</v>
      </c>
      <c r="J38" s="20">
        <f>Calcs!I22</f>
        <v>169000</v>
      </c>
      <c r="K38" s="20">
        <f>Calcs!J22</f>
        <v>169000</v>
      </c>
      <c r="L38" s="18">
        <f>SUM(C38:K38)</f>
        <v>1521000</v>
      </c>
      <c r="N38" s="38" t="s">
        <v>105</v>
      </c>
      <c r="O38" s="20">
        <f>Calcs!B35</f>
        <v>13</v>
      </c>
      <c r="P38" s="20">
        <f>Calcs!C35</f>
        <v>13</v>
      </c>
      <c r="Q38" s="20">
        <f>Calcs!D35</f>
        <v>13</v>
      </c>
      <c r="R38" s="20">
        <f>Calcs!E35</f>
        <v>13</v>
      </c>
      <c r="S38" s="20">
        <f>Calcs!F35</f>
        <v>13</v>
      </c>
      <c r="T38" s="20">
        <f>Calcs!G35</f>
        <v>13</v>
      </c>
      <c r="U38" s="20">
        <f>Calcs!H35</f>
        <v>13</v>
      </c>
      <c r="V38" s="20">
        <f>Calcs!I35</f>
        <v>13</v>
      </c>
      <c r="W38" s="20">
        <f>Calcs!J35</f>
        <v>13</v>
      </c>
    </row>
    <row r="39" spans="2:23" ht="15" x14ac:dyDescent="0.25">
      <c r="B39" s="38" t="s">
        <v>110</v>
      </c>
      <c r="C39" s="20">
        <f>Calcs!B23</f>
        <v>188794.66666666666</v>
      </c>
      <c r="D39" s="20">
        <f>Calcs!C23</f>
        <v>188794.66666666666</v>
      </c>
      <c r="E39" s="20">
        <f>Calcs!D23</f>
        <v>188794.66666666666</v>
      </c>
      <c r="F39" s="20">
        <f>Calcs!E23</f>
        <v>188794.66666666666</v>
      </c>
      <c r="G39" s="20">
        <f>Calcs!F23</f>
        <v>188794.66666666666</v>
      </c>
      <c r="H39" s="20">
        <f>Calcs!G23</f>
        <v>188794.66666666666</v>
      </c>
      <c r="I39" s="20">
        <f>Calcs!H23</f>
        <v>188794.66666666666</v>
      </c>
      <c r="J39" s="20">
        <f>Calcs!I23</f>
        <v>188794.66666666666</v>
      </c>
      <c r="K39" s="20">
        <f>Calcs!J23</f>
        <v>188794.66666666666</v>
      </c>
      <c r="L39" s="18">
        <f t="shared" ref="L39:L40" si="11">SUM(C39:K39)</f>
        <v>1699152.0000000002</v>
      </c>
      <c r="N39" s="38" t="s">
        <v>110</v>
      </c>
      <c r="O39" s="20">
        <f>Calcs!B36</f>
        <v>37</v>
      </c>
      <c r="P39" s="20">
        <f>Calcs!C36</f>
        <v>37</v>
      </c>
      <c r="Q39" s="20">
        <f>Calcs!D36</f>
        <v>37</v>
      </c>
      <c r="R39" s="20">
        <f>Calcs!E36</f>
        <v>37</v>
      </c>
      <c r="S39" s="20">
        <f>Calcs!F36</f>
        <v>37</v>
      </c>
      <c r="T39" s="20">
        <f>Calcs!G36</f>
        <v>37</v>
      </c>
      <c r="U39" s="20">
        <f>Calcs!H36</f>
        <v>37</v>
      </c>
      <c r="V39" s="20">
        <f>Calcs!I36</f>
        <v>37</v>
      </c>
      <c r="W39" s="20">
        <f>Calcs!J36</f>
        <v>37</v>
      </c>
    </row>
    <row r="40" spans="2:23" ht="15" x14ac:dyDescent="0.25">
      <c r="B40" s="38" t="s">
        <v>124</v>
      </c>
      <c r="C40" s="20">
        <f>Calcs!B24</f>
        <v>59921.333333333328</v>
      </c>
      <c r="D40" s="20">
        <f>Calcs!C24</f>
        <v>59921.333333333328</v>
      </c>
      <c r="E40" s="20">
        <f>Calcs!D24</f>
        <v>59921.333333333328</v>
      </c>
      <c r="F40" s="20">
        <f>Calcs!E24</f>
        <v>59921.333333333328</v>
      </c>
      <c r="G40" s="20">
        <f>Calcs!F24</f>
        <v>59921.333333333328</v>
      </c>
      <c r="H40" s="20">
        <f>Calcs!G24</f>
        <v>59921.333333333328</v>
      </c>
      <c r="I40" s="20">
        <f>Calcs!H24</f>
        <v>59921.333333333328</v>
      </c>
      <c r="J40" s="20">
        <f>Calcs!I24</f>
        <v>59921.333333333328</v>
      </c>
      <c r="K40" s="20">
        <f>Calcs!J24</f>
        <v>59921.333333333328</v>
      </c>
      <c r="L40" s="18">
        <f t="shared" si="11"/>
        <v>539291.99999999988</v>
      </c>
      <c r="N40" s="38" t="s">
        <v>124</v>
      </c>
      <c r="O40" s="20">
        <f>Calcs!B37</f>
        <v>8</v>
      </c>
      <c r="P40" s="20">
        <f>Calcs!C37</f>
        <v>8</v>
      </c>
      <c r="Q40" s="20">
        <f>Calcs!D37</f>
        <v>8</v>
      </c>
      <c r="R40" s="20">
        <f>Calcs!E37</f>
        <v>8</v>
      </c>
      <c r="S40" s="20">
        <f>Calcs!F37</f>
        <v>8</v>
      </c>
      <c r="T40" s="20">
        <f>Calcs!G37</f>
        <v>8</v>
      </c>
      <c r="U40" s="20">
        <f>Calcs!H37</f>
        <v>8</v>
      </c>
      <c r="V40" s="20">
        <f>Calcs!I37</f>
        <v>8</v>
      </c>
      <c r="W40" s="20">
        <f>Calcs!J37</f>
        <v>8</v>
      </c>
    </row>
    <row r="41" spans="2:23" ht="15" x14ac:dyDescent="0.25">
      <c r="B41" s="38" t="s">
        <v>332</v>
      </c>
      <c r="C41" s="20">
        <f>Calcs!B25</f>
        <v>74639.5</v>
      </c>
      <c r="D41" s="20">
        <f>Calcs!C25</f>
        <v>74639.5</v>
      </c>
      <c r="E41" s="20">
        <f>Calcs!D25</f>
        <v>74639.5</v>
      </c>
      <c r="F41" s="20">
        <f>Calcs!E25</f>
        <v>74639.5</v>
      </c>
      <c r="G41" s="20">
        <f>Calcs!F25</f>
        <v>74639.5</v>
      </c>
      <c r="H41" s="20">
        <f>Calcs!G25</f>
        <v>74639.5</v>
      </c>
      <c r="I41" s="20">
        <f>Calcs!H25</f>
        <v>74639.5</v>
      </c>
      <c r="J41" s="20">
        <f>Calcs!I25</f>
        <v>74639.5</v>
      </c>
      <c r="K41" s="20">
        <f>Calcs!J25</f>
        <v>74639.5</v>
      </c>
      <c r="L41" s="18">
        <f t="shared" ref="L41:L42" si="12">SUM(C41:K41)</f>
        <v>671755.5</v>
      </c>
      <c r="N41" s="38" t="s">
        <v>332</v>
      </c>
      <c r="O41" s="20">
        <f>Calcs!B38</f>
        <v>9</v>
      </c>
      <c r="P41" s="20">
        <f>Calcs!C38</f>
        <v>9</v>
      </c>
      <c r="Q41" s="20">
        <f>Calcs!D38</f>
        <v>9</v>
      </c>
      <c r="R41" s="20">
        <f>Calcs!E38</f>
        <v>9</v>
      </c>
      <c r="S41" s="20">
        <f>Calcs!F38</f>
        <v>9</v>
      </c>
      <c r="T41" s="20">
        <f>Calcs!G38</f>
        <v>9</v>
      </c>
      <c r="U41" s="20">
        <f>Calcs!H38</f>
        <v>9</v>
      </c>
      <c r="V41" s="20">
        <f>Calcs!I38</f>
        <v>9</v>
      </c>
      <c r="W41" s="20">
        <f>Calcs!J38</f>
        <v>9</v>
      </c>
    </row>
    <row r="42" spans="2:23" ht="15" x14ac:dyDescent="0.25">
      <c r="B42" s="38" t="s">
        <v>111</v>
      </c>
      <c r="C42" s="20">
        <f>Calcs!B26</f>
        <v>223712.6666666666</v>
      </c>
      <c r="D42" s="20">
        <f>Calcs!C26</f>
        <v>223712.6666666666</v>
      </c>
      <c r="E42" s="20">
        <f>Calcs!D26</f>
        <v>223712.6666666666</v>
      </c>
      <c r="F42" s="20">
        <f>Calcs!E26</f>
        <v>223712.6666666666</v>
      </c>
      <c r="G42" s="20">
        <f>Calcs!F26</f>
        <v>223712.6666666666</v>
      </c>
      <c r="H42" s="20">
        <f>Calcs!G26</f>
        <v>223712.6666666666</v>
      </c>
      <c r="I42" s="20">
        <f>Calcs!H26</f>
        <v>223712.6666666666</v>
      </c>
      <c r="J42" s="20">
        <f>Calcs!I26</f>
        <v>223712.6666666666</v>
      </c>
      <c r="K42" s="20">
        <f>Calcs!J26</f>
        <v>223712.6666666666</v>
      </c>
      <c r="L42" s="18">
        <f t="shared" si="12"/>
        <v>2013413.9999999991</v>
      </c>
      <c r="N42" s="38" t="s">
        <v>111</v>
      </c>
      <c r="O42" s="20">
        <f>Calcs!B39</f>
        <v>41</v>
      </c>
      <c r="P42" s="20">
        <f>Calcs!C39</f>
        <v>41</v>
      </c>
      <c r="Q42" s="20">
        <f>Calcs!D39</f>
        <v>41</v>
      </c>
      <c r="R42" s="20">
        <f>Calcs!E39</f>
        <v>41</v>
      </c>
      <c r="S42" s="20">
        <f>Calcs!F39</f>
        <v>41</v>
      </c>
      <c r="T42" s="20">
        <f>Calcs!G39</f>
        <v>41</v>
      </c>
      <c r="U42" s="20">
        <f>Calcs!H39</f>
        <v>41</v>
      </c>
      <c r="V42" s="20">
        <f>Calcs!I39</f>
        <v>41</v>
      </c>
      <c r="W42" s="20">
        <f>Calcs!J39</f>
        <v>41</v>
      </c>
    </row>
    <row r="43" spans="2:23" ht="17.25" x14ac:dyDescent="0.2">
      <c r="B43" s="23" t="s">
        <v>109</v>
      </c>
      <c r="C43" s="25">
        <f>SUM(C38:C42)</f>
        <v>716068.16666666651</v>
      </c>
      <c r="D43" s="25">
        <f t="shared" ref="D43:L43" si="13">SUM(D38:D42)</f>
        <v>716068.16666666651</v>
      </c>
      <c r="E43" s="25">
        <f t="shared" si="13"/>
        <v>716068.16666666651</v>
      </c>
      <c r="F43" s="25">
        <f t="shared" si="13"/>
        <v>716068.16666666651</v>
      </c>
      <c r="G43" s="25">
        <f t="shared" si="13"/>
        <v>716068.16666666651</v>
      </c>
      <c r="H43" s="25">
        <f t="shared" si="13"/>
        <v>716068.16666666651</v>
      </c>
      <c r="I43" s="25">
        <f t="shared" si="13"/>
        <v>716068.16666666651</v>
      </c>
      <c r="J43" s="25">
        <f t="shared" si="13"/>
        <v>716068.16666666651</v>
      </c>
      <c r="K43" s="25">
        <f t="shared" si="13"/>
        <v>716068.16666666651</v>
      </c>
      <c r="L43" s="25">
        <f t="shared" si="13"/>
        <v>6444613.4999999991</v>
      </c>
      <c r="N43" s="23" t="s">
        <v>109</v>
      </c>
      <c r="O43" s="24">
        <f>SUM(O38:O42)</f>
        <v>108</v>
      </c>
      <c r="P43" s="24">
        <f t="shared" ref="P43:W43" si="14">SUM(P38:P42)</f>
        <v>108</v>
      </c>
      <c r="Q43" s="24">
        <f t="shared" si="14"/>
        <v>108</v>
      </c>
      <c r="R43" s="24">
        <f t="shared" si="14"/>
        <v>108</v>
      </c>
      <c r="S43" s="24">
        <f t="shared" si="14"/>
        <v>108</v>
      </c>
      <c r="T43" s="24">
        <f t="shared" si="14"/>
        <v>108</v>
      </c>
      <c r="U43" s="24">
        <f t="shared" si="14"/>
        <v>108</v>
      </c>
      <c r="V43" s="24">
        <f t="shared" si="14"/>
        <v>108</v>
      </c>
      <c r="W43" s="24">
        <f t="shared" si="14"/>
        <v>108</v>
      </c>
    </row>
    <row r="45" spans="2:23" ht="15" x14ac:dyDescent="0.25">
      <c r="B45" s="63" t="s">
        <v>404</v>
      </c>
      <c r="C45" s="64"/>
      <c r="D45" s="64" t="str">
        <f>Check!D40</f>
        <v>Model OK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spans="2:23" ht="16.5" customHeight="1" x14ac:dyDescent="0.2"/>
    <row r="47" spans="2:23" ht="16.5" customHeight="1" x14ac:dyDescent="0.2"/>
    <row r="48" spans="2:23" ht="16.5" customHeight="1" x14ac:dyDescent="0.2"/>
    <row r="49" ht="16.5" customHeight="1" x14ac:dyDescent="0.2"/>
    <row r="50" ht="16.5" customHeight="1" x14ac:dyDescent="0.2"/>
  </sheetData>
  <pageMargins left="0.25" right="0.25" top="0.75" bottom="0.75" header="0.3" footer="0.3"/>
  <pageSetup paperSize="9" scale="53" orientation="landscape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21B8653-7C20-4AFF-861A-89D9517DD3F4}">
            <xm:f>$D$45=Lists!$Q$3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B45:W45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Model</vt:lpstr>
      <vt:lpstr>Lists</vt:lpstr>
      <vt:lpstr>Data</vt:lpstr>
      <vt:lpstr>Calcs</vt:lpstr>
      <vt:lpstr>Check</vt:lpstr>
      <vt:lpstr>Summary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2021-09-04T07:21:30Z</cp:lastPrinted>
  <dcterms:created xsi:type="dcterms:W3CDTF">2013-12-09T04:26:09Z</dcterms:created>
  <dcterms:modified xsi:type="dcterms:W3CDTF">2022-10-20T09:18:06Z</dcterms:modified>
</cp:coreProperties>
</file>