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codeName="DieseArbeitsmappe" defaultThemeVersion="124226"/>
  <workbookProtection workbookPassword="A349" lockStructure="1"/>
  <bookViews>
    <workbookView xWindow="0" yWindow="0" windowWidth="28800" windowHeight="12435" tabRatio="848"/>
  </bookViews>
  <sheets>
    <sheet name="fimovi" sheetId="16" r:id="rId1"/>
    <sheet name="Full Version" sheetId="48" r:id="rId2"/>
    <sheet name="Quick Start" sheetId="34" r:id="rId3"/>
    <sheet name="Index" sheetId="2" r:id="rId4"/>
    <sheet name="Summary 01" sheetId="36" r:id="rId5"/>
    <sheet name="Summary 02" sheetId="35" r:id="rId6"/>
    <sheet name="Summary 03" sheetId="38" r:id="rId7"/>
    <sheet name="Summary 04" sheetId="39" r:id="rId8"/>
    <sheet name="Inputs" sheetId="1" r:id="rId9"/>
    <sheet name="Sales" sheetId="24" r:id="rId10"/>
    <sheet name="Human Resources" sheetId="21" r:id="rId11"/>
    <sheet name="Costs 01" sheetId="23" r:id="rId12"/>
    <sheet name="Costs 02" sheetId="46" r:id="rId13"/>
    <sheet name="Costs 03" sheetId="44" r:id="rId14"/>
    <sheet name="Capex" sheetId="22" r:id="rId15"/>
    <sheet name="Financing" sheetId="25" r:id="rId16"/>
    <sheet name="IFS" sheetId="26" r:id="rId17"/>
    <sheet name="Debtors+Creditors" sheetId="6" r:id="rId18"/>
    <sheet name="Taxes" sheetId="47" r:id="rId19"/>
    <sheet name="Timing" sheetId="3" r:id="rId20"/>
    <sheet name="Formats" sheetId="13" r:id="rId21"/>
  </sheets>
  <definedNames>
    <definedName name="AB_Lager_Alle">Inputs!$N$232:$N$241</definedName>
    <definedName name="AGSatz_Pausch">Inputs!$F$79</definedName>
    <definedName name="alloc_basis">Formats!$B$89:$B$91</definedName>
    <definedName name="alloc_dc">Inputs!$G$40</definedName>
    <definedName name="an_aus_darlehen1">Inputs!$F$100</definedName>
    <definedName name="an_aus_lager">Inputs!$F$199</definedName>
    <definedName name="bad_debts">Inputs!$F$43</definedName>
    <definedName name="Billion">Formats!$D$70</definedName>
    <definedName name="currency">Inputs!$F$15</definedName>
    <definedName name="Currency_Label">Timing!$I$33</definedName>
    <definedName name="Currency_Unit">Inputs!$F$16</definedName>
    <definedName name="Darlehen_02_Aufnahme">Financing!$J$49:$AG$49</definedName>
    <definedName name="Darlehen_02_Gebuehren">Financing!$J$122:$AG$122</definedName>
    <definedName name="Darlehen_02_manuell">Inputs!$F$119</definedName>
    <definedName name="Darlehen_02_Tilgung">Financing!$J$50:$AG$50</definedName>
    <definedName name="Darlehen_02_Zinsen">Financing!$J$120:$AG$120</definedName>
    <definedName name="Darlehen_03_Aufnahme">Financing!$J$54:$AG$54</definedName>
    <definedName name="Darlehen_03_Gebuehren">Financing!$J$132:$AG$132</definedName>
    <definedName name="Darlehen_03_manuell">Inputs!$F$124</definedName>
    <definedName name="Darlehen_03_Tilgung">Financing!$J$55:$AG$55</definedName>
    <definedName name="Darlehen_03_Zinsen">Financing!$J$130:$AG$130</definedName>
    <definedName name="Darlehen_04_Aufnahme">Financing!$J$59:$AG$59</definedName>
    <definedName name="Darlehen_04_Gebuehren">Financing!$J$142:$AG$142</definedName>
    <definedName name="Darlehen_04_manuell">Inputs!$F$129</definedName>
    <definedName name="Darlehen_04_Tilgung">Financing!$J$60:$AG$60</definedName>
    <definedName name="Darlehen_04_Zinsen">Financing!$J$140:$AG$140</definedName>
    <definedName name="days_yr">Formats!$D$62</definedName>
    <definedName name="_xlnm.Print_Area" localSheetId="11">'Costs 01'!$A$1:$AG$122</definedName>
    <definedName name="_xlnm.Print_Area" localSheetId="20">Formats!$A$1:$L$86</definedName>
    <definedName name="_xlnm.Print_Area" localSheetId="3">Index!$D$4:$R$51</definedName>
    <definedName name="_xlnm.Print_Area" localSheetId="8">Inputs!$B$1:$N$294</definedName>
    <definedName name="_xlnm.Print_Area" localSheetId="2">'Quick Start'!$A$1:$Q$126</definedName>
    <definedName name="_xlnm.Print_Area" localSheetId="9">Sales!$A$1:$AG$80</definedName>
    <definedName name="_xlnm.Print_Area" localSheetId="4">'Summary 01'!$B$1:$AO$385</definedName>
    <definedName name="_xlnm.Print_Area" localSheetId="5">'Summary 02'!$C$5:$AA$50</definedName>
    <definedName name="_xlnm.Print_Area" localSheetId="6">'Summary 03'!$C$5:$AA$58</definedName>
    <definedName name="_xlnm.Print_Area" localSheetId="7">'Summary 04'!$C$5:$AA$53</definedName>
    <definedName name="_xlnm.Print_Titles" localSheetId="11">'Costs 01'!$A:$D</definedName>
    <definedName name="_xlnm.Print_Titles" localSheetId="9">Sales!$A:$D</definedName>
    <definedName name="_xlnm.Print_Titles" localSheetId="5">'Summary 02'!$C:$G</definedName>
    <definedName name="_xlnm.Print_Titles" localSheetId="6">'Summary 03'!$C:$G</definedName>
    <definedName name="_xlnm.Print_Titles" localSheetId="7">'Summary 04'!$C:$D</definedName>
    <definedName name="Enddatum">Inputs!$F$22</definedName>
    <definedName name="Fehlerkontrolle">Inputs!$H$293</definedName>
    <definedName name="FK_01">IFS!$I$154</definedName>
    <definedName name="FK_02">IFS!$I$155</definedName>
    <definedName name="FK_03">'Summary 04'!$I$51</definedName>
    <definedName name="FK_04">Inputs!$F$251</definedName>
    <definedName name="FK_05">'Summary 01'!$J$54</definedName>
    <definedName name="FK_06">Financing!$I$77</definedName>
    <definedName name="FK_07">IFS!$I$108</definedName>
    <definedName name="FK_08">'Summary 02'!$I$50</definedName>
    <definedName name="FK_09">'Summary 03'!$I$58</definedName>
    <definedName name="FK_10">'Summary 04'!$I$53</definedName>
    <definedName name="FK_11">'Summary 01'!$I$78</definedName>
    <definedName name="FK_12">'Summary 01'!$I$289</definedName>
    <definedName name="FK_13">Taxes!$H$23</definedName>
    <definedName name="FK_14">Inputs!$J$151</definedName>
    <definedName name="FK_15">Inputs!$J$165</definedName>
    <definedName name="FK_16">IFS!$D$141</definedName>
    <definedName name="FK_17">IFS!$D$142</definedName>
    <definedName name="FK_18">IFS!$D$143</definedName>
    <definedName name="FK_19">IFS!$D$144</definedName>
    <definedName name="FK_20">IFS!$D$145</definedName>
    <definedName name="FK_21">Inputs!$E$317</definedName>
    <definedName name="FK_22">Inputs!$E$311</definedName>
    <definedName name="FK_23">Inputs!$E$323</definedName>
    <definedName name="FK_26">Inputs!$E$327</definedName>
    <definedName name="FK_27">Capex!$H$184</definedName>
    <definedName name="FK_28">Inputs!$E$311</definedName>
    <definedName name="FK_29">'Summary 01'!$J$337</definedName>
    <definedName name="FK_30">Inputs!$F$134</definedName>
    <definedName name="FK_31">'Costs 02'!$G$366</definedName>
    <definedName name="FK_32">'Costs 02'!$F$351</definedName>
    <definedName name="FK_33">'Costs 02'!$I$352</definedName>
    <definedName name="FQ_Torte">OFFSET('Summary 01'!$BD$394,0,0,MAX(COUNT('Summary 01'!$BD$394:$BD$399),1),1)</definedName>
    <definedName name="HR_group_01">Inputs!$C$49:$C$52</definedName>
    <definedName name="HR_group_02">Inputs!$C$55:$C$58</definedName>
    <definedName name="HR_group_03">Inputs!$C$61:$C$64</definedName>
    <definedName name="HR_group_04">Inputs!$C$67:$C$70</definedName>
    <definedName name="HR_group_05">Inputs!$C$73:$C$76</definedName>
    <definedName name="input_tax_01">Inputs!$F$190</definedName>
    <definedName name="input_tax_02">Inputs!$F$191</definedName>
    <definedName name="KSt_vorausz_j01">Inputs!$F$173</definedName>
    <definedName name="KSt_vorausz_j02">Inputs!$G$173</definedName>
    <definedName name="KSt_vorausz_j03">Inputs!$H$173</definedName>
    <definedName name="KSt_vorausz_j04">Inputs!$I$173</definedName>
    <definedName name="KSt_vorausz_j05">Inputs!$J$173</definedName>
    <definedName name="language">Inputs!$H$14</definedName>
    <definedName name="Million">Formats!$D$69</definedName>
    <definedName name="Months">Formats!$J$63:$J$74</definedName>
    <definedName name="months_yr">Formats!$D$63</definedName>
    <definedName name="mths_quarter">Formats!$D$65</definedName>
    <definedName name="Name_Author">Inputs!$F$12</definedName>
    <definedName name="Name_Company">Inputs!$F$9</definedName>
    <definedName name="name_debt_01">Inputs!$F$99</definedName>
    <definedName name="name_debt_02">Inputs!$F$118</definedName>
    <definedName name="name_debt_03">Inputs!$F$123</definedName>
    <definedName name="name_debt_04">Inputs!$F$128</definedName>
    <definedName name="Name_File">Inputs!$F$11</definedName>
    <definedName name="Name_legal_form">Inputs!$F$8</definedName>
    <definedName name="Name_Model">Inputs!$F$10</definedName>
    <definedName name="Name_VAT">Inputs!$F$180</definedName>
    <definedName name="Period_End">Timing!$J$5:$AG$5</definedName>
    <definedName name="Period_Start">Timing!$J$4:$AG$4</definedName>
    <definedName name="Periodicity">Formats!$J$77:$J$80</definedName>
    <definedName name="Pf_hor_ja">Formats!$D$80</definedName>
    <definedName name="Pf_hor_nein">Formats!$D$81</definedName>
    <definedName name="Pf_li">Formats!$D$78</definedName>
    <definedName name="Pf_re">Formats!$D$79</definedName>
    <definedName name="Pf_unt_ja">Formats!$D$76</definedName>
    <definedName name="Pf_unt_nein">Formats!$D$77</definedName>
    <definedName name="PP_creditors">Inputs!$F$155:$F$164</definedName>
    <definedName name="PP_debtors">Inputs!$F$141:$F$150</definedName>
    <definedName name="Product_01">Inputs!$C$28</definedName>
    <definedName name="Product_02">Inputs!$C$29</definedName>
    <definedName name="Product_03">Inputs!$C$30</definedName>
    <definedName name="Product_04">Inputs!$C$31</definedName>
    <definedName name="Product_05">Inputs!$C$32</definedName>
    <definedName name="Product_06">Inputs!$C$33</definedName>
    <definedName name="Product_07">Inputs!$C$34</definedName>
    <definedName name="Product_08">Inputs!$C$35</definedName>
    <definedName name="Product_09">Inputs!$C$36</definedName>
    <definedName name="Product_10">Inputs!$C$37</definedName>
    <definedName name="Product_names">Inputs!$C$28:$C$37</definedName>
    <definedName name="quarters_yr">Formats!$D$64</definedName>
    <definedName name="Rückzahlungsmethode">Formats!$D$88:$D$90</definedName>
    <definedName name="Startbil_A_01">Inputs!$F$223</definedName>
    <definedName name="Startbil_A_02">Inputs!$F$225</definedName>
    <definedName name="Startbil_A_03">Inputs!$F$226</definedName>
    <definedName name="Startbil_A_04">Inputs!$F$227</definedName>
    <definedName name="Startbil_A_05">Inputs!$F$228</definedName>
    <definedName name="Startbil_A_06">Inputs!$F$232</definedName>
    <definedName name="Startbil_A_07">Inputs!$F$233</definedName>
    <definedName name="Startbil_P_01">Inputs!$F$236</definedName>
    <definedName name="Startbil_P_02">Inputs!$F$237</definedName>
    <definedName name="Startbil_P_03">Inputs!$F$238</definedName>
    <definedName name="Startbil_P_04">Inputs!$F$239</definedName>
    <definedName name="Startbil_P_05">Inputs!$F$242</definedName>
    <definedName name="Startbil_P_06">Inputs!$F$247</definedName>
    <definedName name="Startbil_P_07">Inputs!$F$248</definedName>
    <definedName name="Startdatum">Inputs!$F$20</definedName>
    <definedName name="Thousand">Formats!$D$68</definedName>
    <definedName name="Tolerance">Formats!$D$67</definedName>
    <definedName name="VAT_Rate_00">Inputs!$F$182</definedName>
    <definedName name="VAT_Rate_01">Inputs!$F$183</definedName>
    <definedName name="VAT_Rate_02">Inputs!$F$184</definedName>
    <definedName name="VAT_Rate_03">Inputs!$F$185</definedName>
    <definedName name="VAT_Rates">Inputs!$C$182:$C$185</definedName>
    <definedName name="VerySmallNumber">Formats!$D$71</definedName>
    <definedName name="VV_KSt">Inputs!$F$170</definedName>
  </definedNames>
  <calcPr calcId="145621" iterate="1"/>
</workbook>
</file>

<file path=xl/calcChain.xml><?xml version="1.0" encoding="utf-8"?>
<calcChain xmlns="http://schemas.openxmlformats.org/spreadsheetml/2006/main">
  <c r="F38" i="48" l="1"/>
  <c r="D38" i="48"/>
  <c r="F33" i="48"/>
  <c r="D33" i="48"/>
  <c r="J6" i="26" l="1"/>
  <c r="K6" i="26"/>
  <c r="K46" i="26" s="1"/>
  <c r="N45" i="35" s="1"/>
  <c r="L6" i="26"/>
  <c r="L102" i="26" s="1"/>
  <c r="O51" i="38" s="1"/>
  <c r="M6" i="26"/>
  <c r="N6" i="26"/>
  <c r="O6" i="26"/>
  <c r="O45" i="26" s="1"/>
  <c r="P6" i="26"/>
  <c r="P102" i="26" s="1"/>
  <c r="P52" i="26" s="1"/>
  <c r="Q6" i="26"/>
  <c r="Q96" i="26" s="1"/>
  <c r="T45" i="38" s="1"/>
  <c r="R6" i="26"/>
  <c r="S6" i="26"/>
  <c r="S96" i="26" s="1"/>
  <c r="T6" i="26"/>
  <c r="T94" i="26" s="1"/>
  <c r="U6" i="26"/>
  <c r="U94" i="26" s="1"/>
  <c r="V6" i="26"/>
  <c r="W6" i="26"/>
  <c r="W95" i="26" s="1"/>
  <c r="X6" i="26"/>
  <c r="X102" i="26" s="1"/>
  <c r="X52" i="26" s="1"/>
  <c r="Y6" i="26"/>
  <c r="Z6" i="26"/>
  <c r="AA6" i="26"/>
  <c r="AA94" i="26" s="1"/>
  <c r="AB6" i="26"/>
  <c r="AC6" i="26"/>
  <c r="AC102" i="26" s="1"/>
  <c r="AC52" i="26" s="1"/>
  <c r="AD6" i="26"/>
  <c r="AE6" i="26"/>
  <c r="AF6" i="26"/>
  <c r="AG6" i="26"/>
  <c r="AG95" i="26" s="1"/>
  <c r="J11" i="35"/>
  <c r="J12" i="35"/>
  <c r="J13" i="35"/>
  <c r="J14" i="35"/>
  <c r="J15" i="35"/>
  <c r="J16" i="35"/>
  <c r="J17" i="35"/>
  <c r="J18" i="35"/>
  <c r="J19" i="35"/>
  <c r="J20" i="35"/>
  <c r="J23" i="35"/>
  <c r="J24" i="35"/>
  <c r="J25" i="35"/>
  <c r="J30" i="35"/>
  <c r="J31" i="35"/>
  <c r="J32" i="35"/>
  <c r="J33" i="35"/>
  <c r="J34" i="35"/>
  <c r="J37" i="35"/>
  <c r="J38" i="35"/>
  <c r="J39" i="35"/>
  <c r="J40" i="35"/>
  <c r="J42" i="35"/>
  <c r="J43" i="35"/>
  <c r="J44" i="35"/>
  <c r="J45" i="35"/>
  <c r="J47" i="35"/>
  <c r="K11" i="35"/>
  <c r="K12" i="35"/>
  <c r="K13" i="35"/>
  <c r="K14" i="35"/>
  <c r="K15" i="35"/>
  <c r="K16" i="35"/>
  <c r="K17" i="35"/>
  <c r="K18" i="35"/>
  <c r="K19" i="35"/>
  <c r="K20" i="35"/>
  <c r="K23" i="35"/>
  <c r="K24" i="35"/>
  <c r="K25" i="35"/>
  <c r="K30" i="35"/>
  <c r="K31" i="35"/>
  <c r="K32" i="35"/>
  <c r="K33" i="35"/>
  <c r="K34" i="35"/>
  <c r="K37" i="35"/>
  <c r="K38" i="35"/>
  <c r="K39" i="35"/>
  <c r="K40" i="35"/>
  <c r="K42" i="35"/>
  <c r="K43" i="35"/>
  <c r="K44" i="35"/>
  <c r="K45" i="35"/>
  <c r="K47" i="35"/>
  <c r="L11" i="35"/>
  <c r="L12" i="35"/>
  <c r="L13" i="35"/>
  <c r="L14" i="35"/>
  <c r="L15" i="35"/>
  <c r="L16" i="35"/>
  <c r="L17" i="35"/>
  <c r="L18" i="35"/>
  <c r="L19" i="35"/>
  <c r="L20" i="35"/>
  <c r="L23" i="35"/>
  <c r="L24" i="35"/>
  <c r="L25" i="35"/>
  <c r="L30" i="35"/>
  <c r="L31" i="35"/>
  <c r="L32" i="35"/>
  <c r="L33" i="35"/>
  <c r="L34" i="35"/>
  <c r="L37" i="35"/>
  <c r="L38" i="35"/>
  <c r="L39" i="35"/>
  <c r="L40" i="35"/>
  <c r="L42" i="35"/>
  <c r="L43" i="35"/>
  <c r="L44" i="35"/>
  <c r="L45" i="35"/>
  <c r="L47" i="35"/>
  <c r="J74" i="24"/>
  <c r="J26" i="23"/>
  <c r="J28" i="23" s="1"/>
  <c r="E69" i="23"/>
  <c r="F69" i="23" s="1"/>
  <c r="G69" i="23" s="1"/>
  <c r="J30" i="23"/>
  <c r="J32" i="23" s="1"/>
  <c r="J34" i="23"/>
  <c r="J36" i="23" s="1"/>
  <c r="J42" i="23"/>
  <c r="J46" i="23"/>
  <c r="J48" i="23" s="1"/>
  <c r="J50" i="23"/>
  <c r="J52" i="23" s="1"/>
  <c r="J54" i="23"/>
  <c r="J58" i="23"/>
  <c r="J60" i="23" s="1"/>
  <c r="J62" i="23"/>
  <c r="J64" i="23" s="1"/>
  <c r="J8" i="46"/>
  <c r="G48" i="1"/>
  <c r="F304" i="46"/>
  <c r="F305" i="46"/>
  <c r="F306" i="46"/>
  <c r="F307" i="46"/>
  <c r="F308" i="46"/>
  <c r="F309" i="46"/>
  <c r="F310" i="46"/>
  <c r="F311" i="46"/>
  <c r="F312" i="46"/>
  <c r="F313" i="46"/>
  <c r="J8" i="21"/>
  <c r="E123" i="21"/>
  <c r="E124" i="21"/>
  <c r="E125" i="21"/>
  <c r="J21" i="21"/>
  <c r="E120" i="21"/>
  <c r="E121" i="21"/>
  <c r="E122" i="21"/>
  <c r="E132" i="21"/>
  <c r="E133" i="21"/>
  <c r="E134" i="21"/>
  <c r="J28" i="21"/>
  <c r="E129" i="21"/>
  <c r="E130" i="21"/>
  <c r="E131" i="21"/>
  <c r="AD131" i="21" s="1"/>
  <c r="E141" i="21"/>
  <c r="E142" i="21"/>
  <c r="E143" i="21"/>
  <c r="J35" i="21"/>
  <c r="E138" i="21"/>
  <c r="E139" i="21"/>
  <c r="E140" i="21"/>
  <c r="AB140" i="21" s="1"/>
  <c r="E150" i="21"/>
  <c r="E151" i="21"/>
  <c r="E152" i="21"/>
  <c r="J42" i="21"/>
  <c r="E147" i="21"/>
  <c r="S147" i="21" s="1"/>
  <c r="E148" i="21"/>
  <c r="E149" i="21"/>
  <c r="J166" i="22"/>
  <c r="F82" i="24"/>
  <c r="J177" i="22"/>
  <c r="J178" i="22"/>
  <c r="J179" i="22"/>
  <c r="I18" i="22"/>
  <c r="I51" i="22"/>
  <c r="I77" i="22"/>
  <c r="I103" i="22"/>
  <c r="I135" i="22"/>
  <c r="I69" i="25"/>
  <c r="J66" i="25" s="1"/>
  <c r="J97" i="25"/>
  <c r="F104" i="1"/>
  <c r="F107" i="1" s="1"/>
  <c r="E15" i="25"/>
  <c r="F15" i="25" s="1"/>
  <c r="I76" i="25"/>
  <c r="J35" i="25" s="1"/>
  <c r="J45" i="26"/>
  <c r="M44" i="35" s="1"/>
  <c r="J46" i="26"/>
  <c r="M45" i="35" s="1"/>
  <c r="J7" i="6"/>
  <c r="E126" i="6"/>
  <c r="E182" i="6"/>
  <c r="E55" i="47"/>
  <c r="F55" i="47" s="1"/>
  <c r="G55" i="47"/>
  <c r="H55" i="47" s="1"/>
  <c r="J48" i="47"/>
  <c r="J7" i="47"/>
  <c r="F59" i="47"/>
  <c r="E15" i="6"/>
  <c r="F15" i="6"/>
  <c r="G15" i="6"/>
  <c r="H15" i="6"/>
  <c r="J8" i="6"/>
  <c r="E16" i="6"/>
  <c r="F16" i="6"/>
  <c r="G16" i="6"/>
  <c r="H16" i="6"/>
  <c r="E17" i="6"/>
  <c r="O72" i="24"/>
  <c r="F17" i="6"/>
  <c r="G17" i="6"/>
  <c r="H17" i="6"/>
  <c r="E18" i="6"/>
  <c r="F18" i="6"/>
  <c r="G18" i="6"/>
  <c r="H18" i="6"/>
  <c r="E19" i="6"/>
  <c r="K74" i="24"/>
  <c r="L74" i="24"/>
  <c r="L159" i="23" s="1"/>
  <c r="M74" i="24"/>
  <c r="N74" i="24"/>
  <c r="N159" i="23" s="1"/>
  <c r="O74" i="24"/>
  <c r="O159" i="23" s="1"/>
  <c r="P74" i="24"/>
  <c r="P159" i="23" s="1"/>
  <c r="Q74" i="24"/>
  <c r="R74" i="24"/>
  <c r="S74" i="24"/>
  <c r="F19" i="6"/>
  <c r="G19" i="6"/>
  <c r="H19" i="6"/>
  <c r="E20" i="6"/>
  <c r="F20" i="6"/>
  <c r="G20" i="6"/>
  <c r="H20" i="6"/>
  <c r="E21" i="6"/>
  <c r="F21" i="6"/>
  <c r="G21" i="6"/>
  <c r="H21" i="6"/>
  <c r="E22" i="6"/>
  <c r="F22" i="6"/>
  <c r="G22" i="6"/>
  <c r="H22" i="6"/>
  <c r="E23" i="6"/>
  <c r="F23" i="6"/>
  <c r="G23" i="6"/>
  <c r="H23" i="6"/>
  <c r="E24" i="6"/>
  <c r="F24" i="6"/>
  <c r="G24" i="6"/>
  <c r="H24" i="6"/>
  <c r="E25" i="6"/>
  <c r="F25" i="6"/>
  <c r="E35" i="6"/>
  <c r="F35" i="6"/>
  <c r="G35" i="6"/>
  <c r="H35" i="6"/>
  <c r="E36" i="6"/>
  <c r="F36" i="6"/>
  <c r="G36" i="6"/>
  <c r="H36" i="6"/>
  <c r="E37" i="6"/>
  <c r="F37" i="6"/>
  <c r="G37" i="6"/>
  <c r="H37" i="6"/>
  <c r="E38" i="6"/>
  <c r="F38" i="6"/>
  <c r="G38" i="6"/>
  <c r="H38" i="6"/>
  <c r="E39" i="6"/>
  <c r="F39" i="6"/>
  <c r="G39" i="6"/>
  <c r="H39" i="6"/>
  <c r="E40" i="6"/>
  <c r="F40" i="6"/>
  <c r="G40" i="6"/>
  <c r="H40" i="6"/>
  <c r="E41" i="6"/>
  <c r="F41" i="6"/>
  <c r="G41" i="6"/>
  <c r="H41" i="6"/>
  <c r="E42" i="6"/>
  <c r="F42" i="6"/>
  <c r="G42" i="6"/>
  <c r="H42" i="6"/>
  <c r="E43" i="6"/>
  <c r="F43" i="6"/>
  <c r="G43" i="6"/>
  <c r="H43" i="6"/>
  <c r="E44" i="6"/>
  <c r="F44" i="6"/>
  <c r="G44" i="6"/>
  <c r="H44" i="6"/>
  <c r="J12" i="25"/>
  <c r="J62" i="26" s="1"/>
  <c r="M11" i="38" s="1"/>
  <c r="J13" i="25"/>
  <c r="J63" i="26" s="1"/>
  <c r="M12" i="38" s="1"/>
  <c r="E81" i="6"/>
  <c r="F81" i="6"/>
  <c r="G81" i="6"/>
  <c r="H81" i="6"/>
  <c r="E82" i="6"/>
  <c r="F82" i="6"/>
  <c r="G82" i="6"/>
  <c r="H82" i="6"/>
  <c r="E83" i="6"/>
  <c r="F83" i="6"/>
  <c r="G83" i="6"/>
  <c r="H83" i="6"/>
  <c r="E84" i="6"/>
  <c r="F84" i="6"/>
  <c r="G84" i="6"/>
  <c r="H84" i="6"/>
  <c r="E85" i="6"/>
  <c r="F85" i="6"/>
  <c r="G85" i="6"/>
  <c r="H85" i="6"/>
  <c r="E86" i="6"/>
  <c r="F86" i="6"/>
  <c r="G86" i="6"/>
  <c r="H86" i="6"/>
  <c r="E87" i="6"/>
  <c r="F87" i="6"/>
  <c r="G87" i="6"/>
  <c r="H87" i="6"/>
  <c r="E88" i="6"/>
  <c r="F88" i="6"/>
  <c r="G88" i="6"/>
  <c r="H88" i="6"/>
  <c r="E89" i="6"/>
  <c r="F89" i="6"/>
  <c r="G89" i="6"/>
  <c r="H89" i="6"/>
  <c r="E90" i="6"/>
  <c r="F90" i="6"/>
  <c r="G90" i="6"/>
  <c r="H90" i="6"/>
  <c r="F125" i="23"/>
  <c r="I133" i="23"/>
  <c r="J131" i="23" s="1"/>
  <c r="E57" i="6"/>
  <c r="K26" i="23"/>
  <c r="K28" i="23" s="1"/>
  <c r="L26" i="23"/>
  <c r="L28" i="23" s="1"/>
  <c r="M26" i="23"/>
  <c r="M28" i="23"/>
  <c r="N26" i="23"/>
  <c r="N28" i="23" s="1"/>
  <c r="O26" i="23"/>
  <c r="O28" i="23" s="1"/>
  <c r="P26" i="23"/>
  <c r="P28" i="23" s="1"/>
  <c r="Q26" i="23"/>
  <c r="Q28" i="23" s="1"/>
  <c r="R26" i="23"/>
  <c r="R28" i="23" s="1"/>
  <c r="S26" i="23"/>
  <c r="S28" i="23" s="1"/>
  <c r="T26" i="23"/>
  <c r="T28" i="23" s="1"/>
  <c r="U26" i="23"/>
  <c r="U28" i="23" s="1"/>
  <c r="V26" i="23"/>
  <c r="V28" i="23" s="1"/>
  <c r="W26" i="23"/>
  <c r="W28" i="23" s="1"/>
  <c r="X26" i="23"/>
  <c r="X28" i="23" s="1"/>
  <c r="Y26" i="23"/>
  <c r="Y28" i="23" s="1"/>
  <c r="Z26" i="23"/>
  <c r="Z28" i="23" s="1"/>
  <c r="AA26" i="23"/>
  <c r="AA28" i="23" s="1"/>
  <c r="AB26" i="23"/>
  <c r="AB28" i="23" s="1"/>
  <c r="AC26" i="23"/>
  <c r="AC28" i="23" s="1"/>
  <c r="AD26" i="23"/>
  <c r="AD28" i="23" s="1"/>
  <c r="AE26" i="23"/>
  <c r="AE28" i="23" s="1"/>
  <c r="AF26" i="23"/>
  <c r="AF28" i="23" s="1"/>
  <c r="AG26" i="23"/>
  <c r="AG28" i="23" s="1"/>
  <c r="F57" i="6"/>
  <c r="G57" i="6"/>
  <c r="H57" i="6"/>
  <c r="I141" i="23"/>
  <c r="J139" i="23" s="1"/>
  <c r="E58" i="6"/>
  <c r="K30" i="23"/>
  <c r="K32" i="23" s="1"/>
  <c r="L30" i="23"/>
  <c r="L32" i="23" s="1"/>
  <c r="M30" i="23"/>
  <c r="M32" i="23" s="1"/>
  <c r="N30" i="23"/>
  <c r="N32" i="23" s="1"/>
  <c r="O30" i="23"/>
  <c r="O32" i="23" s="1"/>
  <c r="P30" i="23"/>
  <c r="P32" i="23" s="1"/>
  <c r="Q30" i="23"/>
  <c r="Q32" i="23" s="1"/>
  <c r="R30" i="23"/>
  <c r="R32" i="23" s="1"/>
  <c r="S30" i="23"/>
  <c r="S32" i="23" s="1"/>
  <c r="T30" i="23"/>
  <c r="T32" i="23" s="1"/>
  <c r="U30" i="23"/>
  <c r="U32" i="23" s="1"/>
  <c r="V30" i="23"/>
  <c r="V32" i="23" s="1"/>
  <c r="W30" i="23"/>
  <c r="W32" i="23" s="1"/>
  <c r="X30" i="23"/>
  <c r="X32" i="23" s="1"/>
  <c r="Y30" i="23"/>
  <c r="Y32" i="23" s="1"/>
  <c r="Z30" i="23"/>
  <c r="Z32" i="23" s="1"/>
  <c r="AA30" i="23"/>
  <c r="AA32" i="23" s="1"/>
  <c r="AB30" i="23"/>
  <c r="AB32" i="23" s="1"/>
  <c r="AC30" i="23"/>
  <c r="AC32" i="23" s="1"/>
  <c r="AD30" i="23"/>
  <c r="AD32" i="23" s="1"/>
  <c r="AE30" i="23"/>
  <c r="AE32" i="23" s="1"/>
  <c r="AF30" i="23"/>
  <c r="AF32" i="23" s="1"/>
  <c r="AG30" i="23"/>
  <c r="AG32" i="23" s="1"/>
  <c r="V135" i="23"/>
  <c r="F58" i="6"/>
  <c r="G58" i="6"/>
  <c r="H58" i="6"/>
  <c r="I149" i="23"/>
  <c r="J147" i="23" s="1"/>
  <c r="E59" i="6"/>
  <c r="K34" i="23"/>
  <c r="K36" i="23" s="1"/>
  <c r="L34" i="23"/>
  <c r="L36" i="23" s="1"/>
  <c r="M34" i="23"/>
  <c r="M36" i="23" s="1"/>
  <c r="N34" i="23"/>
  <c r="N36" i="23" s="1"/>
  <c r="O34" i="23"/>
  <c r="O36" i="23" s="1"/>
  <c r="P34" i="23"/>
  <c r="P36" i="23" s="1"/>
  <c r="Q34" i="23"/>
  <c r="Q36" i="23" s="1"/>
  <c r="R34" i="23"/>
  <c r="R36" i="23" s="1"/>
  <c r="S34" i="23"/>
  <c r="S36" i="23" s="1"/>
  <c r="T34" i="23"/>
  <c r="T36" i="23" s="1"/>
  <c r="U34" i="23"/>
  <c r="U36" i="23" s="1"/>
  <c r="V34" i="23"/>
  <c r="V36" i="23" s="1"/>
  <c r="W34" i="23"/>
  <c r="W36" i="23" s="1"/>
  <c r="X34" i="23"/>
  <c r="X36" i="23" s="1"/>
  <c r="Y34" i="23"/>
  <c r="Y36" i="23" s="1"/>
  <c r="Z34" i="23"/>
  <c r="Z36" i="23" s="1"/>
  <c r="AA34" i="23"/>
  <c r="AA36" i="23" s="1"/>
  <c r="AB34" i="23"/>
  <c r="AB36" i="23" s="1"/>
  <c r="AC34" i="23"/>
  <c r="AC36" i="23" s="1"/>
  <c r="AD34" i="23"/>
  <c r="AD36" i="23" s="1"/>
  <c r="AE34" i="23"/>
  <c r="AE36" i="23" s="1"/>
  <c r="AF34" i="23"/>
  <c r="AF36" i="23" s="1"/>
  <c r="AG34" i="23"/>
  <c r="AG36" i="23" s="1"/>
  <c r="F59" i="6"/>
  <c r="G59" i="6"/>
  <c r="H59" i="6"/>
  <c r="I157" i="23"/>
  <c r="J155" i="23" s="1"/>
  <c r="E60" i="6"/>
  <c r="F60" i="6"/>
  <c r="G60" i="6"/>
  <c r="H60" i="6"/>
  <c r="I165" i="23"/>
  <c r="J163" i="23" s="1"/>
  <c r="E61" i="6"/>
  <c r="K42" i="23"/>
  <c r="K44" i="23" s="1"/>
  <c r="L42" i="23"/>
  <c r="L44" i="23" s="1"/>
  <c r="M42" i="23"/>
  <c r="M44" i="23" s="1"/>
  <c r="N42" i="23"/>
  <c r="N44" i="23" s="1"/>
  <c r="O42" i="23"/>
  <c r="O44" i="23" s="1"/>
  <c r="P42" i="23"/>
  <c r="P44" i="23" s="1"/>
  <c r="Q42" i="23"/>
  <c r="Q44" i="23" s="1"/>
  <c r="R42" i="23"/>
  <c r="R44" i="23" s="1"/>
  <c r="S42" i="23"/>
  <c r="S44" i="23" s="1"/>
  <c r="T42" i="23"/>
  <c r="T44" i="23" s="1"/>
  <c r="U42" i="23"/>
  <c r="U44" i="23" s="1"/>
  <c r="V42" i="23"/>
  <c r="V44" i="23" s="1"/>
  <c r="W42" i="23"/>
  <c r="W44" i="23" s="1"/>
  <c r="X42" i="23"/>
  <c r="X44" i="23" s="1"/>
  <c r="Y42" i="23"/>
  <c r="Y44" i="23" s="1"/>
  <c r="Z42" i="23"/>
  <c r="Z44" i="23" s="1"/>
  <c r="AA42" i="23"/>
  <c r="AA44" i="23" s="1"/>
  <c r="AB42" i="23"/>
  <c r="AB44" i="23" s="1"/>
  <c r="AC42" i="23"/>
  <c r="AC44" i="23" s="1"/>
  <c r="AD42" i="23"/>
  <c r="AD44" i="23" s="1"/>
  <c r="AE42" i="23"/>
  <c r="AE44" i="23" s="1"/>
  <c r="AF42" i="23"/>
  <c r="AF44" i="23" s="1"/>
  <c r="AG42" i="23"/>
  <c r="AG44" i="23" s="1"/>
  <c r="F61" i="6"/>
  <c r="G61" i="6"/>
  <c r="H61" i="6"/>
  <c r="I173" i="23"/>
  <c r="J171" i="23" s="1"/>
  <c r="E62" i="6"/>
  <c r="K46" i="23"/>
  <c r="K48" i="23"/>
  <c r="L46" i="23"/>
  <c r="L48" i="23" s="1"/>
  <c r="M46" i="23"/>
  <c r="M48" i="23" s="1"/>
  <c r="N46" i="23"/>
  <c r="N48" i="23" s="1"/>
  <c r="O46" i="23"/>
  <c r="O48" i="23" s="1"/>
  <c r="P46" i="23"/>
  <c r="P48" i="23" s="1"/>
  <c r="Q46" i="23"/>
  <c r="Q48" i="23" s="1"/>
  <c r="R46" i="23"/>
  <c r="R48" i="23" s="1"/>
  <c r="S46" i="23"/>
  <c r="S48" i="23" s="1"/>
  <c r="T46" i="23"/>
  <c r="T48" i="23" s="1"/>
  <c r="U46" i="23"/>
  <c r="U48" i="23" s="1"/>
  <c r="V46" i="23"/>
  <c r="W46" i="23"/>
  <c r="W48" i="23"/>
  <c r="X46" i="23"/>
  <c r="X48" i="23" s="1"/>
  <c r="Y46" i="23"/>
  <c r="Y48" i="23" s="1"/>
  <c r="Z46" i="23"/>
  <c r="Z48" i="23"/>
  <c r="AA46" i="23"/>
  <c r="AA48" i="23" s="1"/>
  <c r="AB46" i="23"/>
  <c r="AB48" i="23" s="1"/>
  <c r="AC46" i="23"/>
  <c r="AC48" i="23"/>
  <c r="AD46" i="23"/>
  <c r="AD48" i="23" s="1"/>
  <c r="AE46" i="23"/>
  <c r="AE48" i="23" s="1"/>
  <c r="AF46" i="23"/>
  <c r="AF48" i="23" s="1"/>
  <c r="AG46" i="23"/>
  <c r="AG48" i="23" s="1"/>
  <c r="L167" i="23"/>
  <c r="F62" i="6"/>
  <c r="G62" i="6"/>
  <c r="H62" i="6"/>
  <c r="I181" i="23"/>
  <c r="J179" i="23" s="1"/>
  <c r="E63" i="6"/>
  <c r="K50" i="23"/>
  <c r="K52" i="23" s="1"/>
  <c r="L50" i="23"/>
  <c r="L52" i="23" s="1"/>
  <c r="M50" i="23"/>
  <c r="M52" i="23" s="1"/>
  <c r="N50" i="23"/>
  <c r="N52" i="23" s="1"/>
  <c r="O50" i="23"/>
  <c r="O52" i="23" s="1"/>
  <c r="P50" i="23"/>
  <c r="P52" i="23"/>
  <c r="Q50" i="23"/>
  <c r="Q52" i="23" s="1"/>
  <c r="R50" i="23"/>
  <c r="R52" i="23" s="1"/>
  <c r="S50" i="23"/>
  <c r="S52" i="23" s="1"/>
  <c r="T50" i="23"/>
  <c r="T52" i="23" s="1"/>
  <c r="U50" i="23"/>
  <c r="U52" i="23" s="1"/>
  <c r="V50" i="23"/>
  <c r="V52" i="23" s="1"/>
  <c r="W50" i="23"/>
  <c r="W52" i="23" s="1"/>
  <c r="X50" i="23"/>
  <c r="X52" i="23" s="1"/>
  <c r="Y50" i="23"/>
  <c r="Y52" i="23" s="1"/>
  <c r="Z50" i="23"/>
  <c r="Z52" i="23" s="1"/>
  <c r="AA50" i="23"/>
  <c r="AA52" i="23" s="1"/>
  <c r="AB50" i="23"/>
  <c r="AB52" i="23" s="1"/>
  <c r="AC50" i="23"/>
  <c r="AC52" i="23" s="1"/>
  <c r="AD50" i="23"/>
  <c r="AD52" i="23" s="1"/>
  <c r="AE50" i="23"/>
  <c r="AE52" i="23" s="1"/>
  <c r="AF50" i="23"/>
  <c r="AF52" i="23" s="1"/>
  <c r="AG50" i="23"/>
  <c r="AG52" i="23" s="1"/>
  <c r="F63" i="6"/>
  <c r="G63" i="6"/>
  <c r="H63" i="6"/>
  <c r="I189" i="23"/>
  <c r="J187" i="23" s="1"/>
  <c r="E64" i="6"/>
  <c r="K54" i="23"/>
  <c r="K56" i="23" s="1"/>
  <c r="L54" i="23"/>
  <c r="L56" i="23" s="1"/>
  <c r="M54" i="23"/>
  <c r="M56" i="23" s="1"/>
  <c r="N54" i="23"/>
  <c r="N56" i="23" s="1"/>
  <c r="O54" i="23"/>
  <c r="O56" i="23" s="1"/>
  <c r="P54" i="23"/>
  <c r="P56" i="23" s="1"/>
  <c r="Q54" i="23"/>
  <c r="Q56" i="23" s="1"/>
  <c r="R54" i="23"/>
  <c r="R56" i="23" s="1"/>
  <c r="S54" i="23"/>
  <c r="S56" i="23" s="1"/>
  <c r="T54" i="23"/>
  <c r="T56" i="23" s="1"/>
  <c r="U54" i="23"/>
  <c r="U56" i="23" s="1"/>
  <c r="V54" i="23"/>
  <c r="V56" i="23" s="1"/>
  <c r="W54" i="23"/>
  <c r="W56" i="23" s="1"/>
  <c r="X54" i="23"/>
  <c r="X56" i="23" s="1"/>
  <c r="Y54" i="23"/>
  <c r="Y56" i="23" s="1"/>
  <c r="Z54" i="23"/>
  <c r="Z56" i="23" s="1"/>
  <c r="AA54" i="23"/>
  <c r="AA56" i="23" s="1"/>
  <c r="AB54" i="23"/>
  <c r="AB56" i="23" s="1"/>
  <c r="AC54" i="23"/>
  <c r="AC56" i="23" s="1"/>
  <c r="AD54" i="23"/>
  <c r="AD56" i="23" s="1"/>
  <c r="AE54" i="23"/>
  <c r="AE56" i="23"/>
  <c r="AF54" i="23"/>
  <c r="AF56" i="23" s="1"/>
  <c r="AG54" i="23"/>
  <c r="AG56" i="23" s="1"/>
  <c r="F64" i="6"/>
  <c r="G64" i="6"/>
  <c r="H64" i="6"/>
  <c r="I197" i="23"/>
  <c r="J195" i="23" s="1"/>
  <c r="E65" i="6"/>
  <c r="K58" i="23"/>
  <c r="K60" i="23" s="1"/>
  <c r="L58" i="23"/>
  <c r="L60" i="23" s="1"/>
  <c r="M58" i="23"/>
  <c r="M60" i="23" s="1"/>
  <c r="N58" i="23"/>
  <c r="N60" i="23" s="1"/>
  <c r="O58" i="23"/>
  <c r="O60" i="23" s="1"/>
  <c r="P58" i="23"/>
  <c r="P60" i="23" s="1"/>
  <c r="Q58" i="23"/>
  <c r="Q60" i="23" s="1"/>
  <c r="R58" i="23"/>
  <c r="R60" i="23" s="1"/>
  <c r="S58" i="23"/>
  <c r="S60" i="23" s="1"/>
  <c r="T58" i="23"/>
  <c r="T60" i="23" s="1"/>
  <c r="U58" i="23"/>
  <c r="U60" i="23" s="1"/>
  <c r="V58" i="23"/>
  <c r="V60" i="23" s="1"/>
  <c r="W58" i="23"/>
  <c r="W60" i="23" s="1"/>
  <c r="X58" i="23"/>
  <c r="X60" i="23" s="1"/>
  <c r="Y58" i="23"/>
  <c r="Y60" i="23" s="1"/>
  <c r="Z58" i="23"/>
  <c r="Z60" i="23" s="1"/>
  <c r="AA58" i="23"/>
  <c r="AA60" i="23" s="1"/>
  <c r="AB58" i="23"/>
  <c r="AB60" i="23" s="1"/>
  <c r="AC58" i="23"/>
  <c r="AC60" i="23" s="1"/>
  <c r="AD58" i="23"/>
  <c r="AD60" i="23" s="1"/>
  <c r="AE58" i="23"/>
  <c r="AE60" i="23" s="1"/>
  <c r="AF58" i="23"/>
  <c r="AF60" i="23" s="1"/>
  <c r="AG58" i="23"/>
  <c r="AG60" i="23" s="1"/>
  <c r="F65" i="6"/>
  <c r="G65" i="6"/>
  <c r="H65" i="6"/>
  <c r="I205" i="23"/>
  <c r="J203" i="23" s="1"/>
  <c r="E66" i="6"/>
  <c r="K62" i="23"/>
  <c r="L62" i="23"/>
  <c r="L64" i="23" s="1"/>
  <c r="M62" i="23"/>
  <c r="M64" i="23" s="1"/>
  <c r="N62" i="23"/>
  <c r="N64" i="23" s="1"/>
  <c r="O62" i="23"/>
  <c r="O64" i="23" s="1"/>
  <c r="P62" i="23"/>
  <c r="P64" i="23" s="1"/>
  <c r="Q62" i="23"/>
  <c r="Q64" i="23" s="1"/>
  <c r="R62" i="23"/>
  <c r="R64" i="23" s="1"/>
  <c r="S62" i="23"/>
  <c r="S64" i="23" s="1"/>
  <c r="T62" i="23"/>
  <c r="T64" i="23" s="1"/>
  <c r="U62" i="23"/>
  <c r="U64" i="23" s="1"/>
  <c r="V62" i="23"/>
  <c r="V64" i="23" s="1"/>
  <c r="W62" i="23"/>
  <c r="W64" i="23" s="1"/>
  <c r="X62" i="23"/>
  <c r="X64" i="23" s="1"/>
  <c r="Y62" i="23"/>
  <c r="Y64" i="23" s="1"/>
  <c r="Z62" i="23"/>
  <c r="Z64" i="23" s="1"/>
  <c r="AA62" i="23"/>
  <c r="AA64" i="23" s="1"/>
  <c r="AB62" i="23"/>
  <c r="AB64" i="23" s="1"/>
  <c r="AC62" i="23"/>
  <c r="AC64" i="23" s="1"/>
  <c r="AD62" i="23"/>
  <c r="AD64" i="23" s="1"/>
  <c r="AE62" i="23"/>
  <c r="AE64" i="23" s="1"/>
  <c r="AF62" i="23"/>
  <c r="AF64" i="23" s="1"/>
  <c r="AG62" i="23"/>
  <c r="AG64" i="23" s="1"/>
  <c r="F66" i="6"/>
  <c r="G66" i="6"/>
  <c r="H66" i="6"/>
  <c r="E67" i="6"/>
  <c r="F67" i="6"/>
  <c r="E77" i="6"/>
  <c r="J195" i="6"/>
  <c r="J21" i="25" s="1"/>
  <c r="J74" i="26" s="1"/>
  <c r="M23" i="38" s="1"/>
  <c r="J22" i="25"/>
  <c r="J16" i="22"/>
  <c r="J161" i="22" s="1"/>
  <c r="J49" i="22"/>
  <c r="J75" i="22"/>
  <c r="J101" i="22"/>
  <c r="J133" i="22"/>
  <c r="J153" i="22" s="1"/>
  <c r="H10" i="22"/>
  <c r="G32" i="22" s="1"/>
  <c r="H42" i="22"/>
  <c r="G65" i="22" s="1"/>
  <c r="H68" i="22"/>
  <c r="G91" i="22" s="1"/>
  <c r="H94" i="22"/>
  <c r="G117" i="22" s="1"/>
  <c r="H127" i="22"/>
  <c r="G149" i="22" s="1"/>
  <c r="J169" i="22"/>
  <c r="J24" i="25" s="1"/>
  <c r="J170" i="22"/>
  <c r="J25" i="25" s="1"/>
  <c r="J78" i="26" s="1"/>
  <c r="M27" i="38" s="1"/>
  <c r="J26" i="25"/>
  <c r="J27" i="25"/>
  <c r="J80" i="26" s="1"/>
  <c r="F103" i="25"/>
  <c r="F89" i="25"/>
  <c r="Q89" i="25" s="1"/>
  <c r="I147" i="25"/>
  <c r="J145" i="25" s="1"/>
  <c r="J32" i="25"/>
  <c r="E42" i="25"/>
  <c r="K8" i="46"/>
  <c r="K8" i="21"/>
  <c r="K21" i="21"/>
  <c r="K28" i="21"/>
  <c r="K35" i="21"/>
  <c r="K42" i="21"/>
  <c r="K166" i="22"/>
  <c r="K38" i="26" s="1"/>
  <c r="N37" i="35" s="1"/>
  <c r="K177" i="22"/>
  <c r="K178" i="22"/>
  <c r="K179" i="22"/>
  <c r="J77" i="22"/>
  <c r="K7" i="6"/>
  <c r="K150" i="6"/>
  <c r="E73" i="44"/>
  <c r="E216" i="23"/>
  <c r="E336" i="46"/>
  <c r="K7" i="47"/>
  <c r="K61" i="47" s="1"/>
  <c r="K60" i="47"/>
  <c r="K10" i="6"/>
  <c r="K12" i="25"/>
  <c r="K62" i="26" s="1"/>
  <c r="K13" i="25"/>
  <c r="K63" i="26" s="1"/>
  <c r="N12" i="38" s="1"/>
  <c r="K22" i="25"/>
  <c r="K75" i="26" s="1"/>
  <c r="N24" i="38" s="1"/>
  <c r="K16" i="22"/>
  <c r="K49" i="22"/>
  <c r="K75" i="22"/>
  <c r="K101" i="22"/>
  <c r="K133" i="22"/>
  <c r="K153" i="22" s="1"/>
  <c r="K169" i="22"/>
  <c r="K24" i="25" s="1"/>
  <c r="K77" i="26" s="1"/>
  <c r="N26" i="38" s="1"/>
  <c r="K170" i="22"/>
  <c r="K26" i="25"/>
  <c r="K79" i="26" s="1"/>
  <c r="N28" i="38" s="1"/>
  <c r="K27" i="25"/>
  <c r="K32" i="25"/>
  <c r="I84" i="25"/>
  <c r="J82" i="25" s="1"/>
  <c r="E85" i="25"/>
  <c r="E70" i="25"/>
  <c r="L103" i="25"/>
  <c r="L8" i="46"/>
  <c r="L8" i="21"/>
  <c r="L21" i="21"/>
  <c r="L121" i="21" s="1"/>
  <c r="L28" i="21"/>
  <c r="L35" i="21"/>
  <c r="L140" i="21" s="1"/>
  <c r="L42" i="21"/>
  <c r="L166" i="22"/>
  <c r="L177" i="22"/>
  <c r="L14" i="25" s="1"/>
  <c r="L64" i="26" s="1"/>
  <c r="L178" i="22"/>
  <c r="L179" i="22"/>
  <c r="L7" i="6"/>
  <c r="L7" i="47"/>
  <c r="L60" i="47" s="1"/>
  <c r="L61" i="47"/>
  <c r="L12" i="25"/>
  <c r="L62" i="26" s="1"/>
  <c r="O11" i="38" s="1"/>
  <c r="L13" i="25"/>
  <c r="L22" i="25"/>
  <c r="L75" i="26" s="1"/>
  <c r="O24" i="38" s="1"/>
  <c r="L16" i="22"/>
  <c r="L49" i="22"/>
  <c r="L75" i="22"/>
  <c r="L101" i="22"/>
  <c r="L133" i="22"/>
  <c r="L169" i="22"/>
  <c r="L24" i="25" s="1"/>
  <c r="L77" i="26" s="1"/>
  <c r="L170" i="22"/>
  <c r="L25" i="25" s="1"/>
  <c r="L78" i="26" s="1"/>
  <c r="O27" i="38" s="1"/>
  <c r="L26" i="25"/>
  <c r="L79" i="26" s="1"/>
  <c r="O28" i="38" s="1"/>
  <c r="L27" i="25"/>
  <c r="L80" i="26" s="1"/>
  <c r="O29" i="38" s="1"/>
  <c r="L32" i="25"/>
  <c r="M8" i="46"/>
  <c r="M8" i="21"/>
  <c r="M21" i="21"/>
  <c r="M122" i="21" s="1"/>
  <c r="M28" i="21"/>
  <c r="M35" i="21"/>
  <c r="M140" i="21" s="1"/>
  <c r="M42" i="21"/>
  <c r="M166" i="22"/>
  <c r="M177" i="22"/>
  <c r="M178" i="22"/>
  <c r="M179" i="22"/>
  <c r="M7" i="6"/>
  <c r="M8" i="6" s="1"/>
  <c r="M7" i="47"/>
  <c r="M61" i="47"/>
  <c r="M60" i="47"/>
  <c r="M9" i="6"/>
  <c r="M10" i="6"/>
  <c r="M12" i="25"/>
  <c r="M62" i="26" s="1"/>
  <c r="P11" i="38" s="1"/>
  <c r="M13" i="25"/>
  <c r="M63" i="26" s="1"/>
  <c r="P12" i="38" s="1"/>
  <c r="M14" i="25"/>
  <c r="M22" i="25"/>
  <c r="M75" i="26" s="1"/>
  <c r="P24" i="38" s="1"/>
  <c r="M16" i="22"/>
  <c r="M32" i="22" s="1"/>
  <c r="M49" i="22"/>
  <c r="M75" i="22"/>
  <c r="M101" i="22"/>
  <c r="M133" i="22"/>
  <c r="M149" i="22" s="1"/>
  <c r="M169" i="22"/>
  <c r="M24" i="25" s="1"/>
  <c r="M170" i="22"/>
  <c r="M25" i="25" s="1"/>
  <c r="M78" i="26" s="1"/>
  <c r="P27" i="38" s="1"/>
  <c r="M26" i="25"/>
  <c r="M79" i="26" s="1"/>
  <c r="M27" i="25"/>
  <c r="M80" i="26" s="1"/>
  <c r="P29" i="38" s="1"/>
  <c r="M32" i="25"/>
  <c r="M92" i="26" s="1"/>
  <c r="P41" i="38" s="1"/>
  <c r="N103" i="25"/>
  <c r="N8" i="46"/>
  <c r="N16" i="26"/>
  <c r="Q15" i="35" s="1"/>
  <c r="N8" i="21"/>
  <c r="N21" i="21"/>
  <c r="N28" i="21"/>
  <c r="N35" i="21"/>
  <c r="N42" i="21"/>
  <c r="N166" i="22"/>
  <c r="N38" i="26" s="1"/>
  <c r="Q37" i="35" s="1"/>
  <c r="N177" i="22"/>
  <c r="N14" i="25" s="1"/>
  <c r="N64" i="26" s="1"/>
  <c r="Q13" i="38" s="1"/>
  <c r="N178" i="22"/>
  <c r="N179" i="22"/>
  <c r="N7" i="6"/>
  <c r="N7" i="47"/>
  <c r="N59" i="47"/>
  <c r="N10" i="6"/>
  <c r="N12" i="25"/>
  <c r="N62" i="26" s="1"/>
  <c r="Q11" i="38" s="1"/>
  <c r="N13" i="25"/>
  <c r="N63" i="26" s="1"/>
  <c r="Q12" i="38" s="1"/>
  <c r="N22" i="25"/>
  <c r="N75" i="26" s="1"/>
  <c r="Q24" i="38" s="1"/>
  <c r="N16" i="22"/>
  <c r="N49" i="22"/>
  <c r="N75" i="22"/>
  <c r="N101" i="22"/>
  <c r="N133" i="22"/>
  <c r="N163" i="22" s="1"/>
  <c r="N169" i="22"/>
  <c r="N24" i="25" s="1"/>
  <c r="N77" i="26" s="1"/>
  <c r="N170" i="22"/>
  <c r="N25" i="25" s="1"/>
  <c r="N78" i="26" s="1"/>
  <c r="N26" i="25"/>
  <c r="N79" i="26" s="1"/>
  <c r="Q28" i="38" s="1"/>
  <c r="N27" i="25"/>
  <c r="N80" i="26" s="1"/>
  <c r="N32" i="25"/>
  <c r="N92" i="26" s="1"/>
  <c r="Q41" i="38" s="1"/>
  <c r="O103" i="25"/>
  <c r="O8" i="46"/>
  <c r="O16" i="26"/>
  <c r="R15" i="35" s="1"/>
  <c r="O8" i="21"/>
  <c r="O21" i="21"/>
  <c r="O28" i="21"/>
  <c r="O130" i="21"/>
  <c r="O35" i="21"/>
  <c r="O42" i="21"/>
  <c r="O148" i="21" s="1"/>
  <c r="O166" i="22"/>
  <c r="O177" i="22"/>
  <c r="O14" i="25" s="1"/>
  <c r="O64" i="26" s="1"/>
  <c r="R13" i="38" s="1"/>
  <c r="O178" i="22"/>
  <c r="O179" i="22"/>
  <c r="O7" i="6"/>
  <c r="O7" i="47"/>
  <c r="O60" i="47" s="1"/>
  <c r="O61" i="47"/>
  <c r="O8" i="6"/>
  <c r="O9" i="6"/>
  <c r="O10" i="6"/>
  <c r="O12" i="25"/>
  <c r="O62" i="26" s="1"/>
  <c r="R11" i="38" s="1"/>
  <c r="O13" i="25"/>
  <c r="O63" i="26" s="1"/>
  <c r="R12" i="38" s="1"/>
  <c r="O22" i="25"/>
  <c r="O75" i="26" s="1"/>
  <c r="O16" i="22"/>
  <c r="O49" i="22"/>
  <c r="O75" i="22"/>
  <c r="O162" i="22" s="1"/>
  <c r="O101" i="22"/>
  <c r="O133" i="22"/>
  <c r="O153" i="22" s="1"/>
  <c r="O169" i="22"/>
  <c r="O24" i="25" s="1"/>
  <c r="O77" i="26" s="1"/>
  <c r="R26" i="38" s="1"/>
  <c r="O170" i="22"/>
  <c r="O26" i="25"/>
  <c r="O79" i="26" s="1"/>
  <c r="R28" i="38" s="1"/>
  <c r="O27" i="25"/>
  <c r="O80" i="26" s="1"/>
  <c r="R29" i="38" s="1"/>
  <c r="O32" i="25"/>
  <c r="O92" i="26" s="1"/>
  <c r="R41" i="38" s="1"/>
  <c r="P103" i="25"/>
  <c r="P8" i="46"/>
  <c r="P8" i="21"/>
  <c r="P21" i="21"/>
  <c r="P28" i="21"/>
  <c r="P130" i="21" s="1"/>
  <c r="P35" i="21"/>
  <c r="P42" i="21"/>
  <c r="P149" i="21"/>
  <c r="P166" i="22"/>
  <c r="P177" i="22"/>
  <c r="P14" i="25" s="1"/>
  <c r="P64" i="26" s="1"/>
  <c r="S13" i="38" s="1"/>
  <c r="P178" i="22"/>
  <c r="P179" i="22"/>
  <c r="P7" i="6"/>
  <c r="P9" i="6" s="1"/>
  <c r="P7" i="47"/>
  <c r="P8" i="6"/>
  <c r="P10" i="6"/>
  <c r="P12" i="25"/>
  <c r="P62" i="26" s="1"/>
  <c r="S11" i="38" s="1"/>
  <c r="P13" i="25"/>
  <c r="P63" i="26" s="1"/>
  <c r="S12" i="38" s="1"/>
  <c r="P22" i="25"/>
  <c r="P75" i="26" s="1"/>
  <c r="S24" i="38" s="1"/>
  <c r="P16" i="22"/>
  <c r="P36" i="22" s="1"/>
  <c r="P49" i="22"/>
  <c r="P75" i="22"/>
  <c r="P101" i="22"/>
  <c r="P133" i="22"/>
  <c r="P153" i="22" s="1"/>
  <c r="P169" i="22"/>
  <c r="P24" i="25" s="1"/>
  <c r="P77" i="26" s="1"/>
  <c r="P170" i="22"/>
  <c r="P25" i="25" s="1"/>
  <c r="P78" i="26" s="1"/>
  <c r="S27" i="38" s="1"/>
  <c r="P26" i="25"/>
  <c r="P79" i="26" s="1"/>
  <c r="P27" i="25"/>
  <c r="P80" i="26" s="1"/>
  <c r="S29" i="38" s="1"/>
  <c r="P32" i="25"/>
  <c r="P92" i="26" s="1"/>
  <c r="S41" i="38" s="1"/>
  <c r="Q103" i="25"/>
  <c r="Q8" i="46"/>
  <c r="Q8" i="21"/>
  <c r="Q21" i="21"/>
  <c r="Q28" i="21"/>
  <c r="Q130" i="21"/>
  <c r="Q35" i="21"/>
  <c r="Q140" i="21" s="1"/>
  <c r="Q42" i="21"/>
  <c r="Q166" i="22"/>
  <c r="Q177" i="22"/>
  <c r="Q178" i="22"/>
  <c r="Q179" i="22"/>
  <c r="Q7" i="6"/>
  <c r="Q8" i="6" s="1"/>
  <c r="Q136" i="6"/>
  <c r="Q7" i="47"/>
  <c r="Q9" i="6"/>
  <c r="Q10" i="6"/>
  <c r="Q12" i="25"/>
  <c r="Q62" i="26" s="1"/>
  <c r="Q13" i="25"/>
  <c r="Q63" i="26" s="1"/>
  <c r="T12" i="38" s="1"/>
  <c r="Q22" i="25"/>
  <c r="Q16" i="22"/>
  <c r="Q49" i="22"/>
  <c r="Q75" i="22"/>
  <c r="Q101" i="22"/>
  <c r="Q133" i="22"/>
  <c r="Q163" i="22" s="1"/>
  <c r="Q169" i="22"/>
  <c r="Q24" i="25" s="1"/>
  <c r="Q77" i="26" s="1"/>
  <c r="T26" i="38" s="1"/>
  <c r="Q170" i="22"/>
  <c r="Q25" i="25"/>
  <c r="Q78" i="26" s="1"/>
  <c r="T27" i="38" s="1"/>
  <c r="Q26" i="25"/>
  <c r="Q79" i="26" s="1"/>
  <c r="T28" i="38" s="1"/>
  <c r="Q27" i="25"/>
  <c r="Q80" i="26" s="1"/>
  <c r="Q32" i="25"/>
  <c r="Q92" i="26" s="1"/>
  <c r="T41" i="38" s="1"/>
  <c r="R103" i="25"/>
  <c r="R8" i="46"/>
  <c r="R8" i="21"/>
  <c r="R21" i="21"/>
  <c r="R28" i="21"/>
  <c r="R35" i="21"/>
  <c r="R42" i="21"/>
  <c r="R166" i="22"/>
  <c r="R38" i="26" s="1"/>
  <c r="U37" i="35" s="1"/>
  <c r="R177" i="22"/>
  <c r="I177" i="22" s="1"/>
  <c r="R178" i="22"/>
  <c r="R179" i="22"/>
  <c r="R7" i="6"/>
  <c r="R7" i="47"/>
  <c r="R60" i="47" s="1"/>
  <c r="R12" i="25"/>
  <c r="R62" i="26" s="1"/>
  <c r="U11" i="38" s="1"/>
  <c r="R13" i="25"/>
  <c r="R63" i="26" s="1"/>
  <c r="U12" i="38" s="1"/>
  <c r="R22" i="25"/>
  <c r="R75" i="26" s="1"/>
  <c r="U24" i="38" s="1"/>
  <c r="R16" i="22"/>
  <c r="R49" i="22"/>
  <c r="R75" i="22"/>
  <c r="R101" i="22"/>
  <c r="R162" i="22" s="1"/>
  <c r="R133" i="22"/>
  <c r="R169" i="22"/>
  <c r="R24" i="25" s="1"/>
  <c r="R77" i="26" s="1"/>
  <c r="U26" i="38" s="1"/>
  <c r="R170" i="22"/>
  <c r="R25" i="25" s="1"/>
  <c r="R78" i="26" s="1"/>
  <c r="U27" i="38" s="1"/>
  <c r="R26" i="25"/>
  <c r="R79" i="26" s="1"/>
  <c r="U28" i="38" s="1"/>
  <c r="R27" i="25"/>
  <c r="R80" i="26" s="1"/>
  <c r="U29" i="38" s="1"/>
  <c r="R32" i="25"/>
  <c r="S8" i="46"/>
  <c r="S8" i="21"/>
  <c r="S21" i="21"/>
  <c r="S28" i="21"/>
  <c r="S130" i="21"/>
  <c r="S35" i="21"/>
  <c r="S42" i="21"/>
  <c r="S166" i="22"/>
  <c r="S177" i="22"/>
  <c r="S14" i="25" s="1"/>
  <c r="S64" i="26" s="1"/>
  <c r="S178" i="22"/>
  <c r="S179" i="22"/>
  <c r="S7" i="6"/>
  <c r="S8" i="6" s="1"/>
  <c r="K48" i="47"/>
  <c r="S7" i="47"/>
  <c r="AX415" i="36"/>
  <c r="T42" i="21"/>
  <c r="U42" i="21"/>
  <c r="V42" i="21"/>
  <c r="W42" i="21"/>
  <c r="X42" i="21"/>
  <c r="Y42" i="21"/>
  <c r="Z42" i="21"/>
  <c r="AA42" i="21"/>
  <c r="AA149" i="21" s="1"/>
  <c r="AB42" i="21"/>
  <c r="AC42" i="21"/>
  <c r="AC149" i="21" s="1"/>
  <c r="AD42" i="21"/>
  <c r="AE42" i="21"/>
  <c r="AF42" i="21"/>
  <c r="AG42" i="21"/>
  <c r="T35" i="21"/>
  <c r="U35" i="21"/>
  <c r="U138" i="21" s="1"/>
  <c r="V35" i="21"/>
  <c r="W35" i="21"/>
  <c r="X35" i="21"/>
  <c r="Y35" i="21"/>
  <c r="Z35" i="21"/>
  <c r="Z140" i="21" s="1"/>
  <c r="AA35" i="21"/>
  <c r="AB35" i="21"/>
  <c r="AC35" i="21"/>
  <c r="AC138" i="21" s="1"/>
  <c r="AD35" i="21"/>
  <c r="AE35" i="21"/>
  <c r="AF35" i="21"/>
  <c r="AG35" i="21"/>
  <c r="T28" i="21"/>
  <c r="U28" i="21"/>
  <c r="U130" i="21" s="1"/>
  <c r="V28" i="21"/>
  <c r="W28" i="21"/>
  <c r="X28" i="21"/>
  <c r="Y28" i="21"/>
  <c r="Y130" i="21" s="1"/>
  <c r="Z28" i="21"/>
  <c r="AA28" i="21"/>
  <c r="AA129" i="21" s="1"/>
  <c r="AB28" i="21"/>
  <c r="AB131" i="21" s="1"/>
  <c r="AC28" i="21"/>
  <c r="AC130" i="21" s="1"/>
  <c r="AD28" i="21"/>
  <c r="AE28" i="21"/>
  <c r="AF28" i="21"/>
  <c r="AG28" i="21"/>
  <c r="AG130" i="21" s="1"/>
  <c r="T21" i="21"/>
  <c r="U21" i="21"/>
  <c r="V21" i="21"/>
  <c r="W21" i="21"/>
  <c r="W120" i="21" s="1"/>
  <c r="X21" i="21"/>
  <c r="Y21" i="21"/>
  <c r="Z21" i="21"/>
  <c r="Z122" i="21" s="1"/>
  <c r="AA21" i="21"/>
  <c r="AA121" i="21" s="1"/>
  <c r="AB21" i="21"/>
  <c r="AC21" i="21"/>
  <c r="AD21" i="21"/>
  <c r="AD121" i="21" s="1"/>
  <c r="AE21" i="21"/>
  <c r="AE120" i="21" s="1"/>
  <c r="AF21" i="21"/>
  <c r="AG21" i="21"/>
  <c r="K45" i="26"/>
  <c r="N44" i="35" s="1"/>
  <c r="N45" i="26"/>
  <c r="Q44" i="35" s="1"/>
  <c r="R45" i="26"/>
  <c r="U44" i="35" s="1"/>
  <c r="N46" i="26"/>
  <c r="Q45" i="35" s="1"/>
  <c r="O46" i="26"/>
  <c r="R45" i="35" s="1"/>
  <c r="R46" i="26"/>
  <c r="U45" i="35" s="1"/>
  <c r="T8" i="21"/>
  <c r="U8" i="21"/>
  <c r="V8" i="21"/>
  <c r="W8" i="21"/>
  <c r="X8" i="21"/>
  <c r="Y8" i="21"/>
  <c r="Z8" i="21"/>
  <c r="AA8" i="21"/>
  <c r="AB8" i="21"/>
  <c r="AC8" i="21"/>
  <c r="AD8" i="21"/>
  <c r="AE8" i="21"/>
  <c r="AF8" i="21"/>
  <c r="AG8" i="21"/>
  <c r="T140" i="21"/>
  <c r="V140" i="21"/>
  <c r="X139" i="21"/>
  <c r="AD140" i="21"/>
  <c r="AF130" i="21"/>
  <c r="Z121" i="21"/>
  <c r="AB122" i="21"/>
  <c r="T8" i="46"/>
  <c r="U8" i="46"/>
  <c r="V8" i="46"/>
  <c r="W8" i="46"/>
  <c r="X8" i="46"/>
  <c r="Y8" i="46"/>
  <c r="Z8" i="46"/>
  <c r="AA8" i="46"/>
  <c r="AB8" i="46"/>
  <c r="AC8" i="46"/>
  <c r="AD8" i="46"/>
  <c r="AE8" i="46"/>
  <c r="AF8" i="46"/>
  <c r="AG8" i="46"/>
  <c r="I107" i="26"/>
  <c r="J106" i="26" s="1"/>
  <c r="M64" i="26"/>
  <c r="P13" i="38" s="1"/>
  <c r="M77" i="26"/>
  <c r="P26" i="38" s="1"/>
  <c r="Q75" i="26"/>
  <c r="S9" i="6"/>
  <c r="S12" i="25"/>
  <c r="S62" i="26" s="1"/>
  <c r="S13" i="25"/>
  <c r="S63" i="26" s="1"/>
  <c r="AG7" i="47"/>
  <c r="F28" i="1"/>
  <c r="F70" i="24" s="1"/>
  <c r="AG27" i="24"/>
  <c r="AG70" i="24" s="1"/>
  <c r="F29" i="1"/>
  <c r="F71" i="24" s="1"/>
  <c r="AG31" i="24"/>
  <c r="AG71" i="24" s="1"/>
  <c r="F30" i="1"/>
  <c r="F72" i="24" s="1"/>
  <c r="AG35" i="24"/>
  <c r="AG72" i="24" s="1"/>
  <c r="AG143" i="23" s="1"/>
  <c r="F31" i="1"/>
  <c r="F73" i="24" s="1"/>
  <c r="AG37" i="24"/>
  <c r="F32" i="1"/>
  <c r="F74" i="24" s="1"/>
  <c r="T15" i="24"/>
  <c r="F33" i="1"/>
  <c r="F75" i="24" s="1"/>
  <c r="AG47" i="24"/>
  <c r="AG75" i="24" s="1"/>
  <c r="F34" i="1"/>
  <c r="F76" i="24" s="1"/>
  <c r="AG51" i="24"/>
  <c r="AG76" i="24" s="1"/>
  <c r="F35" i="1"/>
  <c r="F77" i="24" s="1"/>
  <c r="K18" i="24"/>
  <c r="AG55" i="24"/>
  <c r="F36" i="1"/>
  <c r="F78" i="24" s="1"/>
  <c r="AG59" i="24"/>
  <c r="F37" i="1"/>
  <c r="F79" i="24" s="1"/>
  <c r="AG63" i="24"/>
  <c r="AG79" i="24" s="1"/>
  <c r="I190" i="1"/>
  <c r="AF27" i="24"/>
  <c r="AF70" i="24" s="1"/>
  <c r="J27" i="24"/>
  <c r="J70" i="24" s="1"/>
  <c r="K27" i="24"/>
  <c r="K70" i="24" s="1"/>
  <c r="L27" i="24"/>
  <c r="L70" i="24" s="1"/>
  <c r="M27" i="24"/>
  <c r="N27" i="24"/>
  <c r="N70" i="24" s="1"/>
  <c r="O27" i="24"/>
  <c r="P27" i="24"/>
  <c r="Q27" i="24"/>
  <c r="Q70" i="24" s="1"/>
  <c r="R27" i="24"/>
  <c r="S27" i="24"/>
  <c r="T27" i="24"/>
  <c r="T19" i="24" s="1"/>
  <c r="U27" i="24"/>
  <c r="V27" i="24"/>
  <c r="V70" i="24" s="1"/>
  <c r="W27" i="24"/>
  <c r="X27" i="24"/>
  <c r="Y27" i="24"/>
  <c r="Z27" i="24"/>
  <c r="Z70" i="24" s="1"/>
  <c r="AA27" i="24"/>
  <c r="AB27" i="24"/>
  <c r="AB70" i="24" s="1"/>
  <c r="AC27" i="24"/>
  <c r="AD27" i="24"/>
  <c r="AD19" i="24" s="1"/>
  <c r="AE27" i="24"/>
  <c r="AF31" i="24"/>
  <c r="J31" i="24"/>
  <c r="J71" i="24" s="1"/>
  <c r="K31" i="24"/>
  <c r="L31" i="24"/>
  <c r="M31" i="24"/>
  <c r="M71" i="24" s="1"/>
  <c r="N31" i="24"/>
  <c r="N71" i="24" s="1"/>
  <c r="N305" i="46" s="1"/>
  <c r="O31" i="24"/>
  <c r="O71" i="24" s="1"/>
  <c r="O13" i="26" s="1"/>
  <c r="R12" i="35" s="1"/>
  <c r="P31" i="24"/>
  <c r="P71" i="24" s="1"/>
  <c r="Q31" i="24"/>
  <c r="Q71" i="24" s="1"/>
  <c r="R31" i="24"/>
  <c r="R71" i="24" s="1"/>
  <c r="S31" i="24"/>
  <c r="S71" i="24" s="1"/>
  <c r="T31" i="24"/>
  <c r="T71" i="24" s="1"/>
  <c r="U31" i="24"/>
  <c r="U71" i="24" s="1"/>
  <c r="V31" i="24"/>
  <c r="V71" i="24" s="1"/>
  <c r="W31" i="24"/>
  <c r="W71" i="24" s="1"/>
  <c r="X31" i="24"/>
  <c r="X71" i="24" s="1"/>
  <c r="Y31" i="24"/>
  <c r="Y71" i="24" s="1"/>
  <c r="Z31" i="24"/>
  <c r="Z71" i="24" s="1"/>
  <c r="Z305" i="46" s="1"/>
  <c r="AA31" i="24"/>
  <c r="AA71" i="24" s="1"/>
  <c r="AB31" i="24"/>
  <c r="AC31" i="24"/>
  <c r="AD31" i="24"/>
  <c r="AD71" i="24" s="1"/>
  <c r="AE31" i="24"/>
  <c r="AE71" i="24" s="1"/>
  <c r="AF35" i="24"/>
  <c r="AF72" i="24" s="1"/>
  <c r="J35" i="24"/>
  <c r="J72" i="24" s="1"/>
  <c r="K35" i="24"/>
  <c r="K72" i="24" s="1"/>
  <c r="L35" i="24"/>
  <c r="L72" i="24" s="1"/>
  <c r="M35" i="24"/>
  <c r="N35" i="24"/>
  <c r="N72" i="24" s="1"/>
  <c r="O35" i="24"/>
  <c r="P35" i="24"/>
  <c r="P72" i="24" s="1"/>
  <c r="Q35" i="24"/>
  <c r="Q72" i="24" s="1"/>
  <c r="R35" i="24"/>
  <c r="R72" i="24" s="1"/>
  <c r="S35" i="24"/>
  <c r="S72" i="24" s="1"/>
  <c r="T35" i="24"/>
  <c r="T72" i="24" s="1"/>
  <c r="U35" i="24"/>
  <c r="V35" i="24"/>
  <c r="V72" i="24" s="1"/>
  <c r="V14" i="26" s="1"/>
  <c r="W35" i="24"/>
  <c r="W72" i="24" s="1"/>
  <c r="X35" i="24"/>
  <c r="X72" i="24" s="1"/>
  <c r="Y35" i="24"/>
  <c r="Y72" i="24" s="1"/>
  <c r="Z35" i="24"/>
  <c r="Z72" i="24" s="1"/>
  <c r="AA35" i="24"/>
  <c r="AA72" i="24" s="1"/>
  <c r="AB35" i="24"/>
  <c r="AB72" i="24" s="1"/>
  <c r="AB14" i="26" s="1"/>
  <c r="AC35" i="24"/>
  <c r="AC72" i="24" s="1"/>
  <c r="AD35" i="24"/>
  <c r="AD72" i="24" s="1"/>
  <c r="AE35" i="24"/>
  <c r="AE72" i="24" s="1"/>
  <c r="AF37" i="24"/>
  <c r="AF38" i="23" s="1"/>
  <c r="AF40" i="23" s="1"/>
  <c r="J37" i="24"/>
  <c r="K37" i="24"/>
  <c r="L37" i="24"/>
  <c r="M37" i="24"/>
  <c r="N37" i="24"/>
  <c r="N39" i="24" s="1"/>
  <c r="N73" i="24" s="1"/>
  <c r="O37" i="24"/>
  <c r="P37" i="24"/>
  <c r="Q37" i="24"/>
  <c r="Q38" i="23" s="1"/>
  <c r="Q40" i="23" s="1"/>
  <c r="R37" i="24"/>
  <c r="S37" i="24"/>
  <c r="T37" i="24"/>
  <c r="U37" i="24"/>
  <c r="U38" i="23" s="1"/>
  <c r="U40" i="23" s="1"/>
  <c r="V37" i="24"/>
  <c r="W37" i="24"/>
  <c r="W38" i="23" s="1"/>
  <c r="W40" i="23" s="1"/>
  <c r="X37" i="24"/>
  <c r="Y37" i="24"/>
  <c r="Y39" i="24" s="1"/>
  <c r="Y73" i="24" s="1"/>
  <c r="Y151" i="23" s="1"/>
  <c r="Z37" i="24"/>
  <c r="AA37" i="24"/>
  <c r="AB37" i="24"/>
  <c r="AB39" i="24" s="1"/>
  <c r="AB73" i="24" s="1"/>
  <c r="AC37" i="24"/>
  <c r="AC38" i="23" s="1"/>
  <c r="AC40" i="23" s="1"/>
  <c r="AD37" i="24"/>
  <c r="AE37" i="24"/>
  <c r="AF47" i="24"/>
  <c r="AF75" i="24" s="1"/>
  <c r="J47" i="24"/>
  <c r="J75" i="24" s="1"/>
  <c r="K47" i="24"/>
  <c r="K75" i="24" s="1"/>
  <c r="L47" i="24"/>
  <c r="L75" i="24" s="1"/>
  <c r="M47" i="24"/>
  <c r="M75" i="24" s="1"/>
  <c r="N47" i="24"/>
  <c r="N75" i="24" s="1"/>
  <c r="N167" i="23" s="1"/>
  <c r="O47" i="24"/>
  <c r="O75" i="24" s="1"/>
  <c r="P47" i="24"/>
  <c r="P75" i="24" s="1"/>
  <c r="Q47" i="24"/>
  <c r="Q75" i="24" s="1"/>
  <c r="R47" i="24"/>
  <c r="R75" i="24" s="1"/>
  <c r="S47" i="24"/>
  <c r="S75" i="24" s="1"/>
  <c r="T47" i="24"/>
  <c r="T75" i="24" s="1"/>
  <c r="U47" i="24"/>
  <c r="U75" i="24" s="1"/>
  <c r="V47" i="24"/>
  <c r="V75" i="24" s="1"/>
  <c r="W47" i="24"/>
  <c r="W75" i="24" s="1"/>
  <c r="X47" i="24"/>
  <c r="X75" i="24" s="1"/>
  <c r="Y47" i="24"/>
  <c r="Y75" i="24" s="1"/>
  <c r="Y17" i="26" s="1"/>
  <c r="Z47" i="24"/>
  <c r="Z75" i="24" s="1"/>
  <c r="AA47" i="24"/>
  <c r="AA75" i="24" s="1"/>
  <c r="AB47" i="24"/>
  <c r="AB75" i="24" s="1"/>
  <c r="AC47" i="24"/>
  <c r="AC75" i="24" s="1"/>
  <c r="AD47" i="24"/>
  <c r="AD75" i="24" s="1"/>
  <c r="AE47" i="24"/>
  <c r="AE75" i="24" s="1"/>
  <c r="AF51" i="24"/>
  <c r="AF76" i="24" s="1"/>
  <c r="J51" i="24"/>
  <c r="K51" i="24"/>
  <c r="K76" i="24" s="1"/>
  <c r="K18" i="26" s="1"/>
  <c r="N17" i="35" s="1"/>
  <c r="L51" i="24"/>
  <c r="L76" i="24" s="1"/>
  <c r="M51" i="24"/>
  <c r="M76" i="24" s="1"/>
  <c r="N51" i="24"/>
  <c r="N76" i="24" s="1"/>
  <c r="O51" i="24"/>
  <c r="O76" i="24" s="1"/>
  <c r="O310" i="46" s="1"/>
  <c r="P51" i="24"/>
  <c r="P76" i="24" s="1"/>
  <c r="Q51" i="24"/>
  <c r="Q76" i="24" s="1"/>
  <c r="R51" i="24"/>
  <c r="R76" i="24" s="1"/>
  <c r="S51" i="24"/>
  <c r="S76" i="24" s="1"/>
  <c r="T51" i="24"/>
  <c r="T76" i="24" s="1"/>
  <c r="U51" i="24"/>
  <c r="U76" i="24" s="1"/>
  <c r="V51" i="24"/>
  <c r="V76" i="24" s="1"/>
  <c r="V18" i="26" s="1"/>
  <c r="W51" i="24"/>
  <c r="W76" i="24" s="1"/>
  <c r="W18" i="26" s="1"/>
  <c r="X51" i="24"/>
  <c r="X76" i="24" s="1"/>
  <c r="Y51" i="24"/>
  <c r="Y76" i="24" s="1"/>
  <c r="Z51" i="24"/>
  <c r="Z76" i="24" s="1"/>
  <c r="AA51" i="24"/>
  <c r="AA76" i="24" s="1"/>
  <c r="AA18" i="26" s="1"/>
  <c r="AB51" i="24"/>
  <c r="AB76" i="24" s="1"/>
  <c r="AC51" i="24"/>
  <c r="AC76" i="24" s="1"/>
  <c r="AD51" i="24"/>
  <c r="AD76" i="24" s="1"/>
  <c r="AE51" i="24"/>
  <c r="AE76" i="24" s="1"/>
  <c r="AF55" i="24"/>
  <c r="J55" i="24"/>
  <c r="J77" i="24" s="1"/>
  <c r="K55" i="24"/>
  <c r="L55" i="24"/>
  <c r="M55" i="24"/>
  <c r="N55" i="24"/>
  <c r="O55" i="24"/>
  <c r="P55" i="24"/>
  <c r="Q55" i="24"/>
  <c r="R55" i="24"/>
  <c r="S55" i="24"/>
  <c r="T55" i="24"/>
  <c r="U55" i="24"/>
  <c r="V55" i="24"/>
  <c r="W55" i="24"/>
  <c r="X55" i="24"/>
  <c r="Y55" i="24"/>
  <c r="Z55" i="24"/>
  <c r="AA55" i="24"/>
  <c r="AB55" i="24"/>
  <c r="AC55" i="24"/>
  <c r="AD55" i="24"/>
  <c r="AE55" i="24"/>
  <c r="AF19" i="24"/>
  <c r="AF59" i="24"/>
  <c r="J59" i="24"/>
  <c r="K59" i="24"/>
  <c r="L19" i="24"/>
  <c r="L59" i="24"/>
  <c r="M59" i="24"/>
  <c r="N19" i="24"/>
  <c r="N59" i="24"/>
  <c r="O59" i="24"/>
  <c r="P59" i="24"/>
  <c r="Q19" i="24"/>
  <c r="Q59" i="24"/>
  <c r="R59" i="24"/>
  <c r="S59" i="24"/>
  <c r="T59" i="24"/>
  <c r="U59" i="24"/>
  <c r="V59" i="24"/>
  <c r="W59" i="24"/>
  <c r="X59" i="24"/>
  <c r="Y59" i="24"/>
  <c r="Z59" i="24"/>
  <c r="AA59" i="24"/>
  <c r="AB59" i="24"/>
  <c r="AC59" i="24"/>
  <c r="AD59" i="24"/>
  <c r="AE59" i="24"/>
  <c r="AF63" i="24"/>
  <c r="AF79" i="24" s="1"/>
  <c r="J63" i="24"/>
  <c r="J79" i="24" s="1"/>
  <c r="K63" i="24"/>
  <c r="L63" i="24"/>
  <c r="L79" i="24" s="1"/>
  <c r="M63" i="24"/>
  <c r="M79" i="24" s="1"/>
  <c r="M199" i="23" s="1"/>
  <c r="N63" i="24"/>
  <c r="N79" i="24" s="1"/>
  <c r="O63" i="24"/>
  <c r="O79" i="24" s="1"/>
  <c r="P63" i="24"/>
  <c r="P79" i="24" s="1"/>
  <c r="Q63" i="24"/>
  <c r="Q79" i="24" s="1"/>
  <c r="R63" i="24"/>
  <c r="R79" i="24" s="1"/>
  <c r="S63" i="24"/>
  <c r="S79" i="24" s="1"/>
  <c r="T63" i="24"/>
  <c r="T79" i="24" s="1"/>
  <c r="U63" i="24"/>
  <c r="U79" i="24" s="1"/>
  <c r="V63" i="24"/>
  <c r="V79" i="24" s="1"/>
  <c r="V21" i="26" s="1"/>
  <c r="W63" i="24"/>
  <c r="W79" i="24" s="1"/>
  <c r="X63" i="24"/>
  <c r="X79" i="24" s="1"/>
  <c r="Y63" i="24"/>
  <c r="Y79" i="24" s="1"/>
  <c r="Z63" i="24"/>
  <c r="Z79" i="24" s="1"/>
  <c r="AA63" i="24"/>
  <c r="AA79" i="24" s="1"/>
  <c r="AB63" i="24"/>
  <c r="AB79" i="24" s="1"/>
  <c r="AC63" i="24"/>
  <c r="AC79" i="24" s="1"/>
  <c r="AD63" i="24"/>
  <c r="AD79" i="24" s="1"/>
  <c r="AD21" i="26" s="1"/>
  <c r="AE63" i="24"/>
  <c r="AE79" i="24" s="1"/>
  <c r="I191" i="1"/>
  <c r="K317" i="46"/>
  <c r="L317" i="46" s="1"/>
  <c r="M317" i="46" s="1"/>
  <c r="N317" i="46" s="1"/>
  <c r="O317" i="46" s="1"/>
  <c r="P317" i="46" s="1"/>
  <c r="Q317" i="46" s="1"/>
  <c r="R317" i="46" s="1"/>
  <c r="S317" i="46" s="1"/>
  <c r="T317" i="46" s="1"/>
  <c r="U317" i="46" s="1"/>
  <c r="V317" i="46" s="1"/>
  <c r="W317" i="46" s="1"/>
  <c r="X317" i="46" s="1"/>
  <c r="Y317" i="46" s="1"/>
  <c r="Z317" i="46" s="1"/>
  <c r="AA317" i="46" s="1"/>
  <c r="AB317" i="46" s="1"/>
  <c r="AC317" i="46" s="1"/>
  <c r="AD317" i="46" s="1"/>
  <c r="H55" i="1"/>
  <c r="H56" i="1"/>
  <c r="H57" i="1"/>
  <c r="H58" i="1"/>
  <c r="E87" i="21"/>
  <c r="E88" i="21"/>
  <c r="E89" i="21"/>
  <c r="E90" i="21"/>
  <c r="K13" i="44"/>
  <c r="L13" i="44" s="1"/>
  <c r="M13" i="44" s="1"/>
  <c r="N13" i="44" s="1"/>
  <c r="O13" i="44" s="1"/>
  <c r="P13" i="44" s="1"/>
  <c r="Q13" i="44" s="1"/>
  <c r="R13" i="44" s="1"/>
  <c r="H61" i="1"/>
  <c r="H62" i="1"/>
  <c r="H63" i="1"/>
  <c r="H64" i="1"/>
  <c r="E94" i="21"/>
  <c r="E95" i="21"/>
  <c r="E96" i="21"/>
  <c r="E97" i="21"/>
  <c r="AG25" i="44"/>
  <c r="H67" i="1"/>
  <c r="H68" i="1"/>
  <c r="H69" i="1"/>
  <c r="H70" i="1"/>
  <c r="E101" i="21"/>
  <c r="E102" i="21"/>
  <c r="E103" i="21"/>
  <c r="E104" i="21"/>
  <c r="H73" i="1"/>
  <c r="H74" i="1"/>
  <c r="H75" i="1"/>
  <c r="H76" i="1"/>
  <c r="E108" i="21"/>
  <c r="E109" i="21"/>
  <c r="E110" i="21"/>
  <c r="E111" i="21"/>
  <c r="AG57" i="44"/>
  <c r="AG66" i="44" s="1"/>
  <c r="AG35" i="26" s="1"/>
  <c r="AG16" i="22"/>
  <c r="AG36" i="22" s="1"/>
  <c r="E32" i="22"/>
  <c r="AG49" i="22"/>
  <c r="E65" i="22"/>
  <c r="Q65" i="22" s="1"/>
  <c r="AG75" i="22"/>
  <c r="E91" i="22"/>
  <c r="AG101" i="22"/>
  <c r="E117" i="22"/>
  <c r="AG133" i="22"/>
  <c r="AG163" i="22" s="1"/>
  <c r="E149" i="22"/>
  <c r="E103" i="6"/>
  <c r="AE103" i="6" s="1"/>
  <c r="E104" i="6"/>
  <c r="E105" i="6"/>
  <c r="E107" i="6"/>
  <c r="E108" i="6"/>
  <c r="E109" i="6"/>
  <c r="X109" i="6" s="1"/>
  <c r="E111" i="6"/>
  <c r="E112" i="6"/>
  <c r="E113" i="6"/>
  <c r="E114" i="6"/>
  <c r="E115" i="6"/>
  <c r="E116" i="6"/>
  <c r="E131" i="6"/>
  <c r="E132" i="6"/>
  <c r="E133" i="6"/>
  <c r="E134" i="6"/>
  <c r="E135" i="6"/>
  <c r="Y135" i="6" s="1"/>
  <c r="E136" i="6"/>
  <c r="E137" i="6"/>
  <c r="E139" i="6"/>
  <c r="AC139" i="6" s="1"/>
  <c r="E140" i="6"/>
  <c r="AA140" i="6" s="1"/>
  <c r="E141" i="6"/>
  <c r="E142" i="6"/>
  <c r="E143" i="6"/>
  <c r="E144" i="6"/>
  <c r="E145" i="6"/>
  <c r="E147" i="6"/>
  <c r="E148" i="6"/>
  <c r="E149" i="6"/>
  <c r="E150" i="6"/>
  <c r="AG150" i="6"/>
  <c r="E151" i="6"/>
  <c r="E152" i="6"/>
  <c r="AF152" i="6" s="1"/>
  <c r="E153" i="6"/>
  <c r="E155" i="6"/>
  <c r="E156" i="6"/>
  <c r="E157" i="6"/>
  <c r="Q157" i="6" s="1"/>
  <c r="E158" i="6"/>
  <c r="AE158" i="6" s="1"/>
  <c r="E159" i="6"/>
  <c r="S159" i="6" s="1"/>
  <c r="AG159" i="6"/>
  <c r="E160" i="6"/>
  <c r="Y160" i="6" s="1"/>
  <c r="E161" i="6"/>
  <c r="O161" i="6" s="1"/>
  <c r="E163" i="6"/>
  <c r="AE163" i="6" s="1"/>
  <c r="E164" i="6"/>
  <c r="V164" i="6" s="1"/>
  <c r="E165" i="6"/>
  <c r="E166" i="6"/>
  <c r="P166" i="6" s="1"/>
  <c r="E167" i="6"/>
  <c r="E168" i="6"/>
  <c r="AF168" i="6" s="1"/>
  <c r="E169" i="6"/>
  <c r="AA169" i="6" s="1"/>
  <c r="E170" i="6"/>
  <c r="E171" i="6"/>
  <c r="E172" i="6"/>
  <c r="AG7" i="6"/>
  <c r="T7" i="6"/>
  <c r="U7" i="6"/>
  <c r="V7" i="6"/>
  <c r="W7" i="6"/>
  <c r="X7" i="6"/>
  <c r="Y7" i="6"/>
  <c r="Z7" i="6"/>
  <c r="AA7" i="6"/>
  <c r="AA10" i="6" s="1"/>
  <c r="AB7" i="6"/>
  <c r="AB9" i="6" s="1"/>
  <c r="AC7" i="6"/>
  <c r="AD7" i="6"/>
  <c r="AE7" i="6"/>
  <c r="AE8" i="6" s="1"/>
  <c r="AF7" i="6"/>
  <c r="AF10" i="6" s="1"/>
  <c r="J26" i="47"/>
  <c r="J25" i="44"/>
  <c r="J57" i="44"/>
  <c r="J66" i="44" s="1"/>
  <c r="J35" i="26" s="1"/>
  <c r="M34" i="35" s="1"/>
  <c r="K25" i="44"/>
  <c r="K57" i="44"/>
  <c r="K66" i="44" s="1"/>
  <c r="K35" i="26" s="1"/>
  <c r="N34" i="35" s="1"/>
  <c r="G187" i="1"/>
  <c r="F28" i="47" s="1"/>
  <c r="AG28" i="47" s="1"/>
  <c r="L25" i="44"/>
  <c r="L57" i="44"/>
  <c r="M25" i="44"/>
  <c r="M57" i="44"/>
  <c r="M66" i="44" s="1"/>
  <c r="M35" i="26" s="1"/>
  <c r="P34" i="35" s="1"/>
  <c r="N25" i="44"/>
  <c r="N57" i="44"/>
  <c r="O25" i="44"/>
  <c r="O57" i="44"/>
  <c r="O66" i="44" s="1"/>
  <c r="O35" i="26" s="1"/>
  <c r="R34" i="35" s="1"/>
  <c r="P25" i="44"/>
  <c r="P57" i="44"/>
  <c r="P66" i="44" s="1"/>
  <c r="P35" i="26" s="1"/>
  <c r="S34" i="35" s="1"/>
  <c r="Q25" i="44"/>
  <c r="Q57" i="44"/>
  <c r="Q66" i="44" s="1"/>
  <c r="Q35" i="26" s="1"/>
  <c r="T34" i="35" s="1"/>
  <c r="R25" i="44"/>
  <c r="R57" i="44"/>
  <c r="R66" i="44" s="1"/>
  <c r="R35" i="26" s="1"/>
  <c r="U34" i="35" s="1"/>
  <c r="S25" i="44"/>
  <c r="S57" i="44"/>
  <c r="S66" i="44" s="1"/>
  <c r="S35" i="26" s="1"/>
  <c r="S16" i="22"/>
  <c r="S161" i="22" s="1"/>
  <c r="S49" i="22"/>
  <c r="S75" i="22"/>
  <c r="S101" i="22"/>
  <c r="S133" i="22"/>
  <c r="S153" i="22" s="1"/>
  <c r="T25" i="44"/>
  <c r="T57" i="44"/>
  <c r="T66" i="44"/>
  <c r="T35" i="26" s="1"/>
  <c r="T16" i="22"/>
  <c r="T32" i="22" s="1"/>
  <c r="T49" i="22"/>
  <c r="T75" i="22"/>
  <c r="T101" i="22"/>
  <c r="T133" i="22"/>
  <c r="T153" i="22" s="1"/>
  <c r="U25" i="44"/>
  <c r="U57" i="44"/>
  <c r="U16" i="22"/>
  <c r="U49" i="22"/>
  <c r="U75" i="22"/>
  <c r="U121" i="22" s="1"/>
  <c r="U101" i="22"/>
  <c r="U133" i="22"/>
  <c r="V25" i="44"/>
  <c r="V57" i="44"/>
  <c r="V66" i="44" s="1"/>
  <c r="V35" i="26" s="1"/>
  <c r="V16" i="22"/>
  <c r="V49" i="22"/>
  <c r="V75" i="22"/>
  <c r="V101" i="22"/>
  <c r="V162" i="22" s="1"/>
  <c r="V133" i="22"/>
  <c r="W25" i="44"/>
  <c r="W57" i="44"/>
  <c r="W66" i="44" s="1"/>
  <c r="W35" i="26" s="1"/>
  <c r="W16" i="22"/>
  <c r="W161" i="22" s="1"/>
  <c r="W49" i="22"/>
  <c r="W75" i="22"/>
  <c r="W101" i="22"/>
  <c r="W133" i="22"/>
  <c r="W163" i="22" s="1"/>
  <c r="X25" i="44"/>
  <c r="X57" i="44"/>
  <c r="X16" i="22"/>
  <c r="X49" i="22"/>
  <c r="X162" i="22" s="1"/>
  <c r="X75" i="22"/>
  <c r="X101" i="22"/>
  <c r="X133" i="22"/>
  <c r="Y25" i="44"/>
  <c r="Y57" i="44"/>
  <c r="Y66" i="44" s="1"/>
  <c r="Y35" i="26" s="1"/>
  <c r="Y16" i="22"/>
  <c r="Y32" i="22" s="1"/>
  <c r="Y49" i="22"/>
  <c r="Y75" i="22"/>
  <c r="Y101" i="22"/>
  <c r="Y133" i="22"/>
  <c r="Z25" i="44"/>
  <c r="Z57" i="44"/>
  <c r="Z66" i="44" s="1"/>
  <c r="Z35" i="26" s="1"/>
  <c r="Z16" i="22"/>
  <c r="Z161" i="22" s="1"/>
  <c r="Z49" i="22"/>
  <c r="Z75" i="22"/>
  <c r="Z101" i="22"/>
  <c r="Z133" i="22"/>
  <c r="AA25" i="44"/>
  <c r="AA57" i="44"/>
  <c r="AA66" i="44" s="1"/>
  <c r="AA35" i="26" s="1"/>
  <c r="AA16" i="22"/>
  <c r="AA49" i="22"/>
  <c r="AA75" i="22"/>
  <c r="AA101" i="22"/>
  <c r="AA133" i="22"/>
  <c r="AB25" i="44"/>
  <c r="AB57" i="44"/>
  <c r="AB66" i="44" s="1"/>
  <c r="AB35" i="26" s="1"/>
  <c r="AB16" i="22"/>
  <c r="AB161" i="22" s="1"/>
  <c r="AB49" i="22"/>
  <c r="AB121" i="22" s="1"/>
  <c r="AB75" i="22"/>
  <c r="AB101" i="22"/>
  <c r="AB133" i="22"/>
  <c r="AB153" i="22" s="1"/>
  <c r="AC25" i="44"/>
  <c r="AC57" i="44"/>
  <c r="AC66" i="44" s="1"/>
  <c r="AC16" i="22"/>
  <c r="AC49" i="22"/>
  <c r="AC75" i="22"/>
  <c r="AC101" i="22"/>
  <c r="AC133" i="22"/>
  <c r="AC149" i="22"/>
  <c r="AD25" i="44"/>
  <c r="AD57" i="44"/>
  <c r="AD16" i="22"/>
  <c r="AD49" i="22"/>
  <c r="AD75" i="22"/>
  <c r="AD162" i="22" s="1"/>
  <c r="AD101" i="22"/>
  <c r="AD133" i="22"/>
  <c r="AE25" i="44"/>
  <c r="AE57" i="44"/>
  <c r="AE66" i="44" s="1"/>
  <c r="AE35" i="26" s="1"/>
  <c r="AE16" i="22"/>
  <c r="AE36" i="22" s="1"/>
  <c r="AE49" i="22"/>
  <c r="AE75" i="22"/>
  <c r="AE101" i="22"/>
  <c r="AE133" i="22"/>
  <c r="AF25" i="44"/>
  <c r="AF57" i="44"/>
  <c r="AF66" i="44" s="1"/>
  <c r="AF35" i="26" s="1"/>
  <c r="AF16" i="22"/>
  <c r="AF49" i="22"/>
  <c r="AF75" i="22"/>
  <c r="AF101" i="22"/>
  <c r="AF133" i="22"/>
  <c r="K33" i="47"/>
  <c r="L48" i="47"/>
  <c r="E162" i="46"/>
  <c r="E163" i="46"/>
  <c r="E164" i="46"/>
  <c r="E165" i="46"/>
  <c r="E169" i="46"/>
  <c r="E170" i="46"/>
  <c r="E171" i="46"/>
  <c r="E172" i="46"/>
  <c r="E176" i="46"/>
  <c r="E177" i="46"/>
  <c r="E178" i="46"/>
  <c r="E179" i="46"/>
  <c r="E183" i="46"/>
  <c r="E184" i="46"/>
  <c r="E185" i="46"/>
  <c r="E186" i="46"/>
  <c r="E190" i="46"/>
  <c r="E191" i="46"/>
  <c r="E192" i="46"/>
  <c r="E193" i="46"/>
  <c r="E197" i="46"/>
  <c r="E198" i="46"/>
  <c r="E199" i="46"/>
  <c r="E200" i="46"/>
  <c r="E204" i="46"/>
  <c r="E205" i="46"/>
  <c r="E206" i="46"/>
  <c r="E207" i="46"/>
  <c r="E211" i="46"/>
  <c r="E212" i="46"/>
  <c r="E213" i="46"/>
  <c r="E214" i="46"/>
  <c r="E218" i="46"/>
  <c r="E219" i="46"/>
  <c r="E220" i="46"/>
  <c r="E221" i="46"/>
  <c r="E225" i="46"/>
  <c r="E226" i="46"/>
  <c r="E227" i="46"/>
  <c r="E228" i="46"/>
  <c r="H135" i="1"/>
  <c r="E71" i="25" s="1"/>
  <c r="J71" i="25" s="1"/>
  <c r="H112" i="1"/>
  <c r="E111" i="25" s="1"/>
  <c r="G105" i="1"/>
  <c r="G101" i="1"/>
  <c r="E101" i="25" s="1"/>
  <c r="F114" i="1"/>
  <c r="E103" i="25" s="1"/>
  <c r="J103" i="25" s="1"/>
  <c r="H115" i="1"/>
  <c r="E104" i="25" s="1"/>
  <c r="F109" i="1"/>
  <c r="F95" i="25" s="1"/>
  <c r="G19" i="22"/>
  <c r="G52" i="22"/>
  <c r="G78" i="22"/>
  <c r="G104" i="22"/>
  <c r="G136" i="22"/>
  <c r="S46" i="26"/>
  <c r="AG65" i="47"/>
  <c r="AG69" i="47" s="1"/>
  <c r="J68" i="47"/>
  <c r="M48" i="47"/>
  <c r="N48" i="47"/>
  <c r="E84" i="1"/>
  <c r="E83" i="1"/>
  <c r="E82" i="1"/>
  <c r="E75" i="1"/>
  <c r="E76" i="1"/>
  <c r="E74" i="1"/>
  <c r="E73" i="1"/>
  <c r="E49" i="1"/>
  <c r="E52" i="1"/>
  <c r="E51" i="1"/>
  <c r="E50" i="1"/>
  <c r="F221" i="1"/>
  <c r="H14" i="1"/>
  <c r="C20" i="25" s="1"/>
  <c r="V40" i="36" s="1"/>
  <c r="AG22" i="25"/>
  <c r="AG75" i="26" s="1"/>
  <c r="AF22" i="25"/>
  <c r="AE22" i="25"/>
  <c r="AE75" i="26" s="1"/>
  <c r="AD22" i="25"/>
  <c r="AD75" i="26" s="1"/>
  <c r="AC22" i="25"/>
  <c r="AC75" i="26" s="1"/>
  <c r="AB22" i="25"/>
  <c r="AA22" i="25"/>
  <c r="AA75" i="26" s="1"/>
  <c r="Z22" i="25"/>
  <c r="Z75" i="26" s="1"/>
  <c r="Y22" i="25"/>
  <c r="Y75" i="26" s="1"/>
  <c r="X22" i="25"/>
  <c r="W22" i="25"/>
  <c r="W75" i="26" s="1"/>
  <c r="V22" i="25"/>
  <c r="U22" i="25"/>
  <c r="U75" i="26" s="1"/>
  <c r="T22" i="25"/>
  <c r="S22" i="25"/>
  <c r="S75" i="26" s="1"/>
  <c r="J299" i="1"/>
  <c r="I311" i="1"/>
  <c r="K299" i="1"/>
  <c r="AG27" i="25"/>
  <c r="AG80" i="26" s="1"/>
  <c r="AF27" i="25"/>
  <c r="AF80" i="26" s="1"/>
  <c r="AE27" i="25"/>
  <c r="AE80" i="26" s="1"/>
  <c r="AD27" i="25"/>
  <c r="AD80" i="26" s="1"/>
  <c r="AC27" i="25"/>
  <c r="AC80" i="26" s="1"/>
  <c r="AB27" i="25"/>
  <c r="AB80" i="26" s="1"/>
  <c r="AA27" i="25"/>
  <c r="AA80" i="26" s="1"/>
  <c r="Z27" i="25"/>
  <c r="Z80" i="26" s="1"/>
  <c r="Y27" i="25"/>
  <c r="Y80" i="26" s="1"/>
  <c r="X27" i="25"/>
  <c r="X80" i="26" s="1"/>
  <c r="W27" i="25"/>
  <c r="W80" i="26" s="1"/>
  <c r="V27" i="25"/>
  <c r="V80" i="26" s="1"/>
  <c r="U27" i="25"/>
  <c r="U80" i="26" s="1"/>
  <c r="T27" i="25"/>
  <c r="T80" i="26" s="1"/>
  <c r="S27" i="25"/>
  <c r="S80" i="26" s="1"/>
  <c r="AF45" i="26"/>
  <c r="AD45" i="26"/>
  <c r="Z45" i="26"/>
  <c r="V45" i="26"/>
  <c r="J115" i="25"/>
  <c r="E119" i="25"/>
  <c r="F119" i="25" s="1"/>
  <c r="J125" i="25"/>
  <c r="E129" i="25"/>
  <c r="F129" i="25" s="1"/>
  <c r="J135" i="25"/>
  <c r="E139" i="25"/>
  <c r="F139" i="25" s="1"/>
  <c r="J116" i="25"/>
  <c r="J117" i="25"/>
  <c r="J126" i="25"/>
  <c r="J127" i="25"/>
  <c r="J136" i="25"/>
  <c r="J137" i="25"/>
  <c r="K116" i="25"/>
  <c r="K117" i="25"/>
  <c r="K126" i="25"/>
  <c r="K127" i="25"/>
  <c r="K136" i="25"/>
  <c r="K137" i="25"/>
  <c r="L116" i="25"/>
  <c r="L117" i="25"/>
  <c r="L126" i="25"/>
  <c r="L127" i="25"/>
  <c r="L136" i="25"/>
  <c r="L137" i="25"/>
  <c r="M116" i="25"/>
  <c r="M117" i="25"/>
  <c r="M126" i="25"/>
  <c r="M127" i="25"/>
  <c r="M136" i="25"/>
  <c r="M137" i="25"/>
  <c r="N116" i="25"/>
  <c r="N117" i="25"/>
  <c r="N126" i="25"/>
  <c r="N127" i="25"/>
  <c r="N136" i="25"/>
  <c r="N137" i="25"/>
  <c r="O116" i="25"/>
  <c r="O117" i="25"/>
  <c r="O126" i="25"/>
  <c r="O127" i="25"/>
  <c r="O136" i="25"/>
  <c r="O137" i="25"/>
  <c r="P116" i="25"/>
  <c r="P117" i="25"/>
  <c r="P126" i="25"/>
  <c r="P127" i="25"/>
  <c r="P136" i="25"/>
  <c r="P137" i="25"/>
  <c r="Q116" i="25"/>
  <c r="Q117" i="25"/>
  <c r="Q126" i="25"/>
  <c r="Q127" i="25"/>
  <c r="Q136" i="25"/>
  <c r="Q137" i="25"/>
  <c r="H49" i="1"/>
  <c r="H50" i="1"/>
  <c r="H51" i="1"/>
  <c r="H52" i="1"/>
  <c r="T166" i="22"/>
  <c r="T38" i="26" s="1"/>
  <c r="T177" i="22"/>
  <c r="T178" i="22"/>
  <c r="T179" i="22"/>
  <c r="U17" i="26"/>
  <c r="U166" i="22"/>
  <c r="U177" i="22"/>
  <c r="U14" i="25" s="1"/>
  <c r="U64" i="26" s="1"/>
  <c r="U178" i="22"/>
  <c r="U179" i="22"/>
  <c r="V166" i="22"/>
  <c r="V38" i="26" s="1"/>
  <c r="V177" i="22"/>
  <c r="V178" i="22"/>
  <c r="V179" i="22"/>
  <c r="W166" i="22"/>
  <c r="W177" i="22"/>
  <c r="W178" i="22"/>
  <c r="W179" i="22"/>
  <c r="X166" i="22"/>
  <c r="X177" i="22"/>
  <c r="X178" i="22"/>
  <c r="X179" i="22"/>
  <c r="Y166" i="22"/>
  <c r="Y177" i="22"/>
  <c r="Y14" i="25" s="1"/>
  <c r="Y64" i="26" s="1"/>
  <c r="Y178" i="22"/>
  <c r="Y179" i="22"/>
  <c r="Z13" i="26"/>
  <c r="Z21" i="26"/>
  <c r="Z166" i="22"/>
  <c r="Z38" i="26" s="1"/>
  <c r="Z177" i="22"/>
  <c r="Z178" i="22"/>
  <c r="Z179" i="22"/>
  <c r="AA166" i="22"/>
  <c r="AA177" i="22"/>
  <c r="AA178" i="22"/>
  <c r="AA179" i="22"/>
  <c r="AB17" i="26"/>
  <c r="AB166" i="22"/>
  <c r="AB177" i="22"/>
  <c r="AB14" i="25" s="1"/>
  <c r="AB64" i="26" s="1"/>
  <c r="AB178" i="22"/>
  <c r="AB179" i="22"/>
  <c r="AC35" i="26"/>
  <c r="AC166" i="22"/>
  <c r="AC177" i="22"/>
  <c r="AC178" i="22"/>
  <c r="AC179" i="22"/>
  <c r="AD13" i="26"/>
  <c r="AD166" i="22"/>
  <c r="AD38" i="26" s="1"/>
  <c r="AD177" i="22"/>
  <c r="AD14" i="25" s="1"/>
  <c r="AD64" i="26" s="1"/>
  <c r="AD178" i="22"/>
  <c r="AD179" i="22"/>
  <c r="AE166" i="22"/>
  <c r="AE177" i="22"/>
  <c r="AE14" i="25" s="1"/>
  <c r="AE64" i="26" s="1"/>
  <c r="AE178" i="22"/>
  <c r="AE179" i="22"/>
  <c r="AF21" i="26"/>
  <c r="AF166" i="22"/>
  <c r="AF177" i="22"/>
  <c r="AF178" i="22"/>
  <c r="AF179" i="22"/>
  <c r="AG166" i="22"/>
  <c r="AG38" i="26" s="1"/>
  <c r="AG177" i="22"/>
  <c r="AG178" i="22"/>
  <c r="AG179" i="22"/>
  <c r="S169" i="22"/>
  <c r="S24" i="25" s="1"/>
  <c r="S77" i="26" s="1"/>
  <c r="S170" i="22"/>
  <c r="S25" i="25" s="1"/>
  <c r="S78" i="26" s="1"/>
  <c r="S26" i="25"/>
  <c r="S79" i="26" s="1"/>
  <c r="R116" i="25"/>
  <c r="R117" i="25"/>
  <c r="R126" i="25"/>
  <c r="R127" i="25"/>
  <c r="R136" i="25"/>
  <c r="R137" i="25"/>
  <c r="S32" i="25"/>
  <c r="S92" i="26" s="1"/>
  <c r="T8" i="6"/>
  <c r="T12" i="25"/>
  <c r="T62" i="26" s="1"/>
  <c r="T13" i="25"/>
  <c r="T63" i="26" s="1"/>
  <c r="T14" i="25"/>
  <c r="T64" i="26" s="1"/>
  <c r="T112" i="6"/>
  <c r="T115" i="6"/>
  <c r="T145" i="6"/>
  <c r="T150" i="6"/>
  <c r="T156" i="6"/>
  <c r="T169" i="22"/>
  <c r="T24" i="25" s="1"/>
  <c r="T77" i="26" s="1"/>
  <c r="T170" i="22"/>
  <c r="T25" i="25" s="1"/>
  <c r="T78" i="26" s="1"/>
  <c r="T26" i="25"/>
  <c r="T79" i="26" s="1"/>
  <c r="T103" i="25"/>
  <c r="T32" i="25"/>
  <c r="T92" i="26" s="1"/>
  <c r="T7" i="47"/>
  <c r="U9" i="6"/>
  <c r="U10" i="6"/>
  <c r="U12" i="25"/>
  <c r="U13" i="25"/>
  <c r="U63" i="26" s="1"/>
  <c r="U136" i="6"/>
  <c r="U137" i="6"/>
  <c r="U145" i="6"/>
  <c r="U169" i="22"/>
  <c r="U24" i="25" s="1"/>
  <c r="U77" i="26" s="1"/>
  <c r="U170" i="22"/>
  <c r="U25" i="25" s="1"/>
  <c r="U78" i="26" s="1"/>
  <c r="U26" i="25"/>
  <c r="U79" i="26" s="1"/>
  <c r="U103" i="25"/>
  <c r="U32" i="25"/>
  <c r="U92" i="26" s="1"/>
  <c r="U7" i="47"/>
  <c r="V12" i="25"/>
  <c r="V62" i="26" s="1"/>
  <c r="V13" i="25"/>
  <c r="V63" i="26" s="1"/>
  <c r="V14" i="25"/>
  <c r="V64" i="26" s="1"/>
  <c r="V112" i="6"/>
  <c r="V169" i="22"/>
  <c r="V24" i="25" s="1"/>
  <c r="V77" i="26" s="1"/>
  <c r="V170" i="22"/>
  <c r="V25" i="25" s="1"/>
  <c r="V78" i="26" s="1"/>
  <c r="V26" i="25"/>
  <c r="V79" i="26" s="1"/>
  <c r="V103" i="25"/>
  <c r="V32" i="25"/>
  <c r="V92" i="26" s="1"/>
  <c r="V7" i="47"/>
  <c r="W10" i="6"/>
  <c r="W12" i="25"/>
  <c r="W62" i="26" s="1"/>
  <c r="W13" i="25"/>
  <c r="W112" i="6"/>
  <c r="W136" i="6"/>
  <c r="W147" i="6"/>
  <c r="W150" i="6"/>
  <c r="W159" i="6"/>
  <c r="W172" i="6"/>
  <c r="W169" i="22"/>
  <c r="W24" i="25" s="1"/>
  <c r="W77" i="26" s="1"/>
  <c r="W170" i="22"/>
  <c r="W25" i="25" s="1"/>
  <c r="W78" i="26" s="1"/>
  <c r="W26" i="25"/>
  <c r="W79" i="26" s="1"/>
  <c r="W103" i="25"/>
  <c r="W32" i="25"/>
  <c r="W92" i="26" s="1"/>
  <c r="W7" i="47"/>
  <c r="X8" i="6"/>
  <c r="X9" i="6"/>
  <c r="X12" i="25"/>
  <c r="X13" i="25"/>
  <c r="X63" i="26" s="1"/>
  <c r="X14" i="25"/>
  <c r="X107" i="6"/>
  <c r="X112" i="6"/>
  <c r="X147" i="6"/>
  <c r="X159" i="6"/>
  <c r="X169" i="6"/>
  <c r="X169" i="22"/>
  <c r="X24" i="25" s="1"/>
  <c r="X77" i="26" s="1"/>
  <c r="X170" i="22"/>
  <c r="X25" i="25" s="1"/>
  <c r="X78" i="26" s="1"/>
  <c r="X26" i="25"/>
  <c r="X79" i="26" s="1"/>
  <c r="X103" i="25"/>
  <c r="X32" i="25"/>
  <c r="X92" i="26" s="1"/>
  <c r="X7" i="47"/>
  <c r="Y10" i="6"/>
  <c r="Y12" i="25"/>
  <c r="Y13" i="25"/>
  <c r="Y113" i="6"/>
  <c r="Y144" i="6"/>
  <c r="Y168" i="6"/>
  <c r="Y169" i="22"/>
  <c r="Y24" i="25" s="1"/>
  <c r="Y77" i="26" s="1"/>
  <c r="Y170" i="22"/>
  <c r="Y25" i="25" s="1"/>
  <c r="Y78" i="26" s="1"/>
  <c r="Y26" i="25"/>
  <c r="Y79" i="26" s="1"/>
  <c r="Y103" i="25"/>
  <c r="Y32" i="25"/>
  <c r="Y92" i="26" s="1"/>
  <c r="Y7" i="47"/>
  <c r="Z9" i="6"/>
  <c r="Z12" i="25"/>
  <c r="Z62" i="26" s="1"/>
  <c r="Z13" i="25"/>
  <c r="Z63" i="26" s="1"/>
  <c r="Z141" i="6"/>
  <c r="Z172" i="6"/>
  <c r="Z169" i="22"/>
  <c r="Z24" i="25" s="1"/>
  <c r="Z77" i="26" s="1"/>
  <c r="Z170" i="22"/>
  <c r="Z174" i="22" s="1"/>
  <c r="Z25" i="25"/>
  <c r="Z78" i="26" s="1"/>
  <c r="Z26" i="25"/>
  <c r="Z79" i="26" s="1"/>
  <c r="Z103" i="25"/>
  <c r="Z32" i="25"/>
  <c r="Z7" i="47"/>
  <c r="AA8" i="6"/>
  <c r="AA9" i="6"/>
  <c r="AA12" i="25"/>
  <c r="AA62" i="26" s="1"/>
  <c r="AA13" i="25"/>
  <c r="AA63" i="26" s="1"/>
  <c r="AA114" i="6"/>
  <c r="AA136" i="6"/>
  <c r="AA141" i="6"/>
  <c r="AA150" i="6"/>
  <c r="AA153" i="6"/>
  <c r="AA159" i="6"/>
  <c r="AA160" i="6"/>
  <c r="AA169" i="22"/>
  <c r="AA24" i="25" s="1"/>
  <c r="AA170" i="22"/>
  <c r="AA25" i="25"/>
  <c r="AA78" i="26" s="1"/>
  <c r="AA26" i="25"/>
  <c r="AA79" i="26" s="1"/>
  <c r="AA103" i="25"/>
  <c r="AA32" i="25"/>
  <c r="AA92" i="26" s="1"/>
  <c r="AA7" i="47"/>
  <c r="AB10" i="6"/>
  <c r="AB12" i="25"/>
  <c r="AB62" i="26" s="1"/>
  <c r="AB13" i="25"/>
  <c r="AB63" i="26" s="1"/>
  <c r="AB115" i="6"/>
  <c r="AB135" i="6"/>
  <c r="AB145" i="6"/>
  <c r="AB150" i="6"/>
  <c r="AB155" i="6"/>
  <c r="AB169" i="22"/>
  <c r="AB24" i="25" s="1"/>
  <c r="AB77" i="26" s="1"/>
  <c r="AB170" i="22"/>
  <c r="AB25" i="25" s="1"/>
  <c r="AB78" i="26" s="1"/>
  <c r="AB26" i="25"/>
  <c r="AB79" i="26" s="1"/>
  <c r="AB103" i="25"/>
  <c r="AB32" i="25"/>
  <c r="AB92" i="26" s="1"/>
  <c r="AB7" i="47"/>
  <c r="AC9" i="6"/>
  <c r="AC10" i="6"/>
  <c r="AC12" i="25"/>
  <c r="AC62" i="26" s="1"/>
  <c r="AC13" i="25"/>
  <c r="AC63" i="26" s="1"/>
  <c r="AC14" i="25"/>
  <c r="AC64" i="26" s="1"/>
  <c r="AC137" i="6"/>
  <c r="AC141" i="6"/>
  <c r="AC150" i="6"/>
  <c r="AC161" i="6"/>
  <c r="AC172" i="6"/>
  <c r="AC169" i="22"/>
  <c r="AC24" i="25" s="1"/>
  <c r="AC77" i="26" s="1"/>
  <c r="AC170" i="22"/>
  <c r="AC26" i="25"/>
  <c r="AC79" i="26" s="1"/>
  <c r="AC103" i="25"/>
  <c r="AC32" i="25"/>
  <c r="AC92" i="26" s="1"/>
  <c r="AC7" i="47"/>
  <c r="AD8" i="6"/>
  <c r="AD10" i="6"/>
  <c r="AD12" i="25"/>
  <c r="AD62" i="26" s="1"/>
  <c r="AD13" i="25"/>
  <c r="AD63" i="26" s="1"/>
  <c r="AD132" i="6"/>
  <c r="AD137" i="6"/>
  <c r="AD145" i="6"/>
  <c r="AD150" i="6"/>
  <c r="AD159" i="6"/>
  <c r="AD166" i="6"/>
  <c r="AD169" i="22"/>
  <c r="AD24" i="25" s="1"/>
  <c r="AD77" i="26" s="1"/>
  <c r="AD170" i="22"/>
  <c r="AD25" i="25" s="1"/>
  <c r="AD78" i="26" s="1"/>
  <c r="AD26" i="25"/>
  <c r="AD79" i="26" s="1"/>
  <c r="AD103" i="25"/>
  <c r="AD32" i="25"/>
  <c r="AD7" i="47"/>
  <c r="AE9" i="6"/>
  <c r="AE10" i="6"/>
  <c r="AE12" i="25"/>
  <c r="AE62" i="26" s="1"/>
  <c r="AE13" i="25"/>
  <c r="AE63" i="26" s="1"/>
  <c r="AE112" i="6"/>
  <c r="AE132" i="6"/>
  <c r="AE134" i="6"/>
  <c r="AE136" i="6"/>
  <c r="AE141" i="6"/>
  <c r="AE143" i="6"/>
  <c r="AE145" i="6"/>
  <c r="AE150" i="6"/>
  <c r="AE153" i="6"/>
  <c r="AE155" i="6"/>
  <c r="AE159" i="6"/>
  <c r="AE166" i="6"/>
  <c r="AE172" i="6"/>
  <c r="AE169" i="22"/>
  <c r="AE24" i="25" s="1"/>
  <c r="AE77" i="26" s="1"/>
  <c r="AE170" i="22"/>
  <c r="AE26" i="25"/>
  <c r="AE79" i="26" s="1"/>
  <c r="AE103" i="25"/>
  <c r="AE32" i="25"/>
  <c r="AE92" i="26" s="1"/>
  <c r="AE7" i="47"/>
  <c r="AF8" i="6"/>
  <c r="AF9" i="6"/>
  <c r="AF12" i="25"/>
  <c r="AF62" i="26" s="1"/>
  <c r="AF13" i="25"/>
  <c r="AF63" i="26" s="1"/>
  <c r="AF105" i="6"/>
  <c r="AF107" i="6"/>
  <c r="AF112" i="6"/>
  <c r="AF115" i="6"/>
  <c r="AF133" i="6"/>
  <c r="AF136" i="6"/>
  <c r="AF137" i="6"/>
  <c r="AF141" i="6"/>
  <c r="AF147" i="6"/>
  <c r="AF150" i="6"/>
  <c r="AF155" i="6"/>
  <c r="AF159" i="6"/>
  <c r="AF163" i="6"/>
  <c r="AF160" i="22"/>
  <c r="AF169" i="22"/>
  <c r="AF24" i="25" s="1"/>
  <c r="AF77" i="26" s="1"/>
  <c r="AF170" i="22"/>
  <c r="AF25" i="25" s="1"/>
  <c r="AF78" i="26" s="1"/>
  <c r="AF26" i="25"/>
  <c r="AF79" i="26" s="1"/>
  <c r="AF103" i="25"/>
  <c r="AF32" i="25"/>
  <c r="AF92" i="26" s="1"/>
  <c r="AF7" i="47"/>
  <c r="AG12" i="25"/>
  <c r="AG62" i="26" s="1"/>
  <c r="AG13" i="25"/>
  <c r="AG14" i="25"/>
  <c r="AG64" i="26" s="1"/>
  <c r="AG169" i="22"/>
  <c r="AG24" i="25" s="1"/>
  <c r="AG77" i="26" s="1"/>
  <c r="AG170" i="22"/>
  <c r="AG25" i="25" s="1"/>
  <c r="AG26" i="25"/>
  <c r="AG103" i="25"/>
  <c r="AG32" i="25"/>
  <c r="AG92" i="26" s="1"/>
  <c r="J46" i="36"/>
  <c r="J44" i="36"/>
  <c r="J45" i="36"/>
  <c r="AC51" i="36"/>
  <c r="U5" i="26"/>
  <c r="BI430" i="36" s="1"/>
  <c r="Y5" i="26"/>
  <c r="Q5" i="26"/>
  <c r="BE430" i="36" s="1"/>
  <c r="J5" i="26"/>
  <c r="K5" i="26"/>
  <c r="L5" i="26"/>
  <c r="M5" i="26"/>
  <c r="BA430" i="36" s="1"/>
  <c r="N5" i="26"/>
  <c r="O5" i="26"/>
  <c r="BC430" i="36" s="1"/>
  <c r="P5" i="26"/>
  <c r="BD430" i="36" s="1"/>
  <c r="R5" i="26"/>
  <c r="BF430" i="36" s="1"/>
  <c r="S5" i="26"/>
  <c r="T5" i="26"/>
  <c r="V5" i="26"/>
  <c r="W5" i="26"/>
  <c r="X5" i="26"/>
  <c r="Z5" i="26"/>
  <c r="AA5" i="26"/>
  <c r="AB5" i="26"/>
  <c r="AC5" i="26"/>
  <c r="AD5" i="26"/>
  <c r="AE5" i="26"/>
  <c r="AF5" i="26"/>
  <c r="AG5" i="26"/>
  <c r="J94" i="26"/>
  <c r="J95" i="26"/>
  <c r="M44" i="38" s="1"/>
  <c r="J96" i="26"/>
  <c r="M45" i="38" s="1"/>
  <c r="J102" i="26"/>
  <c r="K92" i="26"/>
  <c r="K94" i="26"/>
  <c r="N43" i="38" s="1"/>
  <c r="K95" i="26"/>
  <c r="N44" i="38" s="1"/>
  <c r="K96" i="26"/>
  <c r="L92" i="26"/>
  <c r="O41" i="38" s="1"/>
  <c r="L94" i="26"/>
  <c r="O43" i="38" s="1"/>
  <c r="L96" i="26"/>
  <c r="O45" i="38" s="1"/>
  <c r="N94" i="26"/>
  <c r="Q43" i="38" s="1"/>
  <c r="N95" i="26"/>
  <c r="Q44" i="38" s="1"/>
  <c r="N96" i="26"/>
  <c r="Q45" i="38" s="1"/>
  <c r="N102" i="26"/>
  <c r="O94" i="26"/>
  <c r="R43" i="38" s="1"/>
  <c r="O95" i="26"/>
  <c r="O96" i="26"/>
  <c r="R45" i="38" s="1"/>
  <c r="P94" i="26"/>
  <c r="S43" i="38" s="1"/>
  <c r="P96" i="26"/>
  <c r="S45" i="38" s="1"/>
  <c r="Q102" i="26"/>
  <c r="Q52" i="26" s="1"/>
  <c r="R92" i="26"/>
  <c r="U41" i="38" s="1"/>
  <c r="R94" i="26"/>
  <c r="R95" i="26"/>
  <c r="U44" i="38" s="1"/>
  <c r="R96" i="26"/>
  <c r="R102" i="26"/>
  <c r="U51" i="38" s="1"/>
  <c r="J35" i="47"/>
  <c r="S94" i="26"/>
  <c r="S102" i="26"/>
  <c r="S52" i="26" s="1"/>
  <c r="T75" i="26"/>
  <c r="S116" i="25"/>
  <c r="S117" i="25"/>
  <c r="S126" i="25"/>
  <c r="S127" i="25"/>
  <c r="S136" i="25"/>
  <c r="S137" i="25"/>
  <c r="T59" i="47"/>
  <c r="T96" i="26"/>
  <c r="T102" i="26"/>
  <c r="T52" i="26" s="1"/>
  <c r="T116" i="25"/>
  <c r="T117" i="25"/>
  <c r="T126" i="25"/>
  <c r="T127" i="25"/>
  <c r="T136" i="25"/>
  <c r="T137" i="25"/>
  <c r="U89" i="25"/>
  <c r="U59" i="47"/>
  <c r="V75" i="26"/>
  <c r="U116" i="25"/>
  <c r="U117" i="25"/>
  <c r="U126" i="25"/>
  <c r="U127" i="25"/>
  <c r="U136" i="25"/>
  <c r="U137" i="25"/>
  <c r="V59" i="47"/>
  <c r="V94" i="26"/>
  <c r="V95" i="26"/>
  <c r="V96" i="26"/>
  <c r="V102" i="26"/>
  <c r="V52" i="26" s="1"/>
  <c r="W63" i="26"/>
  <c r="V116" i="25"/>
  <c r="V117" i="25"/>
  <c r="V126" i="25"/>
  <c r="V127" i="25"/>
  <c r="V136" i="25"/>
  <c r="V137" i="25"/>
  <c r="W59" i="47"/>
  <c r="W94" i="26"/>
  <c r="W96" i="26"/>
  <c r="X62" i="26"/>
  <c r="X64" i="26"/>
  <c r="X75" i="26"/>
  <c r="W116" i="25"/>
  <c r="W117" i="25"/>
  <c r="W126" i="25"/>
  <c r="W127" i="25"/>
  <c r="W136" i="25"/>
  <c r="W137" i="25"/>
  <c r="X89" i="25"/>
  <c r="Y62" i="26"/>
  <c r="Y63" i="26"/>
  <c r="X116" i="25"/>
  <c r="X117" i="25"/>
  <c r="X126" i="25"/>
  <c r="X127" i="25"/>
  <c r="X136" i="25"/>
  <c r="X137" i="25"/>
  <c r="Y94" i="26"/>
  <c r="Y116" i="25"/>
  <c r="Y117" i="25"/>
  <c r="Y126" i="25"/>
  <c r="Y127" i="25"/>
  <c r="Y136" i="25"/>
  <c r="Y137" i="25"/>
  <c r="Z89" i="25"/>
  <c r="Z92" i="26"/>
  <c r="Z94" i="26"/>
  <c r="Z95" i="26"/>
  <c r="Z96" i="26"/>
  <c r="Z102" i="26"/>
  <c r="Z52" i="26" s="1"/>
  <c r="AA77" i="26"/>
  <c r="Z116" i="25"/>
  <c r="Z117" i="25"/>
  <c r="Z126" i="25"/>
  <c r="Z127" i="25"/>
  <c r="Z136" i="25"/>
  <c r="Z137" i="25"/>
  <c r="AA89" i="25"/>
  <c r="AA59" i="47"/>
  <c r="AA95" i="26"/>
  <c r="AB75" i="26"/>
  <c r="AA116" i="25"/>
  <c r="AA117" i="25"/>
  <c r="AA126" i="25"/>
  <c r="AA127" i="25"/>
  <c r="AA136" i="25"/>
  <c r="AA137" i="25"/>
  <c r="AB94" i="26"/>
  <c r="AB116" i="25"/>
  <c r="AB117" i="25"/>
  <c r="AB126" i="25"/>
  <c r="AB127" i="25"/>
  <c r="AB136" i="25"/>
  <c r="AB137" i="25"/>
  <c r="AC89" i="25"/>
  <c r="AC59" i="47"/>
  <c r="AC95" i="26"/>
  <c r="AC116" i="25"/>
  <c r="AC117" i="25"/>
  <c r="AC126" i="25"/>
  <c r="AC127" i="25"/>
  <c r="AC136" i="25"/>
  <c r="AC137" i="25"/>
  <c r="AD89" i="25"/>
  <c r="T46" i="26"/>
  <c r="AD92" i="26"/>
  <c r="AD94" i="26"/>
  <c r="AD95" i="26"/>
  <c r="AD96" i="26"/>
  <c r="AD102" i="26"/>
  <c r="AD52" i="26" s="1"/>
  <c r="AD116" i="25"/>
  <c r="AD117" i="25"/>
  <c r="AD126" i="25"/>
  <c r="AD127" i="25"/>
  <c r="AD136" i="25"/>
  <c r="AD137" i="25"/>
  <c r="AE89" i="25"/>
  <c r="AE59" i="47"/>
  <c r="V46" i="26"/>
  <c r="X46" i="26"/>
  <c r="Z46" i="26"/>
  <c r="AD46" i="26"/>
  <c r="AE94" i="26"/>
  <c r="AE96" i="26"/>
  <c r="AF75" i="26"/>
  <c r="AE116" i="25"/>
  <c r="AE117" i="25"/>
  <c r="AE126" i="25"/>
  <c r="AE127" i="25"/>
  <c r="AE136" i="25"/>
  <c r="AE137" i="25"/>
  <c r="AF89" i="25"/>
  <c r="C182" i="22"/>
  <c r="C176" i="22"/>
  <c r="G42" i="25"/>
  <c r="F42" i="25" s="1"/>
  <c r="C266" i="36"/>
  <c r="C127" i="26"/>
  <c r="C24" i="39" s="1"/>
  <c r="C237" i="1"/>
  <c r="C259" i="36"/>
  <c r="C54" i="6"/>
  <c r="C14" i="6"/>
  <c r="C28" i="6"/>
  <c r="C70" i="6"/>
  <c r="C25" i="6"/>
  <c r="C67" i="6"/>
  <c r="C120" i="26"/>
  <c r="C232" i="1"/>
  <c r="C258" i="36"/>
  <c r="C202" i="6"/>
  <c r="G40" i="1"/>
  <c r="C153" i="1"/>
  <c r="C139" i="1"/>
  <c r="C1" i="36"/>
  <c r="AF252" i="36"/>
  <c r="C32" i="36"/>
  <c r="D198" i="36"/>
  <c r="D197" i="36"/>
  <c r="D196" i="36"/>
  <c r="D195" i="36"/>
  <c r="D194" i="36"/>
  <c r="D193" i="36"/>
  <c r="D192" i="36"/>
  <c r="D191" i="36"/>
  <c r="D190" i="36"/>
  <c r="D189" i="36"/>
  <c r="D158" i="36"/>
  <c r="D157" i="36"/>
  <c r="D156" i="36"/>
  <c r="D155" i="36"/>
  <c r="D154" i="36"/>
  <c r="D153" i="36"/>
  <c r="D152" i="36"/>
  <c r="D151" i="36"/>
  <c r="D150" i="36"/>
  <c r="D149" i="36"/>
  <c r="D118" i="36"/>
  <c r="D117" i="36"/>
  <c r="D116" i="36"/>
  <c r="D115" i="36"/>
  <c r="D114" i="36"/>
  <c r="D113" i="36"/>
  <c r="D112" i="36"/>
  <c r="D111" i="36"/>
  <c r="D110" i="36"/>
  <c r="D109" i="36"/>
  <c r="AW474" i="36"/>
  <c r="AW453" i="36"/>
  <c r="AW452" i="36"/>
  <c r="AW451" i="36"/>
  <c r="AW450" i="36"/>
  <c r="AW449" i="36"/>
  <c r="AW448" i="36"/>
  <c r="AW447" i="36"/>
  <c r="AW446" i="36"/>
  <c r="AW445" i="36"/>
  <c r="AW444" i="36"/>
  <c r="AW479" i="36"/>
  <c r="AW478" i="36"/>
  <c r="AW477" i="36"/>
  <c r="AW476" i="36"/>
  <c r="AW475" i="36"/>
  <c r="AW473" i="36"/>
  <c r="AW472" i="36"/>
  <c r="AW471" i="36"/>
  <c r="AW470" i="36"/>
  <c r="AW466" i="36"/>
  <c r="AW465" i="36"/>
  <c r="AW464" i="36"/>
  <c r="AW463" i="36"/>
  <c r="AW462" i="36"/>
  <c r="AW461" i="36"/>
  <c r="AW460" i="36"/>
  <c r="AW459" i="36"/>
  <c r="AW458" i="36"/>
  <c r="AW457" i="36"/>
  <c r="D340" i="46"/>
  <c r="C340" i="46"/>
  <c r="C365" i="46"/>
  <c r="C364" i="46"/>
  <c r="C363" i="46"/>
  <c r="C362" i="46"/>
  <c r="C361" i="46"/>
  <c r="C360" i="46"/>
  <c r="C359" i="46"/>
  <c r="C358" i="46"/>
  <c r="C357" i="46"/>
  <c r="C356" i="46"/>
  <c r="G335" i="46"/>
  <c r="C298" i="46"/>
  <c r="C297" i="46"/>
  <c r="C296" i="46"/>
  <c r="C295" i="46"/>
  <c r="C294" i="46"/>
  <c r="C293" i="46"/>
  <c r="C292" i="46"/>
  <c r="C291" i="46"/>
  <c r="C290" i="46"/>
  <c r="C289" i="46"/>
  <c r="C350" i="46"/>
  <c r="C349" i="46"/>
  <c r="C348" i="46"/>
  <c r="C347" i="46"/>
  <c r="C346" i="46"/>
  <c r="C345" i="46"/>
  <c r="C344" i="46"/>
  <c r="C343" i="46"/>
  <c r="C342" i="46"/>
  <c r="C341" i="46"/>
  <c r="G134" i="1"/>
  <c r="F317" i="36"/>
  <c r="C60" i="36"/>
  <c r="C253" i="36"/>
  <c r="G176" i="1"/>
  <c r="H176" i="1" s="1"/>
  <c r="I176" i="1" s="1"/>
  <c r="C181" i="6"/>
  <c r="C18" i="25"/>
  <c r="V38" i="36" s="1"/>
  <c r="F38" i="1"/>
  <c r="C187" i="1"/>
  <c r="N203" i="36"/>
  <c r="AW411" i="36"/>
  <c r="AW412" i="36"/>
  <c r="AW421" i="36"/>
  <c r="C243" i="36" s="1"/>
  <c r="AW419" i="36"/>
  <c r="C241" i="36" s="1"/>
  <c r="AW418" i="36"/>
  <c r="C240" i="36" s="1"/>
  <c r="H213" i="1"/>
  <c r="H216" i="1"/>
  <c r="H218" i="1"/>
  <c r="H215" i="1"/>
  <c r="H212" i="1"/>
  <c r="H210" i="1"/>
  <c r="H209" i="1"/>
  <c r="H205" i="1"/>
  <c r="H204" i="1"/>
  <c r="H203" i="1"/>
  <c r="F208" i="1"/>
  <c r="G208" i="1" s="1"/>
  <c r="F202" i="1"/>
  <c r="G242" i="1"/>
  <c r="V325" i="36"/>
  <c r="C268" i="36"/>
  <c r="C333" i="36"/>
  <c r="C330" i="36"/>
  <c r="C53" i="39"/>
  <c r="C84" i="26"/>
  <c r="V51" i="36"/>
  <c r="V42" i="36"/>
  <c r="V41" i="36"/>
  <c r="V48" i="36"/>
  <c r="C33" i="25"/>
  <c r="C41" i="36"/>
  <c r="C40" i="36"/>
  <c r="C38" i="36"/>
  <c r="C29" i="47"/>
  <c r="C21" i="47"/>
  <c r="C188" i="6"/>
  <c r="C182" i="6"/>
  <c r="C77" i="6"/>
  <c r="AW399" i="36"/>
  <c r="C17" i="36"/>
  <c r="C16" i="36"/>
  <c r="C15" i="36"/>
  <c r="C14" i="36"/>
  <c r="C43" i="36" s="1"/>
  <c r="C46" i="35"/>
  <c r="C45" i="35"/>
  <c r="C44" i="35"/>
  <c r="C43" i="35"/>
  <c r="C42" i="35"/>
  <c r="C41" i="35"/>
  <c r="C39" i="35"/>
  <c r="C38" i="35"/>
  <c r="C37" i="35"/>
  <c r="C36" i="35"/>
  <c r="C35" i="35"/>
  <c r="C34" i="35"/>
  <c r="C32" i="35"/>
  <c r="C31" i="35"/>
  <c r="C30" i="35"/>
  <c r="C29" i="35"/>
  <c r="C28" i="35"/>
  <c r="C27" i="35"/>
  <c r="C26" i="35"/>
  <c r="C25" i="35"/>
  <c r="C23" i="35"/>
  <c r="C22" i="35"/>
  <c r="C150" i="26"/>
  <c r="C47" i="39" s="1"/>
  <c r="C32" i="38"/>
  <c r="C31" i="38"/>
  <c r="C30" i="38"/>
  <c r="C29" i="38"/>
  <c r="C28" i="38"/>
  <c r="C27" i="38"/>
  <c r="C26" i="38"/>
  <c r="C24" i="38"/>
  <c r="C23" i="38"/>
  <c r="C14" i="38"/>
  <c r="C13" i="38"/>
  <c r="C12" i="38"/>
  <c r="C11" i="38"/>
  <c r="C52" i="39"/>
  <c r="C51" i="39"/>
  <c r="I48" i="39"/>
  <c r="I47" i="39"/>
  <c r="I38" i="39"/>
  <c r="I43" i="39" s="1"/>
  <c r="C49" i="39"/>
  <c r="C48" i="39"/>
  <c r="C46" i="39"/>
  <c r="C45" i="39"/>
  <c r="C44" i="39"/>
  <c r="C43" i="39"/>
  <c r="C37" i="39"/>
  <c r="C36" i="39"/>
  <c r="C35" i="39"/>
  <c r="C34" i="39"/>
  <c r="I29" i="39"/>
  <c r="I27" i="39"/>
  <c r="I24" i="39"/>
  <c r="I22" i="39"/>
  <c r="I132" i="26"/>
  <c r="I130" i="26"/>
  <c r="C33" i="39"/>
  <c r="C28" i="39"/>
  <c r="C27" i="39"/>
  <c r="C26" i="39"/>
  <c r="C25" i="39"/>
  <c r="C21" i="39"/>
  <c r="I19" i="39"/>
  <c r="I17" i="39"/>
  <c r="C20" i="39"/>
  <c r="C19" i="39"/>
  <c r="C16" i="39"/>
  <c r="C14" i="39"/>
  <c r="C9" i="39"/>
  <c r="C13" i="39"/>
  <c r="I56" i="26"/>
  <c r="J54" i="26" s="1"/>
  <c r="H291" i="1"/>
  <c r="H290" i="1"/>
  <c r="H289" i="1"/>
  <c r="H288" i="1"/>
  <c r="B120" i="25"/>
  <c r="B119" i="25" s="1"/>
  <c r="B130" i="25"/>
  <c r="B129" i="25" s="1"/>
  <c r="B140" i="25"/>
  <c r="B139" i="25" s="1"/>
  <c r="C7" i="25"/>
  <c r="J158" i="1"/>
  <c r="J159" i="1"/>
  <c r="J160" i="1"/>
  <c r="J161" i="1"/>
  <c r="J162" i="1"/>
  <c r="J163" i="1"/>
  <c r="J164" i="1"/>
  <c r="J155" i="1"/>
  <c r="J156" i="1"/>
  <c r="J157" i="1"/>
  <c r="J144" i="1"/>
  <c r="J145" i="1"/>
  <c r="J146" i="1"/>
  <c r="J147" i="1"/>
  <c r="J148" i="1"/>
  <c r="J149" i="1"/>
  <c r="J150" i="1"/>
  <c r="J141" i="1"/>
  <c r="J142" i="1"/>
  <c r="J143" i="1"/>
  <c r="C271" i="1"/>
  <c r="C20" i="47"/>
  <c r="C96" i="26"/>
  <c r="C95" i="26"/>
  <c r="C93" i="26"/>
  <c r="C142" i="26" s="1"/>
  <c r="C39" i="39" s="1"/>
  <c r="C141" i="26"/>
  <c r="C274" i="1" s="1"/>
  <c r="C96" i="25"/>
  <c r="C88" i="25"/>
  <c r="C87" i="25"/>
  <c r="C134" i="25"/>
  <c r="C142" i="25"/>
  <c r="C124" i="25"/>
  <c r="C132" i="25" s="1"/>
  <c r="C114" i="25"/>
  <c r="C122" i="25" s="1"/>
  <c r="E59" i="25"/>
  <c r="F58" i="25" s="1"/>
  <c r="E54" i="25"/>
  <c r="F53" i="25" s="1"/>
  <c r="E49" i="25"/>
  <c r="F48" i="25" s="1"/>
  <c r="E45" i="25"/>
  <c r="C45" i="25"/>
  <c r="C58" i="25"/>
  <c r="C53" i="25"/>
  <c r="C48" i="25"/>
  <c r="C111" i="1"/>
  <c r="G129" i="1"/>
  <c r="G124" i="1"/>
  <c r="G119" i="1"/>
  <c r="H196" i="1"/>
  <c r="F224" i="1"/>
  <c r="N242" i="1"/>
  <c r="F231" i="1" s="1"/>
  <c r="F235" i="1"/>
  <c r="F250" i="1"/>
  <c r="G239" i="1"/>
  <c r="G238" i="1"/>
  <c r="I41" i="47"/>
  <c r="J39" i="47" s="1"/>
  <c r="E45" i="47"/>
  <c r="C213" i="23"/>
  <c r="C214" i="23"/>
  <c r="C151" i="22"/>
  <c r="C34" i="22"/>
  <c r="I196" i="6"/>
  <c r="J193" i="6" s="1"/>
  <c r="G327" i="1"/>
  <c r="M241" i="1"/>
  <c r="M240" i="1"/>
  <c r="M239" i="1"/>
  <c r="M238" i="1"/>
  <c r="M237" i="1"/>
  <c r="M236" i="1"/>
  <c r="M235" i="1"/>
  <c r="M234" i="1"/>
  <c r="M233" i="1"/>
  <c r="M232" i="1"/>
  <c r="C115" i="26"/>
  <c r="C325" i="36" s="1"/>
  <c r="C114" i="26"/>
  <c r="C113" i="26"/>
  <c r="G228" i="1"/>
  <c r="G227" i="1"/>
  <c r="G226" i="1"/>
  <c r="G225" i="1"/>
  <c r="G223" i="1"/>
  <c r="I155" i="22"/>
  <c r="J152" i="22" s="1"/>
  <c r="C227" i="1"/>
  <c r="C226" i="1"/>
  <c r="C225" i="1"/>
  <c r="I38" i="22"/>
  <c r="J35" i="22" s="1"/>
  <c r="C181" i="22"/>
  <c r="C140" i="22"/>
  <c r="C134" i="22"/>
  <c r="C149" i="22"/>
  <c r="C148" i="22"/>
  <c r="C138" i="22"/>
  <c r="G137" i="22"/>
  <c r="C127" i="22"/>
  <c r="C117" i="22"/>
  <c r="C116" i="22"/>
  <c r="C108" i="22"/>
  <c r="C106" i="22"/>
  <c r="G105" i="22"/>
  <c r="C102" i="22"/>
  <c r="C95" i="22"/>
  <c r="C91" i="22"/>
  <c r="C90" i="22"/>
  <c r="C82" i="22"/>
  <c r="C80" i="22"/>
  <c r="G79" i="22"/>
  <c r="C76" i="22"/>
  <c r="C69" i="22"/>
  <c r="C65" i="22"/>
  <c r="C64" i="22"/>
  <c r="C31" i="22"/>
  <c r="C50" i="22"/>
  <c r="C32" i="22"/>
  <c r="C56" i="22"/>
  <c r="C54" i="22"/>
  <c r="G53" i="22"/>
  <c r="C43" i="22"/>
  <c r="C23" i="22"/>
  <c r="C21" i="22"/>
  <c r="G20" i="22"/>
  <c r="C10" i="22"/>
  <c r="C297" i="1"/>
  <c r="C298" i="1"/>
  <c r="C299" i="1"/>
  <c r="F298" i="1"/>
  <c r="G298" i="1"/>
  <c r="C22" i="47"/>
  <c r="C25" i="47"/>
  <c r="C135" i="26"/>
  <c r="C32" i="39" s="1"/>
  <c r="C133" i="26"/>
  <c r="C30" i="39" s="1"/>
  <c r="C184" i="6"/>
  <c r="C14" i="47"/>
  <c r="G215" i="23"/>
  <c r="C216" i="23"/>
  <c r="I74" i="6"/>
  <c r="J71" i="6" s="1"/>
  <c r="C187" i="6"/>
  <c r="C185" i="6"/>
  <c r="J186" i="6"/>
  <c r="C47" i="6"/>
  <c r="C121" i="26"/>
  <c r="C18" i="39" s="1"/>
  <c r="C33" i="38"/>
  <c r="C76" i="26"/>
  <c r="C25" i="38" s="1"/>
  <c r="C72" i="26"/>
  <c r="C21" i="38" s="1"/>
  <c r="C71" i="26"/>
  <c r="C20" i="38" s="1"/>
  <c r="C70" i="26"/>
  <c r="C19" i="38" s="1"/>
  <c r="C94" i="26"/>
  <c r="C61" i="26"/>
  <c r="C10" i="38" s="1"/>
  <c r="C30" i="25"/>
  <c r="C23" i="25"/>
  <c r="V43" i="36" s="1"/>
  <c r="C19" i="25"/>
  <c r="V39" i="36" s="1"/>
  <c r="C11" i="25"/>
  <c r="C36" i="36" s="1"/>
  <c r="C17" i="25"/>
  <c r="V37" i="36" s="1"/>
  <c r="C84" i="24"/>
  <c r="C27" i="47"/>
  <c r="C10" i="47"/>
  <c r="C18" i="47"/>
  <c r="C17" i="47"/>
  <c r="C16" i="47"/>
  <c r="C15" i="47"/>
  <c r="C13" i="47"/>
  <c r="J47" i="47"/>
  <c r="K47" i="47" s="1"/>
  <c r="L47" i="47" s="1"/>
  <c r="M47" i="47" s="1"/>
  <c r="N47" i="47" s="1"/>
  <c r="J34" i="47"/>
  <c r="K34" i="47" s="1"/>
  <c r="L34" i="47" s="1"/>
  <c r="M34" i="47" s="1"/>
  <c r="N34" i="47" s="1"/>
  <c r="E28" i="47"/>
  <c r="D7" i="47"/>
  <c r="C7" i="47"/>
  <c r="C3" i="47"/>
  <c r="G125" i="6"/>
  <c r="C76" i="6"/>
  <c r="C34" i="26"/>
  <c r="C33" i="35" s="1"/>
  <c r="C18" i="26"/>
  <c r="C17" i="35" s="1"/>
  <c r="C21" i="26"/>
  <c r="C20" i="35" s="1"/>
  <c r="C20" i="26"/>
  <c r="C19" i="35" s="1"/>
  <c r="C19" i="26"/>
  <c r="C18" i="35" s="1"/>
  <c r="C17" i="26"/>
  <c r="C16" i="35" s="1"/>
  <c r="C16" i="26"/>
  <c r="C15" i="35" s="1"/>
  <c r="C15" i="26"/>
  <c r="C14" i="35" s="1"/>
  <c r="C14" i="26"/>
  <c r="C13" i="35" s="1"/>
  <c r="C13" i="26"/>
  <c r="C12" i="35" s="1"/>
  <c r="C12" i="26"/>
  <c r="C11" i="35" s="1"/>
  <c r="G181" i="6"/>
  <c r="J176" i="6"/>
  <c r="C172" i="6"/>
  <c r="C171" i="6"/>
  <c r="C170" i="6"/>
  <c r="C169" i="6"/>
  <c r="C168" i="6"/>
  <c r="C167" i="6"/>
  <c r="C166" i="6"/>
  <c r="C165" i="6"/>
  <c r="C164" i="6"/>
  <c r="C163" i="6"/>
  <c r="C161" i="6"/>
  <c r="C160" i="6"/>
  <c r="C159" i="6"/>
  <c r="C158" i="6"/>
  <c r="C157" i="6"/>
  <c r="C156" i="6"/>
  <c r="C155" i="6"/>
  <c r="C153" i="6"/>
  <c r="C152" i="6"/>
  <c r="C151" i="6"/>
  <c r="C150" i="6"/>
  <c r="C149" i="6"/>
  <c r="C148" i="6"/>
  <c r="C145" i="6"/>
  <c r="C144" i="6"/>
  <c r="C143" i="6"/>
  <c r="C142" i="6"/>
  <c r="C141" i="6"/>
  <c r="C140" i="6"/>
  <c r="C139" i="6"/>
  <c r="C137" i="6"/>
  <c r="C136" i="6"/>
  <c r="C135" i="6"/>
  <c r="C133" i="6"/>
  <c r="C131" i="6"/>
  <c r="G72" i="44"/>
  <c r="C45" i="44"/>
  <c r="C53" i="44" s="1"/>
  <c r="C23" i="44"/>
  <c r="C12" i="44"/>
  <c r="D117" i="21"/>
  <c r="D84" i="21"/>
  <c r="J120" i="6"/>
  <c r="C116" i="6"/>
  <c r="C115" i="6"/>
  <c r="C114" i="6"/>
  <c r="C113" i="6"/>
  <c r="C111" i="6"/>
  <c r="C110" i="6"/>
  <c r="C109" i="6"/>
  <c r="C108" i="6"/>
  <c r="C107" i="6"/>
  <c r="C106" i="6"/>
  <c r="C105" i="6"/>
  <c r="C104" i="6"/>
  <c r="C102" i="6"/>
  <c r="C314" i="46"/>
  <c r="C313" i="46"/>
  <c r="C312" i="46"/>
  <c r="C311" i="46"/>
  <c r="C310" i="46"/>
  <c r="C309" i="46"/>
  <c r="C308" i="46"/>
  <c r="C307" i="46"/>
  <c r="C306" i="46"/>
  <c r="C305" i="46"/>
  <c r="C304" i="46"/>
  <c r="J94" i="6"/>
  <c r="C90" i="6"/>
  <c r="C89" i="6"/>
  <c r="C88" i="6"/>
  <c r="C87" i="6"/>
  <c r="C86" i="6"/>
  <c r="C85" i="6"/>
  <c r="C84" i="6"/>
  <c r="C83" i="6"/>
  <c r="C82" i="6"/>
  <c r="C81" i="6"/>
  <c r="B239" i="46"/>
  <c r="B244" i="46" s="1"/>
  <c r="B249" i="46" s="1"/>
  <c r="B254" i="46" s="1"/>
  <c r="B259" i="46" s="1"/>
  <c r="B264" i="46" s="1"/>
  <c r="B269" i="46" s="1"/>
  <c r="B274" i="46" s="1"/>
  <c r="B279" i="46" s="1"/>
  <c r="C222" i="46"/>
  <c r="C215" i="46"/>
  <c r="C208" i="46"/>
  <c r="C201" i="46"/>
  <c r="C194" i="46"/>
  <c r="C80" i="46"/>
  <c r="C79" i="46"/>
  <c r="C227" i="46" s="1"/>
  <c r="C78" i="46"/>
  <c r="C226" i="46" s="1"/>
  <c r="C77" i="46"/>
  <c r="C225" i="46" s="1"/>
  <c r="C73" i="46"/>
  <c r="C72" i="46"/>
  <c r="C71" i="46"/>
  <c r="C70" i="46"/>
  <c r="C144" i="46" s="1"/>
  <c r="C66" i="46"/>
  <c r="C140" i="46" s="1"/>
  <c r="C65" i="46"/>
  <c r="C139" i="46" s="1"/>
  <c r="C64" i="46"/>
  <c r="C212" i="46" s="1"/>
  <c r="C63" i="46"/>
  <c r="C137" i="46" s="1"/>
  <c r="C59" i="46"/>
  <c r="C133" i="46" s="1"/>
  <c r="C58" i="46"/>
  <c r="C206" i="46" s="1"/>
  <c r="C57" i="46"/>
  <c r="C205" i="46" s="1"/>
  <c r="C56" i="46"/>
  <c r="C204" i="46" s="1"/>
  <c r="C52" i="46"/>
  <c r="C51" i="46"/>
  <c r="C199" i="46" s="1"/>
  <c r="C50" i="46"/>
  <c r="C49" i="46"/>
  <c r="C123" i="46" s="1"/>
  <c r="C45" i="46"/>
  <c r="C193" i="46" s="1"/>
  <c r="C44" i="46"/>
  <c r="C192" i="46" s="1"/>
  <c r="C43" i="46"/>
  <c r="C117" i="46" s="1"/>
  <c r="C42" i="46"/>
  <c r="C116" i="46" s="1"/>
  <c r="C38" i="46"/>
  <c r="C186" i="46" s="1"/>
  <c r="C37" i="46"/>
  <c r="C111" i="46" s="1"/>
  <c r="C36" i="46"/>
  <c r="C35" i="46"/>
  <c r="C31" i="46"/>
  <c r="C30" i="46"/>
  <c r="C178" i="46" s="1"/>
  <c r="C29" i="46"/>
  <c r="C177" i="46" s="1"/>
  <c r="C28" i="46"/>
  <c r="C24" i="46"/>
  <c r="C172" i="46" s="1"/>
  <c r="C23" i="46"/>
  <c r="C171" i="46" s="1"/>
  <c r="C22" i="46"/>
  <c r="C21" i="46"/>
  <c r="C34" i="46"/>
  <c r="C249" i="46" s="1"/>
  <c r="C252" i="46" s="1"/>
  <c r="C41" i="46"/>
  <c r="C48" i="46"/>
  <c r="C55" i="46"/>
  <c r="C62" i="46"/>
  <c r="C136" i="46" s="1"/>
  <c r="C69" i="46"/>
  <c r="C143" i="46" s="1"/>
  <c r="C76" i="46"/>
  <c r="C27" i="46"/>
  <c r="B20" i="46"/>
  <c r="B168" i="46" s="1"/>
  <c r="B161" i="46"/>
  <c r="C166" i="46"/>
  <c r="C173" i="46"/>
  <c r="C180" i="46"/>
  <c r="C20" i="46"/>
  <c r="C168" i="46" s="1"/>
  <c r="C17" i="46"/>
  <c r="C16" i="46"/>
  <c r="C15" i="46"/>
  <c r="C14" i="46"/>
  <c r="C13" i="46"/>
  <c r="C229" i="46"/>
  <c r="C187" i="46"/>
  <c r="C19" i="46"/>
  <c r="C238" i="46" s="1"/>
  <c r="D8" i="46"/>
  <c r="C8" i="46"/>
  <c r="C7" i="46"/>
  <c r="C3" i="46"/>
  <c r="B87" i="46"/>
  <c r="C152" i="21"/>
  <c r="C151" i="21"/>
  <c r="C150" i="21"/>
  <c r="C149" i="21"/>
  <c r="C148" i="21"/>
  <c r="C147" i="21"/>
  <c r="C143" i="21"/>
  <c r="C142" i="21"/>
  <c r="C141" i="21"/>
  <c r="C140" i="21"/>
  <c r="C139" i="21"/>
  <c r="C138" i="21"/>
  <c r="C134" i="21"/>
  <c r="C133" i="21"/>
  <c r="C132" i="21"/>
  <c r="C131" i="21"/>
  <c r="C130" i="21"/>
  <c r="C129" i="21"/>
  <c r="C125" i="21"/>
  <c r="C124" i="21"/>
  <c r="C123" i="21"/>
  <c r="C122" i="21"/>
  <c r="C121" i="21"/>
  <c r="C120" i="21"/>
  <c r="C153" i="21"/>
  <c r="C144" i="21"/>
  <c r="C135" i="21"/>
  <c r="C126" i="21"/>
  <c r="B153" i="21"/>
  <c r="B152" i="21"/>
  <c r="B149" i="21"/>
  <c r="B148" i="21"/>
  <c r="B147" i="21"/>
  <c r="B145" i="21"/>
  <c r="B144" i="21"/>
  <c r="B143" i="21"/>
  <c r="B140" i="21"/>
  <c r="B139" i="21"/>
  <c r="B138" i="21"/>
  <c r="B136" i="21"/>
  <c r="B135" i="21"/>
  <c r="B134" i="21"/>
  <c r="B131" i="21"/>
  <c r="B130" i="21"/>
  <c r="B129" i="21"/>
  <c r="B127" i="21"/>
  <c r="B126" i="21"/>
  <c r="B125" i="21"/>
  <c r="B122" i="21"/>
  <c r="B121" i="21"/>
  <c r="B120" i="21"/>
  <c r="B118" i="21"/>
  <c r="B12" i="21"/>
  <c r="B84" i="21" s="1"/>
  <c r="G81" i="1"/>
  <c r="F81" i="1"/>
  <c r="I81" i="1"/>
  <c r="D7" i="44"/>
  <c r="C7" i="44"/>
  <c r="C3" i="44"/>
  <c r="C190" i="23"/>
  <c r="C191" i="23" s="1"/>
  <c r="C182" i="23"/>
  <c r="C183" i="23" s="1"/>
  <c r="C174" i="23"/>
  <c r="C175" i="23" s="1"/>
  <c r="C166" i="23"/>
  <c r="C167" i="23" s="1"/>
  <c r="C158" i="23"/>
  <c r="C159" i="23" s="1"/>
  <c r="C150" i="23"/>
  <c r="C151" i="23" s="1"/>
  <c r="C142" i="23"/>
  <c r="C143" i="23" s="1"/>
  <c r="C198" i="23"/>
  <c r="C199" i="23" s="1"/>
  <c r="C134" i="23"/>
  <c r="C135" i="23" s="1"/>
  <c r="C125" i="23"/>
  <c r="C126" i="23"/>
  <c r="C127" i="23"/>
  <c r="C189" i="1"/>
  <c r="G76" i="6"/>
  <c r="C66" i="6"/>
  <c r="C65" i="6"/>
  <c r="C64" i="6"/>
  <c r="C63" i="6"/>
  <c r="C62" i="6"/>
  <c r="C61" i="6"/>
  <c r="C60" i="6"/>
  <c r="C59" i="6"/>
  <c r="C58" i="6"/>
  <c r="C57" i="6"/>
  <c r="C121" i="23"/>
  <c r="C120" i="23"/>
  <c r="C119" i="23"/>
  <c r="C118" i="23"/>
  <c r="C117" i="23"/>
  <c r="C116" i="23"/>
  <c r="C115" i="23"/>
  <c r="C114" i="23"/>
  <c r="C113" i="23"/>
  <c r="C112" i="23"/>
  <c r="C164" i="1"/>
  <c r="C163" i="1"/>
  <c r="C162" i="1"/>
  <c r="C161" i="1"/>
  <c r="C160" i="1"/>
  <c r="C159" i="1"/>
  <c r="C158" i="1"/>
  <c r="C157" i="1"/>
  <c r="C156" i="1"/>
  <c r="C155" i="1"/>
  <c r="C150" i="1"/>
  <c r="C149" i="1"/>
  <c r="C148" i="1"/>
  <c r="C147" i="1"/>
  <c r="C146" i="1"/>
  <c r="C145" i="1"/>
  <c r="C144" i="1"/>
  <c r="C143" i="1"/>
  <c r="C142" i="1"/>
  <c r="C141" i="1"/>
  <c r="E73" i="23"/>
  <c r="F73" i="23"/>
  <c r="G73" i="23" s="1"/>
  <c r="H73" i="23" s="1"/>
  <c r="I73" i="23" s="1"/>
  <c r="C105" i="23"/>
  <c r="C107" i="23"/>
  <c r="E105" i="23"/>
  <c r="F105" i="23" s="1"/>
  <c r="G105" i="23" s="1"/>
  <c r="H105" i="23" s="1"/>
  <c r="I105" i="23" s="1"/>
  <c r="C101" i="23"/>
  <c r="C103" i="23" s="1"/>
  <c r="C97" i="23"/>
  <c r="C99" i="23" s="1"/>
  <c r="C93" i="23"/>
  <c r="C95" i="23" s="1"/>
  <c r="C89" i="23"/>
  <c r="C91" i="23" s="1"/>
  <c r="C85" i="23"/>
  <c r="C87" i="23" s="1"/>
  <c r="C81" i="23"/>
  <c r="C83" i="23" s="1"/>
  <c r="C77" i="23"/>
  <c r="C79" i="23"/>
  <c r="E101" i="23"/>
  <c r="F101" i="23" s="1"/>
  <c r="G101" i="23" s="1"/>
  <c r="H101" i="23" s="1"/>
  <c r="I101" i="23" s="1"/>
  <c r="E97" i="23"/>
  <c r="F97" i="23" s="1"/>
  <c r="G97" i="23" s="1"/>
  <c r="H97" i="23" s="1"/>
  <c r="I97" i="23" s="1"/>
  <c r="E93" i="23"/>
  <c r="F93" i="23" s="1"/>
  <c r="G93" i="23" s="1"/>
  <c r="H93" i="23" s="1"/>
  <c r="I93" i="23" s="1"/>
  <c r="E89" i="23"/>
  <c r="F89" i="23" s="1"/>
  <c r="G89" i="23" s="1"/>
  <c r="H89" i="23" s="1"/>
  <c r="I89" i="23" s="1"/>
  <c r="E85" i="23"/>
  <c r="F85" i="23" s="1"/>
  <c r="G85" i="23" s="1"/>
  <c r="H85" i="23" s="1"/>
  <c r="I85" i="23" s="1"/>
  <c r="E81" i="23"/>
  <c r="F81" i="23" s="1"/>
  <c r="G81" i="23" s="1"/>
  <c r="H81" i="23" s="1"/>
  <c r="I81" i="23" s="1"/>
  <c r="E77" i="23"/>
  <c r="F77" i="23" s="1"/>
  <c r="G77" i="23" s="1"/>
  <c r="H77" i="23" s="1"/>
  <c r="I77" i="23" s="1"/>
  <c r="C73" i="23"/>
  <c r="C75" i="23" s="1"/>
  <c r="C69" i="23"/>
  <c r="C71" i="23" s="1"/>
  <c r="C41" i="23"/>
  <c r="C45" i="23"/>
  <c r="C49" i="23"/>
  <c r="C51" i="23" s="1"/>
  <c r="C53" i="23"/>
  <c r="C55" i="23" s="1"/>
  <c r="C57" i="23"/>
  <c r="C58" i="23" s="1"/>
  <c r="C61" i="23"/>
  <c r="C37" i="23"/>
  <c r="C33" i="23"/>
  <c r="C34" i="23" s="1"/>
  <c r="C29" i="23"/>
  <c r="C25" i="23"/>
  <c r="AG22" i="23"/>
  <c r="AF22" i="23"/>
  <c r="AE22" i="23"/>
  <c r="AD22" i="23"/>
  <c r="AC22" i="23"/>
  <c r="AB22" i="23"/>
  <c r="AA22" i="23"/>
  <c r="Z22" i="23"/>
  <c r="Y22" i="23"/>
  <c r="X22" i="23"/>
  <c r="W22" i="23"/>
  <c r="V22" i="23"/>
  <c r="U22" i="23"/>
  <c r="T22" i="23"/>
  <c r="S22" i="23"/>
  <c r="R22" i="23"/>
  <c r="Q22" i="23"/>
  <c r="P22" i="23"/>
  <c r="O22" i="23"/>
  <c r="N22" i="23"/>
  <c r="M22" i="23"/>
  <c r="L22" i="23"/>
  <c r="I22" i="23" s="1"/>
  <c r="K22" i="23"/>
  <c r="C21" i="23"/>
  <c r="C20" i="23"/>
  <c r="C19" i="23"/>
  <c r="C18" i="23"/>
  <c r="C17" i="23"/>
  <c r="C16" i="23"/>
  <c r="C15" i="23"/>
  <c r="C14" i="23"/>
  <c r="C13" i="23"/>
  <c r="C12" i="23"/>
  <c r="C50" i="6"/>
  <c r="C49" i="6"/>
  <c r="C45" i="6"/>
  <c r="C34" i="6"/>
  <c r="C44" i="6"/>
  <c r="C43" i="6"/>
  <c r="C42" i="6"/>
  <c r="C41" i="6"/>
  <c r="C40" i="6"/>
  <c r="C39" i="6"/>
  <c r="C38" i="6"/>
  <c r="C37" i="6"/>
  <c r="C36" i="6"/>
  <c r="C35" i="6"/>
  <c r="C24" i="6"/>
  <c r="C23" i="6"/>
  <c r="C22" i="6"/>
  <c r="C21" i="6"/>
  <c r="C20" i="6"/>
  <c r="C19" i="6"/>
  <c r="C18" i="6"/>
  <c r="C17" i="6"/>
  <c r="C16" i="6"/>
  <c r="C15" i="6"/>
  <c r="C67" i="24"/>
  <c r="C94" i="24"/>
  <c r="C93" i="24"/>
  <c r="C92" i="24"/>
  <c r="C91" i="24"/>
  <c r="C90" i="24"/>
  <c r="C89" i="24"/>
  <c r="C88" i="24"/>
  <c r="C87" i="24"/>
  <c r="C86" i="24"/>
  <c r="C85" i="24"/>
  <c r="C95" i="24"/>
  <c r="C79" i="24"/>
  <c r="C78" i="24"/>
  <c r="C77" i="24"/>
  <c r="C76" i="24"/>
  <c r="C75" i="24"/>
  <c r="C74" i="24"/>
  <c r="C73" i="24"/>
  <c r="C72" i="24"/>
  <c r="C71" i="24"/>
  <c r="C70" i="24"/>
  <c r="AG43" i="24"/>
  <c r="AF43" i="24"/>
  <c r="AE43" i="24"/>
  <c r="AD43" i="24"/>
  <c r="AC43" i="24"/>
  <c r="AB43" i="24"/>
  <c r="AA43" i="24"/>
  <c r="Z43" i="24"/>
  <c r="Y43" i="24"/>
  <c r="X43" i="24"/>
  <c r="W43" i="24"/>
  <c r="V43" i="24"/>
  <c r="U43" i="24"/>
  <c r="T43" i="24"/>
  <c r="S43" i="24"/>
  <c r="R43" i="24"/>
  <c r="Q43" i="24"/>
  <c r="P43" i="24"/>
  <c r="O43" i="24"/>
  <c r="N43" i="24"/>
  <c r="M43" i="24"/>
  <c r="L43" i="24"/>
  <c r="K43" i="24"/>
  <c r="J43" i="24"/>
  <c r="C60" i="24"/>
  <c r="C63" i="24" s="1"/>
  <c r="C56" i="24"/>
  <c r="C59" i="24" s="1"/>
  <c r="C52" i="24"/>
  <c r="C55" i="24" s="1"/>
  <c r="C48" i="24"/>
  <c r="C51" i="24" s="1"/>
  <c r="C44" i="24"/>
  <c r="C47" i="24" s="1"/>
  <c r="C40" i="24"/>
  <c r="C43" i="24" s="1"/>
  <c r="C36" i="24"/>
  <c r="C39" i="24" s="1"/>
  <c r="C32" i="24"/>
  <c r="C35" i="24" s="1"/>
  <c r="C28" i="24"/>
  <c r="C31" i="24" s="1"/>
  <c r="C24" i="24"/>
  <c r="C27" i="24" s="1"/>
  <c r="F69" i="24"/>
  <c r="F27" i="1"/>
  <c r="C20" i="24"/>
  <c r="C19" i="24"/>
  <c r="C18" i="24"/>
  <c r="C17" i="24"/>
  <c r="C16" i="24"/>
  <c r="C15" i="24"/>
  <c r="C14" i="24"/>
  <c r="C13" i="24"/>
  <c r="C12" i="24"/>
  <c r="C11" i="24"/>
  <c r="E27" i="1"/>
  <c r="C181" i="1"/>
  <c r="I32" i="6"/>
  <c r="J29" i="6" s="1"/>
  <c r="C2" i="3"/>
  <c r="C2" i="24" s="1"/>
  <c r="C1" i="1"/>
  <c r="J7" i="23"/>
  <c r="J22" i="23"/>
  <c r="C186" i="1"/>
  <c r="C188" i="1"/>
  <c r="I10" i="39"/>
  <c r="I12" i="39"/>
  <c r="J48" i="6"/>
  <c r="D7" i="23"/>
  <c r="C7" i="23"/>
  <c r="F134" i="1"/>
  <c r="F279" i="1" s="1"/>
  <c r="H279" i="1" s="1"/>
  <c r="I125" i="26"/>
  <c r="I127" i="26"/>
  <c r="I115" i="26"/>
  <c r="I113" i="26"/>
  <c r="F11" i="1"/>
  <c r="M12" i="2" s="1"/>
  <c r="H12" i="2"/>
  <c r="B37" i="21"/>
  <c r="B30" i="21"/>
  <c r="B23" i="21"/>
  <c r="B16" i="21"/>
  <c r="C15" i="21"/>
  <c r="C41" i="21"/>
  <c r="C40" i="21"/>
  <c r="C110" i="21" s="1"/>
  <c r="C39" i="21"/>
  <c r="C75" i="21" s="1"/>
  <c r="C34" i="21"/>
  <c r="C104" i="21" s="1"/>
  <c r="C33" i="21"/>
  <c r="C69" i="21" s="1"/>
  <c r="C32" i="21"/>
  <c r="C68" i="21" s="1"/>
  <c r="C27" i="21"/>
  <c r="C63" i="21" s="1"/>
  <c r="C26" i="21"/>
  <c r="C25" i="21"/>
  <c r="C20" i="21"/>
  <c r="C90" i="21" s="1"/>
  <c r="C19" i="21"/>
  <c r="C89" i="21" s="1"/>
  <c r="C18" i="21"/>
  <c r="C54" i="21" s="1"/>
  <c r="I150" i="26"/>
  <c r="I151" i="26"/>
  <c r="I141" i="26"/>
  <c r="I146" i="26" s="1"/>
  <c r="F17" i="2"/>
  <c r="F18" i="2" s="1"/>
  <c r="F19" i="2" s="1"/>
  <c r="F20" i="2" s="1"/>
  <c r="F21" i="2" s="1"/>
  <c r="F22" i="2" s="1"/>
  <c r="F23" i="2" s="1"/>
  <c r="F24" i="2" s="1"/>
  <c r="F25" i="2" s="1"/>
  <c r="F26" i="2" s="1"/>
  <c r="F27" i="2" s="1"/>
  <c r="F28" i="2" s="1"/>
  <c r="F29" i="2" s="1"/>
  <c r="F30" i="2" s="1"/>
  <c r="F31" i="2" s="1"/>
  <c r="F32" i="2" s="1"/>
  <c r="F33" i="2" s="1"/>
  <c r="F34" i="2" s="1"/>
  <c r="I50" i="26"/>
  <c r="I56" i="38"/>
  <c r="F172" i="1"/>
  <c r="G172" i="1" s="1"/>
  <c r="C52" i="38"/>
  <c r="C50" i="38"/>
  <c r="C48" i="38"/>
  <c r="C36" i="38"/>
  <c r="C16" i="38"/>
  <c r="C37" i="21"/>
  <c r="C23" i="21"/>
  <c r="C162" i="21" s="1"/>
  <c r="C16" i="21"/>
  <c r="I77" i="36"/>
  <c r="L287" i="36"/>
  <c r="I122" i="26"/>
  <c r="I120" i="26"/>
  <c r="I49" i="35"/>
  <c r="D7" i="6"/>
  <c r="C7" i="6"/>
  <c r="P2" i="34"/>
  <c r="BI433" i="36"/>
  <c r="BH433" i="36"/>
  <c r="BG433" i="36"/>
  <c r="BF433" i="36"/>
  <c r="BE433" i="36"/>
  <c r="BD433" i="36"/>
  <c r="BC433" i="36"/>
  <c r="BB433" i="36"/>
  <c r="BA433" i="36"/>
  <c r="AZ433" i="36"/>
  <c r="AY433" i="36"/>
  <c r="AX433" i="36"/>
  <c r="C38" i="21"/>
  <c r="C74" i="21" s="1"/>
  <c r="C31" i="21"/>
  <c r="C67" i="21" s="1"/>
  <c r="C24" i="21"/>
  <c r="C60" i="21" s="1"/>
  <c r="C17" i="21"/>
  <c r="C87" i="21" s="1"/>
  <c r="AF4" i="36"/>
  <c r="U4" i="36"/>
  <c r="U3" i="36"/>
  <c r="M11" i="2"/>
  <c r="I120" i="25"/>
  <c r="I130" i="25"/>
  <c r="C102" i="1"/>
  <c r="F87" i="25"/>
  <c r="C98" i="21"/>
  <c r="C91" i="21"/>
  <c r="C112" i="21"/>
  <c r="C105" i="21"/>
  <c r="C6" i="26"/>
  <c r="E5" i="26"/>
  <c r="D5" i="26"/>
  <c r="C5" i="26"/>
  <c r="C4" i="26"/>
  <c r="D8" i="21"/>
  <c r="C8" i="21"/>
  <c r="C7" i="21"/>
  <c r="D84" i="13"/>
  <c r="M13" i="2"/>
  <c r="H13" i="2"/>
  <c r="H11" i="2"/>
  <c r="C3" i="38"/>
  <c r="C3" i="1"/>
  <c r="C3" i="21"/>
  <c r="C3" i="22"/>
  <c r="C3" i="39"/>
  <c r="C3" i="35"/>
  <c r="C3" i="6"/>
  <c r="C3" i="24"/>
  <c r="C3" i="26"/>
  <c r="C4" i="36"/>
  <c r="C3" i="23"/>
  <c r="C3" i="25"/>
  <c r="C41" i="38"/>
  <c r="C57" i="38"/>
  <c r="C47" i="38"/>
  <c r="C15" i="38"/>
  <c r="C37" i="38"/>
  <c r="C53" i="38"/>
  <c r="C126" i="26"/>
  <c r="C23" i="39" s="1"/>
  <c r="C35" i="38"/>
  <c r="C40" i="38"/>
  <c r="C55" i="38"/>
  <c r="C38" i="38"/>
  <c r="C18" i="38"/>
  <c r="C39" i="38"/>
  <c r="C49" i="38"/>
  <c r="C9" i="38"/>
  <c r="C17" i="38"/>
  <c r="C56" i="38"/>
  <c r="C54" i="38"/>
  <c r="C51" i="38"/>
  <c r="C125" i="26"/>
  <c r="C22" i="39" s="1"/>
  <c r="C46" i="38"/>
  <c r="C49" i="35"/>
  <c r="C48" i="35"/>
  <c r="I140" i="25"/>
  <c r="C236" i="36"/>
  <c r="AI367" i="36"/>
  <c r="C71" i="36"/>
  <c r="O83" i="36"/>
  <c r="I147" i="36"/>
  <c r="O163" i="36"/>
  <c r="I187" i="36"/>
  <c r="I107" i="36"/>
  <c r="O123" i="36"/>
  <c r="C335" i="46"/>
  <c r="C288" i="46"/>
  <c r="C326" i="46"/>
  <c r="C112" i="6" s="1"/>
  <c r="C299" i="46"/>
  <c r="D366" i="46"/>
  <c r="D328" i="46"/>
  <c r="D298" i="46"/>
  <c r="D296" i="46"/>
  <c r="D294" i="46"/>
  <c r="D292" i="46"/>
  <c r="D290" i="46"/>
  <c r="D349" i="46"/>
  <c r="D347" i="46"/>
  <c r="D345" i="46"/>
  <c r="D343" i="46"/>
  <c r="D341" i="46"/>
  <c r="D365" i="46"/>
  <c r="D363" i="46"/>
  <c r="D361" i="46"/>
  <c r="D359" i="46"/>
  <c r="D357" i="46"/>
  <c r="D329" i="46"/>
  <c r="D351" i="46"/>
  <c r="D326" i="46"/>
  <c r="D330" i="46"/>
  <c r="D297" i="46"/>
  <c r="D295" i="46"/>
  <c r="D293" i="46"/>
  <c r="D291" i="46"/>
  <c r="D289" i="46"/>
  <c r="D350" i="46"/>
  <c r="D348" i="46"/>
  <c r="D346" i="46"/>
  <c r="D344" i="46"/>
  <c r="D342" i="46"/>
  <c r="K292" i="36"/>
  <c r="D364" i="46"/>
  <c r="D362" i="46"/>
  <c r="D360" i="46"/>
  <c r="D358" i="46"/>
  <c r="D356" i="46"/>
  <c r="D327" i="46"/>
  <c r="D333" i="46"/>
  <c r="D299" i="46"/>
  <c r="C317" i="36"/>
  <c r="C252" i="36"/>
  <c r="C191" i="6"/>
  <c r="H26" i="2"/>
  <c r="H19" i="2"/>
  <c r="C327" i="1"/>
  <c r="C218" i="1" s="1"/>
  <c r="A1" i="46"/>
  <c r="C192" i="6"/>
  <c r="C239" i="1"/>
  <c r="H31" i="2"/>
  <c r="C132" i="26"/>
  <c r="C29" i="39" s="1"/>
  <c r="A1" i="35"/>
  <c r="C126" i="6"/>
  <c r="C101" i="6"/>
  <c r="C86" i="22"/>
  <c r="C119" i="6"/>
  <c r="C117" i="6"/>
  <c r="C27" i="22"/>
  <c r="C44" i="44"/>
  <c r="C154" i="6" s="1"/>
  <c r="C125" i="6"/>
  <c r="C100" i="6"/>
  <c r="C60" i="22"/>
  <c r="C14" i="44"/>
  <c r="C132" i="6" s="1"/>
  <c r="C129" i="6"/>
  <c r="C336" i="46"/>
  <c r="C180" i="22"/>
  <c r="C73" i="26"/>
  <c r="C22" i="38" s="1"/>
  <c r="C112" i="22"/>
  <c r="C144" i="22"/>
  <c r="C284" i="46"/>
  <c r="C35" i="44"/>
  <c r="C147" i="6" s="1"/>
  <c r="C236" i="46"/>
  <c r="C71" i="44"/>
  <c r="C302" i="46"/>
  <c r="C235" i="46"/>
  <c r="C72" i="44"/>
  <c r="C301" i="46"/>
  <c r="C16" i="44"/>
  <c r="C134" i="6" s="1"/>
  <c r="C73" i="44"/>
  <c r="C128" i="6"/>
  <c r="C53" i="6"/>
  <c r="A1" i="6"/>
  <c r="C55" i="44"/>
  <c r="C162" i="6" s="1"/>
  <c r="C12" i="6"/>
  <c r="C9" i="44"/>
  <c r="C68" i="44"/>
  <c r="C11" i="44"/>
  <c r="C20" i="44" s="1"/>
  <c r="C33" i="44"/>
  <c r="C42" i="44" s="1"/>
  <c r="C317" i="46"/>
  <c r="C103" i="6" s="1"/>
  <c r="C22" i="44"/>
  <c r="C31" i="44" s="1"/>
  <c r="C269" i="1"/>
  <c r="C266" i="1"/>
  <c r="C66" i="1"/>
  <c r="AW420" i="36" s="1"/>
  <c r="C242" i="36" s="1"/>
  <c r="C138" i="1"/>
  <c r="C12" i="39"/>
  <c r="D161" i="21"/>
  <c r="D164" i="21"/>
  <c r="D160" i="21"/>
  <c r="D163" i="21"/>
  <c r="D162" i="21"/>
  <c r="D165" i="21"/>
  <c r="C202" i="1"/>
  <c r="C203" i="36"/>
  <c r="C159" i="21"/>
  <c r="AW408" i="36"/>
  <c r="C157" i="21"/>
  <c r="C61" i="36"/>
  <c r="AW410" i="36" s="1"/>
  <c r="C165" i="21"/>
  <c r="E204" i="1"/>
  <c r="E215" i="1"/>
  <c r="E203" i="1"/>
  <c r="E213" i="1"/>
  <c r="E218" i="1"/>
  <c r="E212" i="1"/>
  <c r="E205" i="1"/>
  <c r="E216" i="1"/>
  <c r="E210" i="1"/>
  <c r="E209" i="1"/>
  <c r="C48" i="26"/>
  <c r="C47" i="35" s="1"/>
  <c r="V326" i="36"/>
  <c r="C256" i="36"/>
  <c r="C41" i="26"/>
  <c r="C40" i="35" s="1"/>
  <c r="C85" i="26"/>
  <c r="C34" i="38" s="1"/>
  <c r="C34" i="25"/>
  <c r="V49" i="36" s="1"/>
  <c r="D163" i="22"/>
  <c r="D162" i="22"/>
  <c r="D161" i="22"/>
  <c r="C59" i="36"/>
  <c r="C75" i="36"/>
  <c r="C11" i="26"/>
  <c r="C10" i="35" s="1"/>
  <c r="C58" i="36"/>
  <c r="C22" i="26"/>
  <c r="C21" i="35" s="1"/>
  <c r="C7" i="35"/>
  <c r="C24" i="36"/>
  <c r="C112" i="46"/>
  <c r="C6" i="35"/>
  <c r="C9" i="26"/>
  <c r="C7" i="39"/>
  <c r="C7" i="38"/>
  <c r="E67" i="1"/>
  <c r="D79" i="24"/>
  <c r="D110" i="26"/>
  <c r="D187" i="6"/>
  <c r="D125" i="25"/>
  <c r="D31" i="44"/>
  <c r="E61" i="1"/>
  <c r="E95" i="1"/>
  <c r="D91" i="24"/>
  <c r="D125" i="46"/>
  <c r="D112" i="6"/>
  <c r="D12" i="23"/>
  <c r="D121" i="25"/>
  <c r="D216" i="23"/>
  <c r="D6" i="26"/>
  <c r="D116" i="25"/>
  <c r="D140" i="25"/>
  <c r="D31" i="24"/>
  <c r="D47" i="23"/>
  <c r="D135" i="23"/>
  <c r="D110" i="46"/>
  <c r="D310" i="1"/>
  <c r="D112" i="21"/>
  <c r="D104" i="21"/>
  <c r="D19" i="23"/>
  <c r="D203" i="23"/>
  <c r="D306" i="46"/>
  <c r="D59" i="44"/>
  <c r="D147" i="25"/>
  <c r="D12" i="24"/>
  <c r="D71" i="21"/>
  <c r="D55" i="21"/>
  <c r="E232" i="1"/>
  <c r="D76" i="24"/>
  <c r="D51" i="23"/>
  <c r="D199" i="23"/>
  <c r="D142" i="21"/>
  <c r="D89" i="46"/>
  <c r="D17" i="47"/>
  <c r="D122" i="22"/>
  <c r="D54" i="21"/>
  <c r="AC34" i="36"/>
  <c r="D65" i="24"/>
  <c r="D109" i="21"/>
  <c r="D117" i="25"/>
  <c r="D30" i="24"/>
  <c r="D17" i="6"/>
  <c r="D43" i="6"/>
  <c r="D59" i="6"/>
  <c r="D148" i="23"/>
  <c r="D140" i="21"/>
  <c r="D112" i="46"/>
  <c r="D13" i="47"/>
  <c r="E93" i="1"/>
  <c r="D48" i="6"/>
  <c r="D132" i="25"/>
  <c r="D110" i="21"/>
  <c r="D76" i="21"/>
  <c r="D72" i="6"/>
  <c r="E233" i="1"/>
  <c r="E247" i="1"/>
  <c r="E56" i="1"/>
  <c r="D18" i="24"/>
  <c r="D21" i="6"/>
  <c r="D92" i="24"/>
  <c r="D35" i="23"/>
  <c r="D48" i="23"/>
  <c r="D64" i="6"/>
  <c r="D133" i="23"/>
  <c r="D143" i="23"/>
  <c r="D147" i="21"/>
  <c r="D116" i="46"/>
  <c r="D185" i="46"/>
  <c r="D73" i="44"/>
  <c r="D147" i="22"/>
  <c r="D87" i="21"/>
  <c r="D108" i="21"/>
  <c r="D95" i="21"/>
  <c r="E242" i="1"/>
  <c r="J9" i="36"/>
  <c r="D75" i="21"/>
  <c r="D62" i="21"/>
  <c r="D30" i="6"/>
  <c r="E70" i="1"/>
  <c r="D149" i="25"/>
  <c r="D20" i="23"/>
  <c r="D15" i="24"/>
  <c r="D78" i="24"/>
  <c r="D32" i="23"/>
  <c r="D14" i="23"/>
  <c r="D77" i="6"/>
  <c r="D195" i="23"/>
  <c r="D162" i="46"/>
  <c r="D213" i="46"/>
  <c r="D103" i="6"/>
  <c r="D139" i="6"/>
  <c r="D141" i="22"/>
  <c r="E239" i="1"/>
  <c r="D99" i="22"/>
  <c r="D111" i="22"/>
  <c r="D15" i="22"/>
  <c r="D45" i="47"/>
  <c r="D172" i="6"/>
  <c r="D40" i="44"/>
  <c r="D157" i="21"/>
  <c r="D309" i="46"/>
  <c r="D304" i="46"/>
  <c r="D134" i="46"/>
  <c r="D157" i="46"/>
  <c r="D205" i="46"/>
  <c r="D227" i="46"/>
  <c r="D147" i="46"/>
  <c r="D235" i="46"/>
  <c r="D153" i="21"/>
  <c r="D149" i="23"/>
  <c r="D179" i="23"/>
  <c r="D183" i="23"/>
  <c r="D205" i="23"/>
  <c r="D151" i="23"/>
  <c r="D113" i="23"/>
  <c r="D118" i="23"/>
  <c r="D57" i="6"/>
  <c r="D56" i="23"/>
  <c r="D38" i="6"/>
  <c r="D99" i="23"/>
  <c r="D82" i="24"/>
  <c r="D59" i="23"/>
  <c r="D16" i="23"/>
  <c r="D71" i="24"/>
  <c r="D87" i="24"/>
  <c r="D73" i="24"/>
  <c r="D85" i="24"/>
  <c r="D127" i="23"/>
  <c r="D62" i="24"/>
  <c r="D34" i="24"/>
  <c r="D43" i="24"/>
  <c r="D68" i="21"/>
  <c r="E236" i="1"/>
  <c r="D114" i="21"/>
  <c r="E174" i="1"/>
  <c r="E238" i="1"/>
  <c r="D119" i="25"/>
  <c r="E170" i="1"/>
  <c r="D69" i="21"/>
  <c r="D138" i="25"/>
  <c r="D67" i="21"/>
  <c r="AB252" i="36"/>
  <c r="D145" i="25"/>
  <c r="D95" i="24"/>
  <c r="D141" i="25"/>
  <c r="D61" i="21"/>
  <c r="D89" i="21"/>
  <c r="E133" i="1"/>
  <c r="E237" i="1"/>
  <c r="D70" i="21"/>
  <c r="D105" i="21"/>
  <c r="D152" i="25"/>
  <c r="D104" i="25"/>
  <c r="E69" i="1"/>
  <c r="D57" i="21"/>
  <c r="E58" i="1"/>
  <c r="E63" i="1"/>
  <c r="D128" i="25"/>
  <c r="E225" i="1"/>
  <c r="D75" i="22"/>
  <c r="D61" i="22"/>
  <c r="D29" i="22"/>
  <c r="D118" i="25"/>
  <c r="E68" i="1"/>
  <c r="D98" i="21"/>
  <c r="D77" i="21"/>
  <c r="D103" i="25"/>
  <c r="E101" i="1"/>
  <c r="D142" i="25"/>
  <c r="J34" i="36"/>
  <c r="D130" i="25"/>
  <c r="D137" i="25"/>
  <c r="D21" i="23"/>
  <c r="E64" i="1"/>
  <c r="D31" i="6"/>
  <c r="E231" i="1"/>
  <c r="D26" i="24"/>
  <c r="E57" i="1"/>
  <c r="D74" i="6"/>
  <c r="D70" i="24"/>
  <c r="D97" i="25"/>
  <c r="D103" i="21"/>
  <c r="D38" i="24"/>
  <c r="D59" i="24"/>
  <c r="D35" i="24"/>
  <c r="D80" i="24"/>
  <c r="D86" i="24"/>
  <c r="D20" i="6"/>
  <c r="D26" i="6"/>
  <c r="D103" i="23"/>
  <c r="D40" i="23"/>
  <c r="D63" i="23"/>
  <c r="D87" i="23"/>
  <c r="D65" i="6"/>
  <c r="D66" i="6"/>
  <c r="D171" i="23"/>
  <c r="D159" i="23"/>
  <c r="D155" i="23"/>
  <c r="D180" i="23"/>
  <c r="D130" i="21"/>
  <c r="D97" i="46"/>
  <c r="D265" i="46"/>
  <c r="D126" i="46"/>
  <c r="D95" i="46"/>
  <c r="D198" i="46"/>
  <c r="D105" i="6"/>
  <c r="D53" i="44"/>
  <c r="D143" i="6"/>
  <c r="D65" i="47"/>
  <c r="D20" i="22"/>
  <c r="D79" i="22"/>
  <c r="D91" i="21"/>
  <c r="D115" i="25"/>
  <c r="D131" i="25"/>
  <c r="D80" i="21"/>
  <c r="D108" i="25"/>
  <c r="D71" i="6"/>
  <c r="D20" i="24"/>
  <c r="D122" i="25"/>
  <c r="D53" i="21"/>
  <c r="D32" i="6"/>
  <c r="D73" i="6"/>
  <c r="D111" i="25"/>
  <c r="D136" i="25"/>
  <c r="D27" i="24"/>
  <c r="D120" i="25"/>
  <c r="D78" i="21"/>
  <c r="D63" i="21"/>
  <c r="D58" i="24"/>
  <c r="D13" i="24"/>
  <c r="D50" i="24"/>
  <c r="D15" i="6"/>
  <c r="D90" i="24"/>
  <c r="D22" i="6"/>
  <c r="D28" i="23"/>
  <c r="D37" i="6"/>
  <c r="D52" i="23"/>
  <c r="D40" i="6"/>
  <c r="D95" i="23"/>
  <c r="D114" i="23"/>
  <c r="D121" i="23"/>
  <c r="D175" i="23"/>
  <c r="D165" i="23"/>
  <c r="D196" i="23"/>
  <c r="D204" i="23"/>
  <c r="D143" i="21"/>
  <c r="D241" i="46"/>
  <c r="D276" i="46"/>
  <c r="D197" i="46"/>
  <c r="D139" i="46"/>
  <c r="D271" i="46"/>
  <c r="D12" i="44"/>
  <c r="D57" i="44"/>
  <c r="D166" i="6"/>
  <c r="D176" i="6"/>
  <c r="D131" i="22"/>
  <c r="D110" i="22"/>
  <c r="C42" i="38"/>
  <c r="D183" i="46"/>
  <c r="D255" i="46"/>
  <c r="D240" i="46"/>
  <c r="D212" i="46"/>
  <c r="D113" i="6"/>
  <c r="D323" i="46"/>
  <c r="D94" i="6"/>
  <c r="D56" i="44"/>
  <c r="D29" i="44"/>
  <c r="D30" i="44"/>
  <c r="D142" i="6"/>
  <c r="D150" i="6"/>
  <c r="D69" i="47"/>
  <c r="D26" i="47"/>
  <c r="D322" i="1"/>
  <c r="D16" i="22"/>
  <c r="D178" i="22"/>
  <c r="D62" i="22"/>
  <c r="D168" i="22"/>
  <c r="D169" i="22"/>
  <c r="D137" i="22"/>
  <c r="D173" i="22"/>
  <c r="D50" i="6"/>
  <c r="E62" i="1"/>
  <c r="D112" i="25"/>
  <c r="D107" i="25"/>
  <c r="D29" i="6"/>
  <c r="D64" i="21"/>
  <c r="D111" i="21"/>
  <c r="D98" i="25"/>
  <c r="D139" i="25"/>
  <c r="D127" i="25"/>
  <c r="D129" i="23"/>
  <c r="D106" i="25"/>
  <c r="D129" i="25"/>
  <c r="D94" i="21"/>
  <c r="D101" i="21"/>
  <c r="D11" i="24"/>
  <c r="E248" i="1"/>
  <c r="D49" i="6"/>
  <c r="D56" i="21"/>
  <c r="D97" i="21"/>
  <c r="D96" i="21"/>
  <c r="D21" i="24"/>
  <c r="E228" i="1"/>
  <c r="D22" i="23"/>
  <c r="E55" i="1"/>
  <c r="D51" i="6"/>
  <c r="D146" i="25"/>
  <c r="D126" i="25"/>
  <c r="D100" i="25"/>
  <c r="D101" i="25"/>
  <c r="E223" i="1"/>
  <c r="D60" i="21"/>
  <c r="D74" i="21"/>
  <c r="D102" i="21"/>
  <c r="E173" i="1"/>
  <c r="D88" i="21"/>
  <c r="D135" i="25"/>
  <c r="D66" i="23"/>
  <c r="D14" i="24"/>
  <c r="D63" i="24"/>
  <c r="D39" i="24"/>
  <c r="D51" i="24"/>
  <c r="D46" i="24"/>
  <c r="D93" i="24"/>
  <c r="D23" i="6"/>
  <c r="D94" i="24"/>
  <c r="D18" i="6"/>
  <c r="D75" i="24"/>
  <c r="D25" i="6"/>
  <c r="D43" i="23"/>
  <c r="D35" i="6"/>
  <c r="D13" i="23"/>
  <c r="D83" i="23"/>
  <c r="D55" i="23"/>
  <c r="D44" i="6"/>
  <c r="D79" i="23"/>
  <c r="D122" i="23"/>
  <c r="D68" i="6"/>
  <c r="D58" i="6"/>
  <c r="D119" i="23"/>
  <c r="D145" i="23"/>
  <c r="D181" i="23"/>
  <c r="D147" i="23"/>
  <c r="D189" i="23"/>
  <c r="D167" i="23"/>
  <c r="D140" i="23"/>
  <c r="D187" i="23"/>
  <c r="D129" i="21"/>
  <c r="D125" i="21"/>
  <c r="D141" i="21"/>
  <c r="D178" i="46"/>
  <c r="D194" i="46"/>
  <c r="D225" i="46"/>
  <c r="D148" i="46"/>
  <c r="D281" i="46"/>
  <c r="D171" i="46"/>
  <c r="D262" i="46"/>
  <c r="D130" i="46"/>
  <c r="D267" i="46"/>
  <c r="D286" i="46"/>
  <c r="D96" i="6"/>
  <c r="D305" i="46"/>
  <c r="D25" i="44"/>
  <c r="D52" i="44"/>
  <c r="D177" i="6"/>
  <c r="D168" i="6"/>
  <c r="D133" i="6"/>
  <c r="D196" i="6"/>
  <c r="D194" i="6"/>
  <c r="D189" i="6"/>
  <c r="D323" i="1"/>
  <c r="D28" i="22"/>
  <c r="D57" i="22"/>
  <c r="D84" i="22"/>
  <c r="D32" i="22"/>
  <c r="D180" i="22"/>
  <c r="D177" i="22"/>
  <c r="D100" i="22"/>
  <c r="D123" i="22"/>
  <c r="D179" i="22"/>
  <c r="D91" i="22"/>
  <c r="D97" i="22"/>
  <c r="D146" i="22"/>
  <c r="D24" i="22"/>
  <c r="D36" i="22"/>
  <c r="D23" i="47"/>
  <c r="D68" i="47"/>
  <c r="D48" i="47"/>
  <c r="D14" i="47"/>
  <c r="D165" i="6"/>
  <c r="D171" i="6"/>
  <c r="D148" i="6"/>
  <c r="D144" i="6"/>
  <c r="D51" i="44"/>
  <c r="D17" i="44"/>
  <c r="D68" i="44"/>
  <c r="D23" i="44"/>
  <c r="D107" i="6"/>
  <c r="D82" i="6"/>
  <c r="D109" i="6"/>
  <c r="D89" i="6"/>
  <c r="D317" i="46"/>
  <c r="D204" i="46"/>
  <c r="D180" i="46"/>
  <c r="D282" i="46"/>
  <c r="D133" i="46"/>
  <c r="D245" i="46"/>
  <c r="D219" i="46"/>
  <c r="D154" i="46"/>
  <c r="D173" i="46"/>
  <c r="D92" i="46"/>
  <c r="D153" i="46"/>
  <c r="D170" i="46"/>
  <c r="D103" i="46"/>
  <c r="D126" i="21"/>
  <c r="D139" i="21"/>
  <c r="D138" i="21"/>
  <c r="D210" i="23"/>
  <c r="D163" i="23"/>
  <c r="D209" i="23"/>
  <c r="D173" i="23"/>
  <c r="D139" i="23"/>
  <c r="D172" i="23"/>
  <c r="D137" i="23"/>
  <c r="D193" i="23"/>
  <c r="D157" i="23"/>
  <c r="D132" i="23"/>
  <c r="D117" i="23"/>
  <c r="D60" i="6"/>
  <c r="D116" i="23"/>
  <c r="D63" i="6"/>
  <c r="D64" i="23"/>
  <c r="D15" i="23"/>
  <c r="D36" i="6"/>
  <c r="D18" i="23"/>
  <c r="D60" i="23"/>
  <c r="D27" i="23"/>
  <c r="D39" i="6"/>
  <c r="D75" i="23"/>
  <c r="D39" i="23"/>
  <c r="D45" i="6"/>
  <c r="D88" i="24"/>
  <c r="D24" i="6"/>
  <c r="D16" i="6"/>
  <c r="D74" i="24"/>
  <c r="D77" i="24"/>
  <c r="D19" i="6"/>
  <c r="D89" i="24"/>
  <c r="D72" i="24"/>
  <c r="D55" i="24"/>
  <c r="D16" i="24"/>
  <c r="D42" i="24"/>
  <c r="D54" i="24"/>
  <c r="D19" i="24"/>
  <c r="D47" i="24"/>
  <c r="D17" i="24"/>
  <c r="D110" i="25"/>
  <c r="J133" i="1"/>
  <c r="D90" i="21"/>
  <c r="D99" i="25"/>
  <c r="D172" i="22"/>
  <c r="D182" i="22"/>
  <c r="D120" i="22"/>
  <c r="D45" i="22"/>
  <c r="D109" i="22"/>
  <c r="D63" i="22"/>
  <c r="D128" i="22"/>
  <c r="D70" i="22"/>
  <c r="D87" i="22"/>
  <c r="D153" i="22"/>
  <c r="D25" i="22"/>
  <c r="D18" i="22"/>
  <c r="D320" i="1"/>
  <c r="D311" i="1"/>
  <c r="D186" i="6"/>
  <c r="D27" i="47"/>
  <c r="D43" i="47"/>
  <c r="D126" i="6"/>
  <c r="D9" i="26"/>
  <c r="D137" i="6"/>
  <c r="D155" i="6"/>
  <c r="D152" i="6"/>
  <c r="D64" i="44"/>
  <c r="D161" i="6"/>
  <c r="D36" i="44"/>
  <c r="D60" i="44"/>
  <c r="D16" i="44"/>
  <c r="D35" i="44"/>
  <c r="D321" i="46"/>
  <c r="D84" i="6"/>
  <c r="D325" i="46"/>
  <c r="D318" i="46"/>
  <c r="D81" i="6"/>
  <c r="D322" i="46"/>
  <c r="D260" i="46"/>
  <c r="D152" i="46"/>
  <c r="D252" i="46"/>
  <c r="D96" i="46"/>
  <c r="D151" i="46"/>
  <c r="D163" i="46"/>
  <c r="D229" i="46"/>
  <c r="D257" i="46"/>
  <c r="D199" i="46"/>
  <c r="D138" i="46"/>
  <c r="D236" i="46"/>
  <c r="D104" i="46"/>
  <c r="D256" i="46"/>
  <c r="D131" i="46"/>
  <c r="D176" i="46"/>
  <c r="D187" i="46"/>
  <c r="D155" i="21"/>
  <c r="D124" i="21"/>
  <c r="D133" i="21"/>
  <c r="D132" i="21"/>
  <c r="D191" i="23"/>
  <c r="D156" i="23"/>
  <c r="D131" i="23"/>
  <c r="D185" i="23"/>
  <c r="D161" i="23"/>
  <c r="D201" i="23"/>
  <c r="D177" i="23"/>
  <c r="D153" i="23"/>
  <c r="D211" i="23"/>
  <c r="D188" i="23"/>
  <c r="D164" i="23"/>
  <c r="D141" i="23"/>
  <c r="D67" i="6"/>
  <c r="D115" i="23"/>
  <c r="D62" i="6"/>
  <c r="D120" i="23"/>
  <c r="D112" i="23"/>
  <c r="D61" i="6"/>
  <c r="D71" i="23"/>
  <c r="D31" i="23"/>
  <c r="D42" i="6"/>
  <c r="D107" i="23"/>
  <c r="D36" i="23"/>
  <c r="D91" i="23"/>
  <c r="D44" i="23"/>
  <c r="D17" i="23"/>
  <c r="D41" i="6"/>
  <c r="D109" i="23"/>
  <c r="C214" i="46"/>
  <c r="D166" i="22"/>
  <c r="E227" i="1"/>
  <c r="D145" i="22"/>
  <c r="D117" i="22"/>
  <c r="D72" i="22"/>
  <c r="D129" i="22"/>
  <c r="D85" i="22"/>
  <c r="D59" i="22"/>
  <c r="D136" i="22"/>
  <c r="D88" i="22"/>
  <c r="D52" i="22"/>
  <c r="D73" i="22"/>
  <c r="D164" i="22"/>
  <c r="D121" i="22"/>
  <c r="D19" i="22"/>
  <c r="D37" i="22"/>
  <c r="D317" i="1"/>
  <c r="D321" i="1"/>
  <c r="D22" i="47"/>
  <c r="D58" i="26"/>
  <c r="D36" i="47"/>
  <c r="D56" i="47"/>
  <c r="D15" i="47"/>
  <c r="D60" i="47"/>
  <c r="D159" i="6"/>
  <c r="D156" i="6"/>
  <c r="D141" i="6"/>
  <c r="D164" i="6"/>
  <c r="D132" i="6"/>
  <c r="D160" i="6"/>
  <c r="D145" i="6"/>
  <c r="D47" i="44"/>
  <c r="D15" i="44"/>
  <c r="D50" i="44"/>
  <c r="D42" i="44"/>
  <c r="D13" i="44"/>
  <c r="D34" i="44"/>
  <c r="D116" i="6"/>
  <c r="D313" i="46"/>
  <c r="D90" i="6"/>
  <c r="D111" i="6"/>
  <c r="D114" i="6"/>
  <c r="D312" i="46"/>
  <c r="D85" i="6"/>
  <c r="D108" i="6"/>
  <c r="D91" i="6"/>
  <c r="D214" i="46"/>
  <c r="D190" i="46"/>
  <c r="D124" i="46"/>
  <c r="D228" i="46"/>
  <c r="D90" i="46"/>
  <c r="D201" i="46"/>
  <c r="D117" i="46"/>
  <c r="D177" i="46"/>
  <c r="D111" i="46"/>
  <c r="D261" i="46"/>
  <c r="D211" i="46"/>
  <c r="D191" i="46"/>
  <c r="D132" i="46"/>
  <c r="D250" i="46"/>
  <c r="D184" i="46"/>
  <c r="D88" i="46"/>
  <c r="D222" i="46"/>
  <c r="D137" i="46"/>
  <c r="D164" i="46"/>
  <c r="D284" i="46"/>
  <c r="D109" i="46"/>
  <c r="D131" i="21"/>
  <c r="D120" i="21"/>
  <c r="D144" i="21"/>
  <c r="D152" i="21"/>
  <c r="D151" i="21"/>
  <c r="D121" i="21"/>
  <c r="D197" i="23"/>
  <c r="D169" i="23"/>
  <c r="C118" i="26"/>
  <c r="C15" i="39" s="1"/>
  <c r="C11" i="46"/>
  <c r="C37" i="22"/>
  <c r="C25" i="26"/>
  <c r="C24" i="35" s="1"/>
  <c r="C231" i="1"/>
  <c r="D175" i="22"/>
  <c r="E226" i="1"/>
  <c r="D170" i="22"/>
  <c r="D130" i="22"/>
  <c r="D104" i="22"/>
  <c r="D53" i="22"/>
  <c r="D133" i="22"/>
  <c r="D103" i="22"/>
  <c r="D71" i="22"/>
  <c r="D44" i="22"/>
  <c r="D143" i="22"/>
  <c r="D105" i="22"/>
  <c r="D74" i="22"/>
  <c r="D47" i="22"/>
  <c r="D83" i="22"/>
  <c r="D46" i="22"/>
  <c r="D149" i="22"/>
  <c r="D115" i="22"/>
  <c r="D13" i="22"/>
  <c r="D12" i="22"/>
  <c r="D11" i="22"/>
  <c r="D315" i="1"/>
  <c r="D308" i="1"/>
  <c r="D72" i="47"/>
  <c r="D30" i="47"/>
  <c r="D71" i="47"/>
  <c r="D29" i="47"/>
  <c r="D61" i="47"/>
  <c r="D50" i="47"/>
  <c r="D195" i="6"/>
  <c r="D179" i="6"/>
  <c r="D153" i="6"/>
  <c r="D173" i="6"/>
  <c r="D167" i="6"/>
  <c r="D62" i="44"/>
  <c r="D158" i="6"/>
  <c r="D136" i="6"/>
  <c r="D178" i="6"/>
  <c r="D134" i="6"/>
  <c r="D135" i="6"/>
  <c r="D26" i="44"/>
  <c r="D20" i="44"/>
  <c r="D18" i="44"/>
  <c r="D39" i="44"/>
  <c r="D27" i="44"/>
  <c r="D61" i="44"/>
  <c r="D45" i="44"/>
  <c r="D46" i="44"/>
  <c r="D122" i="6"/>
  <c r="D307" i="46"/>
  <c r="D88" i="6"/>
  <c r="D115" i="6"/>
  <c r="D319" i="46"/>
  <c r="D104" i="6"/>
  <c r="D308" i="46"/>
  <c r="D87" i="6"/>
  <c r="D123" i="6"/>
  <c r="D218" i="46"/>
  <c r="D200" i="46"/>
  <c r="D146" i="46"/>
  <c r="D166" i="46"/>
  <c r="D231" i="46"/>
  <c r="D106" i="46"/>
  <c r="D266" i="46"/>
  <c r="D155" i="46"/>
  <c r="D127" i="46"/>
  <c r="D169" i="46"/>
  <c r="D251" i="46"/>
  <c r="D105" i="46"/>
  <c r="D270" i="46"/>
  <c r="C191" i="46"/>
  <c r="C85" i="21"/>
  <c r="C134" i="26"/>
  <c r="C32" i="47"/>
  <c r="C19" i="22"/>
  <c r="C48" i="1"/>
  <c r="C286" i="46"/>
  <c r="C233" i="46"/>
  <c r="C22" i="22"/>
  <c r="C139" i="22"/>
  <c r="C30" i="22"/>
  <c r="C159" i="46"/>
  <c r="C67" i="47"/>
  <c r="C81" i="22"/>
  <c r="C86" i="46"/>
  <c r="C210" i="46"/>
  <c r="F299" i="1"/>
  <c r="C2" i="23"/>
  <c r="B100" i="21"/>
  <c r="C32" i="23"/>
  <c r="C138" i="46"/>
  <c r="C218" i="46"/>
  <c r="C60" i="23"/>
  <c r="C44" i="23"/>
  <c r="C101" i="21"/>
  <c r="J7" i="44"/>
  <c r="C2" i="26"/>
  <c r="C279" i="46"/>
  <c r="C282" i="46" s="1"/>
  <c r="C190" i="46"/>
  <c r="C108" i="21"/>
  <c r="B50" i="21"/>
  <c r="C101" i="46"/>
  <c r="C151" i="46"/>
  <c r="C132" i="46"/>
  <c r="C10" i="46"/>
  <c r="C301" i="1"/>
  <c r="C164" i="22"/>
  <c r="C20" i="22"/>
  <c r="N231" i="1"/>
  <c r="I123" i="22"/>
  <c r="J120" i="22" s="1"/>
  <c r="C168" i="1"/>
  <c r="C45" i="47"/>
  <c r="C17" i="22"/>
  <c r="C55" i="22"/>
  <c r="C107" i="22"/>
  <c r="C83" i="46"/>
  <c r="C153" i="46"/>
  <c r="D9" i="25"/>
  <c r="D80" i="25"/>
  <c r="E114" i="1"/>
  <c r="E250" i="1"/>
  <c r="D174" i="22"/>
  <c r="E244" i="1"/>
  <c r="D327" i="1"/>
  <c r="D152" i="22"/>
  <c r="D135" i="22"/>
  <c r="D114" i="22"/>
  <c r="D96" i="22"/>
  <c r="D49" i="22"/>
  <c r="D155" i="22"/>
  <c r="D113" i="22"/>
  <c r="D89" i="22"/>
  <c r="D65" i="22"/>
  <c r="D48" i="22"/>
  <c r="D154" i="22"/>
  <c r="D132" i="22"/>
  <c r="D98" i="22"/>
  <c r="D78" i="22"/>
  <c r="D58" i="22"/>
  <c r="D101" i="22"/>
  <c r="D77" i="22"/>
  <c r="D51" i="22"/>
  <c r="D160" i="22"/>
  <c r="D142" i="22"/>
  <c r="D14" i="22"/>
  <c r="D35" i="22"/>
  <c r="D38" i="22"/>
  <c r="D30" i="22"/>
  <c r="D26" i="22"/>
  <c r="D316" i="1"/>
  <c r="D314" i="1"/>
  <c r="D309" i="1"/>
  <c r="D21" i="47"/>
  <c r="D188" i="6"/>
  <c r="D41" i="47"/>
  <c r="D16" i="47"/>
  <c r="D62" i="47"/>
  <c r="D40" i="47"/>
  <c r="D70" i="47"/>
  <c r="D193" i="6"/>
  <c r="D39" i="47"/>
  <c r="D18" i="47"/>
  <c r="D336" i="46"/>
  <c r="D169" i="6"/>
  <c r="D149" i="6"/>
  <c r="D131" i="6"/>
  <c r="D63" i="44"/>
  <c r="D151" i="6"/>
  <c r="D182" i="6"/>
  <c r="D163" i="6"/>
  <c r="D147" i="6"/>
  <c r="D72" i="44"/>
  <c r="D170" i="6"/>
  <c r="D140" i="6"/>
  <c r="D157" i="6"/>
  <c r="D19" i="44"/>
  <c r="D14" i="44"/>
  <c r="D38" i="44"/>
  <c r="D37" i="44"/>
  <c r="D41" i="44"/>
  <c r="D28" i="44"/>
  <c r="D49" i="44"/>
  <c r="D48" i="44"/>
  <c r="D66" i="44"/>
  <c r="D65" i="44"/>
  <c r="D58" i="44"/>
  <c r="D117" i="6"/>
  <c r="D311" i="46"/>
  <c r="D97" i="6"/>
  <c r="D86" i="6"/>
  <c r="D121" i="6"/>
  <c r="D24" i="44"/>
  <c r="D310" i="46"/>
  <c r="D95" i="6"/>
  <c r="D83" i="6"/>
  <c r="D120" i="6"/>
  <c r="D314" i="46"/>
  <c r="D280" i="46"/>
  <c r="D220" i="46"/>
  <c r="D206" i="46"/>
  <c r="D192" i="46"/>
  <c r="D140" i="46"/>
  <c r="D118" i="46"/>
  <c r="D246" i="46"/>
  <c r="D226" i="46"/>
  <c r="D102" i="46"/>
  <c r="D275" i="46"/>
  <c r="D215" i="46"/>
  <c r="D145" i="46"/>
  <c r="D123" i="46"/>
  <c r="D165" i="46"/>
  <c r="D179" i="46"/>
  <c r="D237" i="46"/>
  <c r="D99" i="46"/>
  <c r="D277" i="46"/>
  <c r="D221" i="46"/>
  <c r="D207" i="46"/>
  <c r="D193" i="46"/>
  <c r="D144" i="46"/>
  <c r="D120" i="46"/>
  <c r="D242" i="46"/>
  <c r="D186" i="46"/>
  <c r="D98" i="46"/>
  <c r="D272" i="46"/>
  <c r="D208" i="46"/>
  <c r="D141" i="46"/>
  <c r="D119" i="46"/>
  <c r="D172" i="46"/>
  <c r="D247" i="46"/>
  <c r="D113" i="46"/>
  <c r="D91" i="46"/>
  <c r="D150" i="21"/>
  <c r="D135" i="21"/>
  <c r="D149" i="21"/>
  <c r="D134" i="21"/>
  <c r="D123" i="21"/>
  <c r="D122" i="21"/>
  <c r="D148" i="21"/>
  <c r="C260" i="46"/>
  <c r="C241" i="46"/>
  <c r="C146" i="6"/>
  <c r="C138" i="6"/>
  <c r="C130" i="6"/>
  <c r="F88" i="1"/>
  <c r="C329" i="36"/>
  <c r="C31" i="39"/>
  <c r="C47" i="36"/>
  <c r="C42" i="36"/>
  <c r="AW394" i="36"/>
  <c r="K7" i="44"/>
  <c r="K7" i="23"/>
  <c r="I298" i="1"/>
  <c r="I5" i="26"/>
  <c r="K60" i="36"/>
  <c r="J237" i="36"/>
  <c r="L107" i="36"/>
  <c r="L187" i="36"/>
  <c r="L147" i="36"/>
  <c r="AX469" i="36"/>
  <c r="AX456" i="36"/>
  <c r="AX443" i="36"/>
  <c r="L7" i="23"/>
  <c r="L7" i="44"/>
  <c r="J297" i="1"/>
  <c r="J4" i="26"/>
  <c r="J10" i="26" s="1"/>
  <c r="J7" i="25"/>
  <c r="L59" i="36"/>
  <c r="J319" i="36"/>
  <c r="AX409" i="36"/>
  <c r="AX416" i="36"/>
  <c r="AX425" i="36" s="1"/>
  <c r="J230" i="36"/>
  <c r="L252" i="36"/>
  <c r="AE319" i="36"/>
  <c r="C21" i="1"/>
  <c r="K253" i="36"/>
  <c r="J298" i="1"/>
  <c r="AX430" i="36"/>
  <c r="M7" i="23"/>
  <c r="M7" i="44"/>
  <c r="J10" i="25"/>
  <c r="J111" i="26"/>
  <c r="J59" i="26"/>
  <c r="E6" i="26"/>
  <c r="G299" i="1"/>
  <c r="N7" i="44"/>
  <c r="N7" i="23"/>
  <c r="K297" i="1"/>
  <c r="K4" i="26"/>
  <c r="K10" i="26" s="1"/>
  <c r="K7" i="25"/>
  <c r="K10" i="25"/>
  <c r="K298" i="1"/>
  <c r="AY430" i="36"/>
  <c r="O7" i="44"/>
  <c r="O7" i="23"/>
  <c r="J163" i="22"/>
  <c r="J168" i="22"/>
  <c r="J173" i="22" s="1"/>
  <c r="J172" i="22"/>
  <c r="J28" i="47"/>
  <c r="J81" i="46"/>
  <c r="J25" i="46"/>
  <c r="J67" i="46"/>
  <c r="J18" i="46"/>
  <c r="J46" i="46"/>
  <c r="J53" i="46"/>
  <c r="J39" i="46"/>
  <c r="J74" i="46"/>
  <c r="J60" i="46"/>
  <c r="J32" i="46"/>
  <c r="J314" i="1"/>
  <c r="J317" i="1" s="1"/>
  <c r="K314" i="1" s="1"/>
  <c r="K317" i="1" s="1"/>
  <c r="J320" i="1"/>
  <c r="J323" i="1" s="1"/>
  <c r="J70" i="25"/>
  <c r="L297" i="1"/>
  <c r="L7" i="25"/>
  <c r="L4" i="26"/>
  <c r="L111" i="26" s="1"/>
  <c r="K163" i="22"/>
  <c r="K168" i="22"/>
  <c r="K173" i="22" s="1"/>
  <c r="P7" i="44"/>
  <c r="P7" i="23"/>
  <c r="J36" i="22"/>
  <c r="J121" i="22"/>
  <c r="K18" i="46"/>
  <c r="K162" i="22"/>
  <c r="K46" i="46"/>
  <c r="K74" i="46"/>
  <c r="K39" i="46"/>
  <c r="K60" i="46"/>
  <c r="K53" i="46"/>
  <c r="K67" i="46"/>
  <c r="K32" i="46"/>
  <c r="K25" i="46"/>
  <c r="K81" i="46"/>
  <c r="Q7" i="44"/>
  <c r="Q7" i="23"/>
  <c r="L10" i="25"/>
  <c r="L298" i="1"/>
  <c r="AZ430" i="36"/>
  <c r="L299" i="1"/>
  <c r="I302" i="1" s="1"/>
  <c r="L168" i="22"/>
  <c r="L173" i="22" s="1"/>
  <c r="M7" i="25"/>
  <c r="M297" i="1"/>
  <c r="M4" i="26"/>
  <c r="M10" i="26" s="1"/>
  <c r="R7" i="44"/>
  <c r="R7" i="23"/>
  <c r="L32" i="46"/>
  <c r="L163" i="22"/>
  <c r="L161" i="22"/>
  <c r="L25" i="46"/>
  <c r="L52" i="26"/>
  <c r="L74" i="46"/>
  <c r="L81" i="46"/>
  <c r="L18" i="46"/>
  <c r="L39" i="46"/>
  <c r="L46" i="46"/>
  <c r="L53" i="46"/>
  <c r="L60" i="46"/>
  <c r="L67" i="46"/>
  <c r="M10" i="25"/>
  <c r="L121" i="22"/>
  <c r="L153" i="22"/>
  <c r="S7" i="23"/>
  <c r="S7" i="44"/>
  <c r="L36" i="22"/>
  <c r="M298" i="1"/>
  <c r="M299" i="1"/>
  <c r="N7" i="25"/>
  <c r="N4" i="26"/>
  <c r="N297" i="1"/>
  <c r="T7" i="44"/>
  <c r="T7" i="23"/>
  <c r="N10" i="26"/>
  <c r="BB430" i="36"/>
  <c r="N298" i="1"/>
  <c r="M46" i="46"/>
  <c r="M81" i="46"/>
  <c r="M67" i="46"/>
  <c r="M53" i="46"/>
  <c r="M18" i="46"/>
  <c r="M32" i="46"/>
  <c r="M60" i="46"/>
  <c r="M25" i="46"/>
  <c r="M39" i="46"/>
  <c r="M74" i="46"/>
  <c r="M168" i="22"/>
  <c r="M173" i="22" s="1"/>
  <c r="N10" i="25"/>
  <c r="U7" i="44"/>
  <c r="U7" i="23"/>
  <c r="M162" i="22"/>
  <c r="V7" i="44"/>
  <c r="V7" i="23"/>
  <c r="M174" i="22"/>
  <c r="N299" i="1"/>
  <c r="O297" i="1"/>
  <c r="O7" i="25"/>
  <c r="O4" i="26"/>
  <c r="M121" i="22"/>
  <c r="N168" i="22"/>
  <c r="N173" i="22" s="1"/>
  <c r="O10" i="25"/>
  <c r="O298" i="1"/>
  <c r="N46" i="46"/>
  <c r="N53" i="46"/>
  <c r="N32" i="46"/>
  <c r="N74" i="46"/>
  <c r="N60" i="46"/>
  <c r="N39" i="46"/>
  <c r="N81" i="46"/>
  <c r="N18" i="46"/>
  <c r="N67" i="46"/>
  <c r="N25" i="46"/>
  <c r="W7" i="23"/>
  <c r="W7" i="44"/>
  <c r="N162" i="22"/>
  <c r="O161" i="22"/>
  <c r="O299" i="1"/>
  <c r="N153" i="22"/>
  <c r="N121" i="22"/>
  <c r="N36" i="22"/>
  <c r="P4" i="26"/>
  <c r="P297" i="1"/>
  <c r="P7" i="25"/>
  <c r="X7" i="23"/>
  <c r="X7" i="44"/>
  <c r="N174" i="22"/>
  <c r="L251" i="36"/>
  <c r="L237" i="36"/>
  <c r="Q187" i="36"/>
  <c r="Q147" i="36"/>
  <c r="Q107" i="36"/>
  <c r="AY443" i="36"/>
  <c r="AY469" i="36"/>
  <c r="AY456" i="36"/>
  <c r="O53" i="46"/>
  <c r="O25" i="46"/>
  <c r="O60" i="46"/>
  <c r="O81" i="46"/>
  <c r="O18" i="46"/>
  <c r="O74" i="46"/>
  <c r="O46" i="46"/>
  <c r="O67" i="46"/>
  <c r="O32" i="46"/>
  <c r="O39" i="46"/>
  <c r="O168" i="22"/>
  <c r="O173" i="22" s="1"/>
  <c r="P10" i="25"/>
  <c r="Y7" i="23"/>
  <c r="Y7" i="44"/>
  <c r="P298" i="1"/>
  <c r="P111" i="26"/>
  <c r="P10" i="26"/>
  <c r="P59" i="26"/>
  <c r="O252" i="36"/>
  <c r="L230" i="36"/>
  <c r="AY416" i="36"/>
  <c r="AY425" i="36" s="1"/>
  <c r="AY409" i="36"/>
  <c r="AG319" i="36"/>
  <c r="L319" i="36"/>
  <c r="Q59" i="36"/>
  <c r="O163" i="22"/>
  <c r="P299" i="1"/>
  <c r="Q297" i="1"/>
  <c r="Q4" i="26"/>
  <c r="Q7" i="25"/>
  <c r="Z7" i="44"/>
  <c r="Z7" i="23"/>
  <c r="P18" i="46"/>
  <c r="P81" i="46"/>
  <c r="P60" i="46"/>
  <c r="P74" i="46"/>
  <c r="P53" i="46"/>
  <c r="P67" i="46"/>
  <c r="P168" i="22"/>
  <c r="P173" i="22" s="1"/>
  <c r="P46" i="46"/>
  <c r="P25" i="46"/>
  <c r="P32" i="46"/>
  <c r="P39" i="46"/>
  <c r="Q10" i="25"/>
  <c r="Q298" i="1"/>
  <c r="AA7" i="23"/>
  <c r="AA7" i="44"/>
  <c r="P161" i="22"/>
  <c r="P163" i="22"/>
  <c r="P174" i="22"/>
  <c r="AB7" i="44"/>
  <c r="AB7" i="23"/>
  <c r="R297" i="1"/>
  <c r="R4" i="26"/>
  <c r="R111" i="26" s="1"/>
  <c r="R7" i="25"/>
  <c r="Q299" i="1"/>
  <c r="O251" i="36"/>
  <c r="O261" i="36" s="1"/>
  <c r="Q60" i="46"/>
  <c r="Q81" i="46"/>
  <c r="Q74" i="46"/>
  <c r="Q46" i="46"/>
  <c r="Q18" i="46"/>
  <c r="Q32" i="46"/>
  <c r="Q53" i="46"/>
  <c r="Q25" i="46"/>
  <c r="Q67" i="46"/>
  <c r="Q39" i="46"/>
  <c r="Q168" i="22"/>
  <c r="Q173" i="22" s="1"/>
  <c r="R10" i="25"/>
  <c r="R298" i="1"/>
  <c r="AC7" i="44"/>
  <c r="AC7" i="23"/>
  <c r="Q121" i="22"/>
  <c r="Q153" i="22"/>
  <c r="R299" i="1"/>
  <c r="Q36" i="22"/>
  <c r="S297" i="1"/>
  <c r="S7" i="25"/>
  <c r="S4" i="26"/>
  <c r="S59" i="26" s="1"/>
  <c r="Q174" i="22"/>
  <c r="AD7" i="23"/>
  <c r="AD7" i="44"/>
  <c r="S111" i="26"/>
  <c r="S10" i="26"/>
  <c r="R163" i="22"/>
  <c r="R161" i="22"/>
  <c r="R168" i="22"/>
  <c r="R173" i="22"/>
  <c r="AE7" i="44"/>
  <c r="AE7" i="23"/>
  <c r="S298" i="1"/>
  <c r="BG430" i="36"/>
  <c r="S10" i="25"/>
  <c r="R74" i="46"/>
  <c r="R32" i="46"/>
  <c r="R53" i="46"/>
  <c r="R46" i="46"/>
  <c r="R39" i="46"/>
  <c r="R60" i="46"/>
  <c r="R81" i="46"/>
  <c r="R25" i="46"/>
  <c r="R18" i="46"/>
  <c r="R67" i="46"/>
  <c r="S299" i="1"/>
  <c r="T7" i="25"/>
  <c r="T4" i="26"/>
  <c r="T297" i="1"/>
  <c r="R153" i="22"/>
  <c r="R174" i="22"/>
  <c r="AF7" i="44"/>
  <c r="AF7" i="23"/>
  <c r="R36" i="22"/>
  <c r="S46" i="46"/>
  <c r="S39" i="46"/>
  <c r="S60" i="46"/>
  <c r="S53" i="46"/>
  <c r="S74" i="46"/>
  <c r="S81" i="46"/>
  <c r="S32" i="46"/>
  <c r="S18" i="46"/>
  <c r="S168" i="22"/>
  <c r="S173" i="22" s="1"/>
  <c r="S67" i="46"/>
  <c r="S25" i="46"/>
  <c r="S174" i="22"/>
  <c r="T111" i="26"/>
  <c r="T59" i="26"/>
  <c r="T10" i="26"/>
  <c r="T298" i="1"/>
  <c r="BH430" i="36"/>
  <c r="T10" i="25"/>
  <c r="AG7" i="44"/>
  <c r="AG7" i="23"/>
  <c r="S163" i="22"/>
  <c r="S36" i="22"/>
  <c r="T299" i="1"/>
  <c r="U297" i="1"/>
  <c r="U4" i="26"/>
  <c r="U10" i="26" s="1"/>
  <c r="U7" i="25"/>
  <c r="T168" i="22"/>
  <c r="T173" i="22" s="1"/>
  <c r="T161" i="22"/>
  <c r="T163" i="22"/>
  <c r="U298" i="1"/>
  <c r="T39" i="46"/>
  <c r="T74" i="46"/>
  <c r="T46" i="46"/>
  <c r="T18" i="46"/>
  <c r="T60" i="46"/>
  <c r="T67" i="46"/>
  <c r="T32" i="46"/>
  <c r="T81" i="46"/>
  <c r="T53" i="46"/>
  <c r="T25" i="46"/>
  <c r="U10" i="25"/>
  <c r="U299" i="1"/>
  <c r="V4" i="26"/>
  <c r="V111" i="26" s="1"/>
  <c r="V297" i="1"/>
  <c r="V7" i="25"/>
  <c r="U18" i="46"/>
  <c r="U168" i="22"/>
  <c r="U173" i="22" s="1"/>
  <c r="U25" i="46"/>
  <c r="U81" i="46"/>
  <c r="U67" i="46"/>
  <c r="U46" i="46"/>
  <c r="U39" i="46"/>
  <c r="U32" i="46"/>
  <c r="U60" i="46"/>
  <c r="U53" i="46"/>
  <c r="U74" i="46"/>
  <c r="V298" i="1"/>
  <c r="V10" i="25"/>
  <c r="V59" i="26"/>
  <c r="V10" i="26"/>
  <c r="U174" i="22"/>
  <c r="U163" i="22"/>
  <c r="U161" i="22"/>
  <c r="U36" i="22"/>
  <c r="V299" i="1"/>
  <c r="W4" i="26"/>
  <c r="W10" i="26" s="1"/>
  <c r="W297" i="1"/>
  <c r="W7" i="25"/>
  <c r="W10" i="25"/>
  <c r="W298" i="1"/>
  <c r="V161" i="22"/>
  <c r="V163" i="22"/>
  <c r="V168" i="22"/>
  <c r="V173" i="22" s="1"/>
  <c r="V60" i="46"/>
  <c r="V67" i="46"/>
  <c r="V39" i="46"/>
  <c r="V81" i="46"/>
  <c r="V53" i="46"/>
  <c r="V46" i="46"/>
  <c r="V32" i="46"/>
  <c r="V25" i="46"/>
  <c r="V74" i="46"/>
  <c r="V18" i="46"/>
  <c r="V83" i="46" s="1"/>
  <c r="X297" i="1"/>
  <c r="X7" i="25"/>
  <c r="X4" i="26"/>
  <c r="X111" i="26" s="1"/>
  <c r="V174" i="22"/>
  <c r="W299" i="1"/>
  <c r="V153" i="22"/>
  <c r="W39" i="46"/>
  <c r="W74" i="46"/>
  <c r="W46" i="46"/>
  <c r="W81" i="46"/>
  <c r="W25" i="46"/>
  <c r="W32" i="46"/>
  <c r="W18" i="46"/>
  <c r="W67" i="46"/>
  <c r="W60" i="46"/>
  <c r="W53" i="46"/>
  <c r="W168" i="22"/>
  <c r="W173" i="22" s="1"/>
  <c r="X298" i="1"/>
  <c r="X10" i="25"/>
  <c r="X59" i="26"/>
  <c r="X299" i="1"/>
  <c r="W153" i="22"/>
  <c r="W174" i="22"/>
  <c r="Y297" i="1"/>
  <c r="Y4" i="26"/>
  <c r="Y111" i="26" s="1"/>
  <c r="Y7" i="25"/>
  <c r="W36" i="22"/>
  <c r="X168" i="22"/>
  <c r="X173" i="22" s="1"/>
  <c r="X161" i="22"/>
  <c r="Y298" i="1"/>
  <c r="Y59" i="26"/>
  <c r="Y10" i="25"/>
  <c r="X46" i="46"/>
  <c r="X74" i="46"/>
  <c r="X60" i="46"/>
  <c r="X18" i="46"/>
  <c r="X67" i="46"/>
  <c r="X25" i="46"/>
  <c r="X39" i="46"/>
  <c r="X53" i="46"/>
  <c r="X81" i="46"/>
  <c r="X32" i="46"/>
  <c r="X163" i="22"/>
  <c r="X36" i="22"/>
  <c r="X153" i="22"/>
  <c r="Y299" i="1"/>
  <c r="Z297" i="1"/>
  <c r="Z4" i="26"/>
  <c r="Z111" i="26" s="1"/>
  <c r="Z7" i="25"/>
  <c r="X174" i="22"/>
  <c r="Y168" i="22"/>
  <c r="Y173" i="22" s="1"/>
  <c r="Z298" i="1"/>
  <c r="Y18" i="46"/>
  <c r="Y53" i="46"/>
  <c r="Y67" i="46"/>
  <c r="Y74" i="46"/>
  <c r="Y60" i="46"/>
  <c r="Y32" i="46"/>
  <c r="Y25" i="46"/>
  <c r="Y81" i="46"/>
  <c r="Y46" i="46"/>
  <c r="Y39" i="46"/>
  <c r="Z10" i="25"/>
  <c r="Y161" i="22"/>
  <c r="Z299" i="1"/>
  <c r="Y36" i="22"/>
  <c r="Y174" i="22"/>
  <c r="AA297" i="1"/>
  <c r="AA4" i="26"/>
  <c r="AA10" i="26" s="1"/>
  <c r="AA7" i="25"/>
  <c r="AA298" i="1"/>
  <c r="AA10" i="25"/>
  <c r="AA111" i="26"/>
  <c r="AA59" i="26"/>
  <c r="Z32" i="46"/>
  <c r="Z25" i="46"/>
  <c r="Z81" i="46"/>
  <c r="Z60" i="46"/>
  <c r="Z53" i="46"/>
  <c r="Z39" i="46"/>
  <c r="Z46" i="46"/>
  <c r="Z74" i="46"/>
  <c r="Z18" i="46"/>
  <c r="Z67" i="46"/>
  <c r="Z168" i="22"/>
  <c r="Z173" i="22" s="1"/>
  <c r="Z163" i="22"/>
  <c r="Z162" i="22"/>
  <c r="Z153" i="22"/>
  <c r="AB297" i="1"/>
  <c r="AB4" i="26"/>
  <c r="AB59" i="26" s="1"/>
  <c r="AB7" i="25"/>
  <c r="Z36" i="22"/>
  <c r="AA299" i="1"/>
  <c r="AB298" i="1"/>
  <c r="AB111" i="26"/>
  <c r="AB10" i="25"/>
  <c r="AA168" i="22"/>
  <c r="AA173" i="22" s="1"/>
  <c r="AA18" i="46"/>
  <c r="AA67" i="46"/>
  <c r="AA53" i="46"/>
  <c r="AA32" i="46"/>
  <c r="AA60" i="46"/>
  <c r="AA25" i="46"/>
  <c r="AA74" i="46"/>
  <c r="AA46" i="46"/>
  <c r="AA81" i="46"/>
  <c r="AA39" i="46"/>
  <c r="AC7" i="25"/>
  <c r="AC297" i="1"/>
  <c r="AC4" i="26"/>
  <c r="AC111" i="26" s="1"/>
  <c r="AB299" i="1"/>
  <c r="AA174" i="22"/>
  <c r="AB67" i="46"/>
  <c r="AB18" i="46"/>
  <c r="AB46" i="46"/>
  <c r="AB53" i="46"/>
  <c r="AB25" i="46"/>
  <c r="AB74" i="46"/>
  <c r="AB32" i="46"/>
  <c r="AB81" i="46"/>
  <c r="AB39" i="46"/>
  <c r="AB60" i="46"/>
  <c r="AB168" i="22"/>
  <c r="AB173" i="22" s="1"/>
  <c r="AC298" i="1"/>
  <c r="AC10" i="25"/>
  <c r="AD4" i="26"/>
  <c r="AD111" i="26" s="1"/>
  <c r="AD297" i="1"/>
  <c r="AD7" i="25"/>
  <c r="AC299" i="1"/>
  <c r="AB36" i="22"/>
  <c r="AD299" i="1"/>
  <c r="AC81" i="46"/>
  <c r="AC53" i="46"/>
  <c r="AC39" i="46"/>
  <c r="AC67" i="46"/>
  <c r="AC74" i="46"/>
  <c r="AC60" i="46"/>
  <c r="AC32" i="46"/>
  <c r="AC46" i="46"/>
  <c r="AC18" i="46"/>
  <c r="AC25" i="46"/>
  <c r="AC168" i="22"/>
  <c r="AC173" i="22" s="1"/>
  <c r="AD10" i="26"/>
  <c r="AD10" i="25"/>
  <c r="AD298" i="1"/>
  <c r="AC163" i="22"/>
  <c r="AD161" i="22"/>
  <c r="AD168" i="22"/>
  <c r="AD173" i="22" s="1"/>
  <c r="AC153" i="22"/>
  <c r="AE297" i="1"/>
  <c r="AE7" i="25"/>
  <c r="AE4" i="26"/>
  <c r="AD81" i="46"/>
  <c r="AD32" i="46"/>
  <c r="AD18" i="46"/>
  <c r="AD74" i="46"/>
  <c r="AD46" i="46"/>
  <c r="AD39" i="46"/>
  <c r="AD60" i="46"/>
  <c r="AD67" i="46"/>
  <c r="AD53" i="46"/>
  <c r="AD25" i="46"/>
  <c r="AE10" i="25"/>
  <c r="AD121" i="22"/>
  <c r="AD36" i="22"/>
  <c r="AE299" i="1"/>
  <c r="AE298" i="1"/>
  <c r="AE168" i="22"/>
  <c r="AE173" i="22" s="1"/>
  <c r="AF7" i="25"/>
  <c r="AF4" i="26"/>
  <c r="AF10" i="26" s="1"/>
  <c r="AF297" i="1"/>
  <c r="AE32" i="46"/>
  <c r="AE18" i="46"/>
  <c r="AE67" i="46"/>
  <c r="AE60" i="46"/>
  <c r="AE81" i="46"/>
  <c r="AE74" i="46"/>
  <c r="AE25" i="46"/>
  <c r="AE53" i="46"/>
  <c r="AE39" i="46"/>
  <c r="AE46" i="46"/>
  <c r="AE161" i="22"/>
  <c r="AF298" i="1"/>
  <c r="AF10" i="25"/>
  <c r="AE153" i="22"/>
  <c r="AF59" i="26"/>
  <c r="AE45" i="21"/>
  <c r="AE84" i="46"/>
  <c r="AG297" i="1"/>
  <c r="AG7" i="25"/>
  <c r="AG4" i="26"/>
  <c r="AF299" i="1"/>
  <c r="AF117" i="25"/>
  <c r="AF116" i="25"/>
  <c r="AF126" i="25"/>
  <c r="AF137" i="25"/>
  <c r="AF127" i="25"/>
  <c r="AF136" i="25"/>
  <c r="AF161" i="22"/>
  <c r="AF163" i="22"/>
  <c r="AF168" i="22"/>
  <c r="AF173" i="22" s="1"/>
  <c r="AG10" i="25"/>
  <c r="AF32" i="46"/>
  <c r="AF74" i="46"/>
  <c r="AF67" i="46"/>
  <c r="AF53" i="46"/>
  <c r="AF60" i="46"/>
  <c r="AF46" i="46"/>
  <c r="AF18" i="46"/>
  <c r="AF39" i="46"/>
  <c r="AF25" i="46"/>
  <c r="AF81" i="46"/>
  <c r="AF94" i="26"/>
  <c r="AF59" i="47"/>
  <c r="AG298" i="1"/>
  <c r="AE341" i="46"/>
  <c r="AF162" i="22"/>
  <c r="AG299" i="1"/>
  <c r="AF36" i="22"/>
  <c r="AF153" i="22"/>
  <c r="AE342" i="46"/>
  <c r="AE348" i="46"/>
  <c r="AE346" i="46"/>
  <c r="AE349" i="46"/>
  <c r="AE344" i="46"/>
  <c r="AE350" i="46"/>
  <c r="AE345" i="46"/>
  <c r="AE347" i="46"/>
  <c r="AE343" i="46"/>
  <c r="AG46" i="26"/>
  <c r="AF45" i="21"/>
  <c r="AF84" i="46"/>
  <c r="AG168" i="22"/>
  <c r="AG173" i="22" s="1"/>
  <c r="AG39" i="46"/>
  <c r="AG53" i="46"/>
  <c r="AG25" i="46"/>
  <c r="AG60" i="46"/>
  <c r="AG32" i="46"/>
  <c r="AG81" i="46"/>
  <c r="AG46" i="46"/>
  <c r="AG18" i="46"/>
  <c r="AG67" i="46"/>
  <c r="AG74" i="46"/>
  <c r="AG117" i="25"/>
  <c r="AG127" i="25"/>
  <c r="AG116" i="25"/>
  <c r="AG136" i="25"/>
  <c r="AG137" i="25"/>
  <c r="AG79" i="26"/>
  <c r="AG126" i="25"/>
  <c r="AG63" i="26"/>
  <c r="AG102" i="26"/>
  <c r="AG52" i="26" s="1"/>
  <c r="AG161" i="22"/>
  <c r="AG174" i="22"/>
  <c r="AG78" i="26"/>
  <c r="AG121" i="22"/>
  <c r="AG153" i="22"/>
  <c r="AF350" i="46"/>
  <c r="AF344" i="46"/>
  <c r="AF343" i="46"/>
  <c r="AF346" i="46"/>
  <c r="AF349" i="46"/>
  <c r="AF341" i="46"/>
  <c r="AF347" i="46"/>
  <c r="AF345" i="46"/>
  <c r="AF348" i="46"/>
  <c r="AF342" i="46"/>
  <c r="AG45" i="21"/>
  <c r="AG84" i="46"/>
  <c r="AG347" i="46"/>
  <c r="AG345" i="46"/>
  <c r="AG344" i="46"/>
  <c r="AG348" i="46"/>
  <c r="AG350" i="46"/>
  <c r="AG342" i="46"/>
  <c r="AG349" i="46"/>
  <c r="AG343" i="46"/>
  <c r="AG346" i="46"/>
  <c r="AG341" i="46"/>
  <c r="K28" i="38"/>
  <c r="J27" i="38"/>
  <c r="J22" i="38"/>
  <c r="K33" i="38"/>
  <c r="K21" i="38"/>
  <c r="J29" i="38"/>
  <c r="J20" i="38"/>
  <c r="K25" i="38"/>
  <c r="K20" i="38"/>
  <c r="J21" i="38"/>
  <c r="J23" i="38"/>
  <c r="K22" i="38"/>
  <c r="K29" i="38"/>
  <c r="J30" i="38"/>
  <c r="J33" i="38"/>
  <c r="J25" i="38"/>
  <c r="J32" i="38"/>
  <c r="J24" i="38"/>
  <c r="J26" i="38"/>
  <c r="K26" i="38"/>
  <c r="K27" i="38"/>
  <c r="K24" i="38"/>
  <c r="J28" i="38"/>
  <c r="J31" i="38"/>
  <c r="K23" i="38"/>
  <c r="K32" i="38"/>
  <c r="L33" i="38"/>
  <c r="L29" i="38"/>
  <c r="L23" i="38"/>
  <c r="L24" i="38"/>
  <c r="L27" i="38"/>
  <c r="L32" i="38"/>
  <c r="L28" i="38"/>
  <c r="L26" i="38"/>
  <c r="O26" i="38"/>
  <c r="L25" i="38"/>
  <c r="L20" i="38"/>
  <c r="Q29" i="38"/>
  <c r="Q27" i="38"/>
  <c r="Q26" i="38"/>
  <c r="P28" i="38"/>
  <c r="R24" i="38"/>
  <c r="L22" i="38"/>
  <c r="L21" i="38"/>
  <c r="J14" i="38"/>
  <c r="J13" i="38"/>
  <c r="K13" i="38"/>
  <c r="L13" i="38"/>
  <c r="O13" i="38"/>
  <c r="J12" i="38"/>
  <c r="K12" i="38"/>
  <c r="L12" i="38"/>
  <c r="J11" i="38"/>
  <c r="K11" i="38"/>
  <c r="L11" i="38"/>
  <c r="N11" i="38"/>
  <c r="J43" i="38"/>
  <c r="L45" i="38"/>
  <c r="J41" i="38"/>
  <c r="J45" i="38"/>
  <c r="L44" i="38"/>
  <c r="L41" i="38"/>
  <c r="L51" i="38"/>
  <c r="M43" i="38"/>
  <c r="R44" i="38"/>
  <c r="U45" i="38"/>
  <c r="J51" i="38"/>
  <c r="K44" i="38"/>
  <c r="K45" i="38"/>
  <c r="N45" i="38"/>
  <c r="K41" i="38"/>
  <c r="J44" i="38"/>
  <c r="L43" i="38"/>
  <c r="K43" i="38"/>
  <c r="N41" i="38"/>
  <c r="K51" i="38"/>
  <c r="F213" i="1"/>
  <c r="I299" i="1"/>
  <c r="I6" i="26"/>
  <c r="H17" i="46"/>
  <c r="H16" i="46"/>
  <c r="H15" i="46"/>
  <c r="H20" i="21"/>
  <c r="H18" i="21"/>
  <c r="H19" i="21"/>
  <c r="H25" i="21"/>
  <c r="H26" i="21"/>
  <c r="H27" i="21"/>
  <c r="H32" i="21"/>
  <c r="H33" i="21"/>
  <c r="H34" i="21"/>
  <c r="H40" i="21"/>
  <c r="H39" i="21"/>
  <c r="H41" i="21"/>
  <c r="I327" i="46"/>
  <c r="I328" i="46"/>
  <c r="I326" i="46"/>
  <c r="I330" i="46"/>
  <c r="I329" i="46"/>
  <c r="J51" i="47"/>
  <c r="I17" i="24"/>
  <c r="I45" i="24"/>
  <c r="I20" i="24"/>
  <c r="I12" i="24"/>
  <c r="I14" i="24"/>
  <c r="I16" i="24"/>
  <c r="I13" i="24"/>
  <c r="I53" i="24"/>
  <c r="I11" i="24"/>
  <c r="I61" i="24"/>
  <c r="I25" i="24"/>
  <c r="I49" i="24"/>
  <c r="I29" i="24"/>
  <c r="I33" i="24"/>
  <c r="I57" i="24"/>
  <c r="I41" i="24"/>
  <c r="I13" i="23"/>
  <c r="I17" i="23"/>
  <c r="I14" i="23"/>
  <c r="I18" i="23"/>
  <c r="I19" i="23"/>
  <c r="I16" i="23"/>
  <c r="I15" i="23"/>
  <c r="I21" i="23"/>
  <c r="I20" i="23"/>
  <c r="I12" i="23"/>
  <c r="H14" i="46"/>
  <c r="I246" i="46"/>
  <c r="I241" i="46"/>
  <c r="I281" i="46"/>
  <c r="I321" i="46"/>
  <c r="I323" i="46"/>
  <c r="I318" i="46"/>
  <c r="I266" i="46"/>
  <c r="I276" i="46"/>
  <c r="I319" i="46"/>
  <c r="I322" i="46"/>
  <c r="I271" i="46"/>
  <c r="I261" i="46"/>
  <c r="I236" i="46"/>
  <c r="I251" i="46"/>
  <c r="I256" i="46"/>
  <c r="H38" i="21"/>
  <c r="H31" i="21"/>
  <c r="H17" i="21"/>
  <c r="H24" i="21"/>
  <c r="I84" i="22"/>
  <c r="I143" i="22"/>
  <c r="I115" i="22"/>
  <c r="I107" i="22"/>
  <c r="I142" i="22"/>
  <c r="I63" i="22"/>
  <c r="I83" i="22"/>
  <c r="I88" i="22"/>
  <c r="I87" i="22"/>
  <c r="I55" i="22"/>
  <c r="I128" i="22"/>
  <c r="I147" i="22"/>
  <c r="I25" i="22"/>
  <c r="I72" i="22"/>
  <c r="I74" i="22"/>
  <c r="I114" i="22"/>
  <c r="I44" i="22"/>
  <c r="I47" i="22"/>
  <c r="I58" i="22"/>
  <c r="I141" i="22"/>
  <c r="I96" i="22"/>
  <c r="I98" i="22"/>
  <c r="I59" i="22"/>
  <c r="I71" i="22"/>
  <c r="I109" i="22"/>
  <c r="I15" i="22"/>
  <c r="I45" i="22"/>
  <c r="I30" i="22"/>
  <c r="I81" i="22"/>
  <c r="I89" i="22"/>
  <c r="I13" i="22"/>
  <c r="I62" i="22"/>
  <c r="I24" i="22"/>
  <c r="I146" i="22"/>
  <c r="I131" i="22"/>
  <c r="I73" i="22"/>
  <c r="I57" i="22"/>
  <c r="I48" i="22"/>
  <c r="I139" i="22"/>
  <c r="I22" i="22"/>
  <c r="I130" i="22"/>
  <c r="I97" i="22"/>
  <c r="I46" i="22"/>
  <c r="I12" i="22"/>
  <c r="I111" i="22"/>
  <c r="I61" i="22"/>
  <c r="I70" i="22"/>
  <c r="I113" i="22"/>
  <c r="I28" i="22"/>
  <c r="I85" i="22"/>
  <c r="I110" i="22"/>
  <c r="I11" i="22"/>
  <c r="I129" i="22"/>
  <c r="I14" i="22"/>
  <c r="I29" i="22"/>
  <c r="I145" i="22"/>
  <c r="I132" i="22"/>
  <c r="I99" i="22"/>
  <c r="I26" i="22"/>
  <c r="I100" i="22"/>
  <c r="I55" i="25"/>
  <c r="H55" i="25" s="1"/>
  <c r="I54" i="25"/>
  <c r="J16" i="36" s="1"/>
  <c r="AX397" i="36" s="1"/>
  <c r="AZ397" i="36" s="1"/>
  <c r="I122" i="25"/>
  <c r="I75" i="25"/>
  <c r="I146" i="25"/>
  <c r="H146" i="25" s="1"/>
  <c r="I132" i="25"/>
  <c r="I50" i="25"/>
  <c r="I60" i="25"/>
  <c r="I142" i="25"/>
  <c r="I59" i="25"/>
  <c r="J17" i="36" s="1"/>
  <c r="AX398" i="36" s="1"/>
  <c r="AZ398" i="36" s="1"/>
  <c r="I49" i="25"/>
  <c r="H50" i="25" s="1"/>
  <c r="I59" i="44"/>
  <c r="I58" i="44"/>
  <c r="I56" i="44"/>
  <c r="I39" i="44"/>
  <c r="I49" i="44"/>
  <c r="I60" i="44"/>
  <c r="I65" i="44"/>
  <c r="I51" i="44"/>
  <c r="I41" i="44"/>
  <c r="I19" i="44"/>
  <c r="I61" i="44"/>
  <c r="I50" i="44"/>
  <c r="I26" i="44"/>
  <c r="I48" i="44"/>
  <c r="I37" i="44"/>
  <c r="I28" i="44"/>
  <c r="I24" i="44"/>
  <c r="I16" i="44"/>
  <c r="I40" i="44"/>
  <c r="I14" i="44"/>
  <c r="I17" i="44"/>
  <c r="I15" i="44"/>
  <c r="I35" i="44"/>
  <c r="I52" i="44"/>
  <c r="I38" i="44"/>
  <c r="I63" i="44"/>
  <c r="I27" i="44"/>
  <c r="I18" i="44"/>
  <c r="I64" i="44"/>
  <c r="I46" i="44"/>
  <c r="I62" i="44"/>
  <c r="I47" i="44"/>
  <c r="I101" i="22"/>
  <c r="K34" i="38"/>
  <c r="S28" i="38"/>
  <c r="T24" i="38"/>
  <c r="T29" i="38"/>
  <c r="T11" i="38"/>
  <c r="S26" i="38"/>
  <c r="J34" i="38"/>
  <c r="K18" i="38"/>
  <c r="K10" i="38"/>
  <c r="J18" i="38"/>
  <c r="J10" i="38"/>
  <c r="L18" i="38"/>
  <c r="L10" i="38"/>
  <c r="K19" i="38"/>
  <c r="J19" i="38"/>
  <c r="L19" i="38"/>
  <c r="J39" i="38"/>
  <c r="J42" i="38"/>
  <c r="J46" i="38"/>
  <c r="K14" i="38"/>
  <c r="K31" i="38"/>
  <c r="K30" i="38"/>
  <c r="K39" i="38"/>
  <c r="K42" i="38"/>
  <c r="K46" i="38"/>
  <c r="L14" i="38"/>
  <c r="L31" i="38"/>
  <c r="L30" i="38"/>
  <c r="L34" i="38"/>
  <c r="L39" i="38"/>
  <c r="L42" i="38"/>
  <c r="L46" i="38"/>
  <c r="AE107" i="26"/>
  <c r="AF106" i="26"/>
  <c r="AG107" i="26"/>
  <c r="AG122" i="26" s="1"/>
  <c r="AF65" i="47"/>
  <c r="AF69" i="47" s="1"/>
  <c r="AE65" i="47"/>
  <c r="AE48" i="26" s="1"/>
  <c r="AF48" i="26"/>
  <c r="AG48" i="26"/>
  <c r="M45" i="26" l="1"/>
  <c r="P44" i="35" s="1"/>
  <c r="M102" i="26"/>
  <c r="M52" i="26" s="1"/>
  <c r="I327" i="1"/>
  <c r="E327" i="1" s="1"/>
  <c r="F283" i="1" s="1"/>
  <c r="H283" i="1" s="1"/>
  <c r="AE59" i="26"/>
  <c r="AE111" i="26"/>
  <c r="Q111" i="26"/>
  <c r="Q59" i="26"/>
  <c r="O111" i="26"/>
  <c r="O59" i="26"/>
  <c r="C265" i="46"/>
  <c r="C250" i="46"/>
  <c r="C189" i="46"/>
  <c r="C115" i="46"/>
  <c r="C45" i="38"/>
  <c r="C145" i="26"/>
  <c r="AG8" i="6"/>
  <c r="AG17" i="6" s="1"/>
  <c r="AG9" i="6"/>
  <c r="U165" i="6"/>
  <c r="Y165" i="6"/>
  <c r="AC165" i="6"/>
  <c r="T144" i="6"/>
  <c r="V144" i="6"/>
  <c r="Q132" i="6"/>
  <c r="T132" i="6"/>
  <c r="AA132" i="6"/>
  <c r="AB132" i="6"/>
  <c r="J114" i="6"/>
  <c r="T114" i="6"/>
  <c r="W114" i="6"/>
  <c r="X114" i="6"/>
  <c r="U114" i="6"/>
  <c r="AE114" i="6"/>
  <c r="AG104" i="6"/>
  <c r="AB104" i="6"/>
  <c r="AC104" i="6"/>
  <c r="AF167" i="23"/>
  <c r="AF168" i="23" s="1"/>
  <c r="AF17" i="26"/>
  <c r="R70" i="24"/>
  <c r="R127" i="23" s="1"/>
  <c r="R128" i="23" s="1"/>
  <c r="R19" i="24"/>
  <c r="C245" i="46"/>
  <c r="C125" i="46"/>
  <c r="M96" i="26"/>
  <c r="P45" i="38" s="1"/>
  <c r="V45" i="38" s="1"/>
  <c r="AF114" i="6"/>
  <c r="AC157" i="6"/>
  <c r="Z160" i="6"/>
  <c r="Y132" i="6"/>
  <c r="W109" i="6"/>
  <c r="X151" i="6"/>
  <c r="Y151" i="6"/>
  <c r="T151" i="6"/>
  <c r="U151" i="6"/>
  <c r="S143" i="6"/>
  <c r="AA143" i="6"/>
  <c r="Q61" i="47"/>
  <c r="Q60" i="47"/>
  <c r="K121" i="21"/>
  <c r="J9" i="6"/>
  <c r="J29" i="47"/>
  <c r="J33" i="25" s="1"/>
  <c r="J10" i="6"/>
  <c r="Q308" i="46"/>
  <c r="K308" i="46"/>
  <c r="AF46" i="26"/>
  <c r="AF102" i="26"/>
  <c r="AF52" i="26" s="1"/>
  <c r="AF107" i="26"/>
  <c r="AF122" i="26" s="1"/>
  <c r="AB45" i="26"/>
  <c r="AB102" i="26"/>
  <c r="AB52" i="26" s="1"/>
  <c r="B119" i="21"/>
  <c r="B86" i="21"/>
  <c r="C162" i="46"/>
  <c r="C88" i="46"/>
  <c r="F216" i="1"/>
  <c r="F210" i="1"/>
  <c r="AG45" i="26"/>
  <c r="AG14" i="26"/>
  <c r="AG94" i="26"/>
  <c r="Y45" i="26"/>
  <c r="Y95" i="26"/>
  <c r="Y46" i="26"/>
  <c r="Q45" i="26"/>
  <c r="T44" i="35" s="1"/>
  <c r="Q46" i="26"/>
  <c r="T45" i="35" s="1"/>
  <c r="Q94" i="26"/>
  <c r="T43" i="38" s="1"/>
  <c r="N111" i="26"/>
  <c r="N59" i="26"/>
  <c r="C55" i="21"/>
  <c r="C213" i="46"/>
  <c r="J151" i="1"/>
  <c r="F272" i="1" s="1"/>
  <c r="H272" i="1" s="1"/>
  <c r="C17" i="39"/>
  <c r="C331" i="36"/>
  <c r="AC94" i="26"/>
  <c r="U102" i="26"/>
  <c r="U52" i="26" s="1"/>
  <c r="AD104" i="6"/>
  <c r="X144" i="6"/>
  <c r="L33" i="47"/>
  <c r="K51" i="47"/>
  <c r="T172" i="6"/>
  <c r="AB172" i="6"/>
  <c r="M46" i="26"/>
  <c r="P45" i="35" s="1"/>
  <c r="L8" i="6"/>
  <c r="L10" i="6"/>
  <c r="I321" i="1"/>
  <c r="F204" i="1"/>
  <c r="AG96" i="26"/>
  <c r="AF95" i="26"/>
  <c r="AG111" i="26"/>
  <c r="AG10" i="26"/>
  <c r="AE10" i="26"/>
  <c r="Y83" i="46"/>
  <c r="Y14" i="21" s="1"/>
  <c r="M111" i="26"/>
  <c r="C66" i="44"/>
  <c r="C255" i="46"/>
  <c r="C217" i="46"/>
  <c r="C97" i="21"/>
  <c r="C2" i="44"/>
  <c r="C119" i="46"/>
  <c r="C109" i="21"/>
  <c r="C36" i="23"/>
  <c r="B52" i="21"/>
  <c r="C167" i="46"/>
  <c r="C76" i="21"/>
  <c r="C98" i="46"/>
  <c r="C52" i="23"/>
  <c r="C146" i="21"/>
  <c r="C107" i="21"/>
  <c r="C169" i="46"/>
  <c r="C95" i="46"/>
  <c r="C102" i="46"/>
  <c r="C176" i="46"/>
  <c r="AC46" i="26"/>
  <c r="AB96" i="26"/>
  <c r="Y102" i="26"/>
  <c r="Y52" i="26" s="1"/>
  <c r="X95" i="26"/>
  <c r="U96" i="26"/>
  <c r="Q95" i="26"/>
  <c r="T44" i="38" s="1"/>
  <c r="M95" i="26"/>
  <c r="P44" i="38" s="1"/>
  <c r="AE109" i="6"/>
  <c r="AD172" i="6"/>
  <c r="AC169" i="6"/>
  <c r="AC132" i="6"/>
  <c r="AB114" i="6"/>
  <c r="X157" i="6"/>
  <c r="X135" i="6"/>
  <c r="U172" i="6"/>
  <c r="T165" i="6"/>
  <c r="T109" i="6"/>
  <c r="AF18" i="26"/>
  <c r="AC45" i="26"/>
  <c r="AE140" i="6"/>
  <c r="AA32" i="22"/>
  <c r="AA36" i="22"/>
  <c r="X10" i="6"/>
  <c r="X21" i="6" s="1"/>
  <c r="X161" i="6"/>
  <c r="X170" i="6"/>
  <c r="T9" i="6"/>
  <c r="T166" i="6"/>
  <c r="T10" i="6"/>
  <c r="T107" i="6"/>
  <c r="M155" i="6"/>
  <c r="T155" i="6"/>
  <c r="W155" i="6"/>
  <c r="L155" i="6"/>
  <c r="X155" i="6"/>
  <c r="AA155" i="6"/>
  <c r="AC155" i="6"/>
  <c r="J147" i="6"/>
  <c r="AB147" i="6"/>
  <c r="Z19" i="24"/>
  <c r="V121" i="21"/>
  <c r="R147" i="21"/>
  <c r="Q180" i="22"/>
  <c r="Q40" i="26" s="1"/>
  <c r="T39" i="35" s="1"/>
  <c r="L9" i="6"/>
  <c r="J67" i="6"/>
  <c r="AE69" i="47"/>
  <c r="I322" i="1"/>
  <c r="F215" i="1"/>
  <c r="AF174" i="22"/>
  <c r="AF96" i="26"/>
  <c r="AF111" i="26"/>
  <c r="AD174" i="22"/>
  <c r="AA161" i="22"/>
  <c r="Z59" i="26"/>
  <c r="Y10" i="26"/>
  <c r="X10" i="26"/>
  <c r="U111" i="26"/>
  <c r="O121" i="22"/>
  <c r="O10" i="26"/>
  <c r="M36" i="22"/>
  <c r="M163" i="22"/>
  <c r="I303" i="1"/>
  <c r="M59" i="26"/>
  <c r="J126" i="26"/>
  <c r="K35" i="47"/>
  <c r="C274" i="46"/>
  <c r="C277" i="46" s="1"/>
  <c r="C2" i="47"/>
  <c r="C56" i="21"/>
  <c r="C35" i="23"/>
  <c r="C2" i="46"/>
  <c r="C2" i="6"/>
  <c r="C103" i="21"/>
  <c r="C110" i="46"/>
  <c r="C184" i="46"/>
  <c r="C145" i="46"/>
  <c r="C219" i="46"/>
  <c r="AB46" i="26"/>
  <c r="U46" i="26"/>
  <c r="AC96" i="26"/>
  <c r="AB95" i="26"/>
  <c r="Y96" i="26"/>
  <c r="X94" i="26"/>
  <c r="U95" i="26"/>
  <c r="M94" i="26"/>
  <c r="P43" i="38" s="1"/>
  <c r="AF172" i="6"/>
  <c r="AF151" i="6"/>
  <c r="AF139" i="6"/>
  <c r="AF132" i="6"/>
  <c r="AE157" i="6"/>
  <c r="AC164" i="6"/>
  <c r="AC147" i="6"/>
  <c r="AC114" i="6"/>
  <c r="AB159" i="6"/>
  <c r="AB136" i="6"/>
  <c r="AB107" i="6"/>
  <c r="AB8" i="6"/>
  <c r="AB24" i="6" s="1"/>
  <c r="AA151" i="6"/>
  <c r="Z104" i="6"/>
  <c r="Y155" i="6"/>
  <c r="X150" i="6"/>
  <c r="X132" i="6"/>
  <c r="W157" i="6"/>
  <c r="W132" i="6"/>
  <c r="U152" i="6"/>
  <c r="U104" i="6"/>
  <c r="T159" i="6"/>
  <c r="T136" i="6"/>
  <c r="AC38" i="26"/>
  <c r="Y38" i="26"/>
  <c r="U45" i="26"/>
  <c r="AE162" i="22"/>
  <c r="AE121" i="22"/>
  <c r="Z121" i="22"/>
  <c r="V121" i="22"/>
  <c r="W8" i="6"/>
  <c r="W9" i="6"/>
  <c r="W16" i="6" s="1"/>
  <c r="W107" i="6"/>
  <c r="W133" i="6"/>
  <c r="W153" i="6"/>
  <c r="AG10" i="6"/>
  <c r="AG136" i="6"/>
  <c r="X136" i="6"/>
  <c r="AG132" i="6"/>
  <c r="X105" i="6"/>
  <c r="Y21" i="26"/>
  <c r="U39" i="24"/>
  <c r="U73" i="24" s="1"/>
  <c r="U15" i="26" s="1"/>
  <c r="AG21" i="26"/>
  <c r="T120" i="21"/>
  <c r="S121" i="21"/>
  <c r="R61" i="47"/>
  <c r="O147" i="6"/>
  <c r="R16" i="26"/>
  <c r="U15" i="35" s="1"/>
  <c r="R159" i="23"/>
  <c r="R160" i="23" s="1"/>
  <c r="T147" i="21"/>
  <c r="R131" i="21"/>
  <c r="R130" i="21"/>
  <c r="O121" i="21"/>
  <c r="L162" i="22"/>
  <c r="I170" i="22"/>
  <c r="I309" i="1"/>
  <c r="I315" i="1"/>
  <c r="I304" i="1"/>
  <c r="O102" i="26"/>
  <c r="K102" i="26"/>
  <c r="K52" i="26" s="1"/>
  <c r="AF38" i="26"/>
  <c r="AB38" i="26"/>
  <c r="AA180" i="22"/>
  <c r="AA40" i="26" s="1"/>
  <c r="X38" i="26"/>
  <c r="M89" i="25"/>
  <c r="AG141" i="6"/>
  <c r="W141" i="6"/>
  <c r="X141" i="6"/>
  <c r="J107" i="6"/>
  <c r="AC18" i="26"/>
  <c r="AA14" i="26"/>
  <c r="V305" i="46"/>
  <c r="V13" i="26"/>
  <c r="Y70" i="24"/>
  <c r="Y12" i="26" s="1"/>
  <c r="Y19" i="24"/>
  <c r="Q12" i="26"/>
  <c r="T11" i="35" s="1"/>
  <c r="Y121" i="21"/>
  <c r="AE130" i="21"/>
  <c r="W130" i="21"/>
  <c r="Z138" i="21"/>
  <c r="S131" i="21"/>
  <c r="R121" i="21"/>
  <c r="P38" i="26"/>
  <c r="S37" i="35" s="1"/>
  <c r="P16" i="26"/>
  <c r="S15" i="35" s="1"/>
  <c r="N9" i="6"/>
  <c r="N8" i="6"/>
  <c r="N21" i="6" s="1"/>
  <c r="L130" i="21"/>
  <c r="K121" i="22"/>
  <c r="K103" i="25"/>
  <c r="M103" i="25"/>
  <c r="S103" i="25"/>
  <c r="K16" i="26"/>
  <c r="N15" i="35" s="1"/>
  <c r="K159" i="23"/>
  <c r="AE38" i="26"/>
  <c r="U38" i="26"/>
  <c r="N153" i="6"/>
  <c r="N150" i="6"/>
  <c r="Q145" i="6"/>
  <c r="AB137" i="6"/>
  <c r="AG18" i="26"/>
  <c r="X121" i="21"/>
  <c r="AD130" i="21"/>
  <c r="Z131" i="21"/>
  <c r="V130" i="21"/>
  <c r="AD149" i="21"/>
  <c r="Z149" i="21"/>
  <c r="V149" i="21"/>
  <c r="S149" i="21"/>
  <c r="R121" i="22"/>
  <c r="Q120" i="21"/>
  <c r="P140" i="21"/>
  <c r="O38" i="26"/>
  <c r="R37" i="35" s="1"/>
  <c r="M130" i="21"/>
  <c r="L150" i="6"/>
  <c r="J162" i="22"/>
  <c r="V122" i="21"/>
  <c r="K126" i="26"/>
  <c r="L314" i="1"/>
  <c r="L317" i="1" s="1"/>
  <c r="L126" i="26" s="1"/>
  <c r="C161" i="21"/>
  <c r="C119" i="21"/>
  <c r="C198" i="46"/>
  <c r="C124" i="46"/>
  <c r="AC162" i="22"/>
  <c r="AC121" i="22"/>
  <c r="I63" i="24"/>
  <c r="I55" i="24"/>
  <c r="AE175" i="23"/>
  <c r="AE176" i="23" s="1"/>
  <c r="AE18" i="26"/>
  <c r="AD167" i="23"/>
  <c r="AD168" i="23" s="1"/>
  <c r="AD17" i="26"/>
  <c r="Z167" i="23"/>
  <c r="Z17" i="26"/>
  <c r="V309" i="46"/>
  <c r="V17" i="26"/>
  <c r="R17" i="26"/>
  <c r="U16" i="35" s="1"/>
  <c r="R167" i="23"/>
  <c r="R168" i="23" s="1"/>
  <c r="AG108" i="26"/>
  <c r="AE122" i="26"/>
  <c r="AE108" i="26"/>
  <c r="I47" i="24"/>
  <c r="AG59" i="26"/>
  <c r="AD59" i="26"/>
  <c r="AC59" i="26"/>
  <c r="AB10" i="26"/>
  <c r="Z10" i="26"/>
  <c r="W111" i="26"/>
  <c r="R83" i="46"/>
  <c r="Q10" i="26"/>
  <c r="O83" i="46"/>
  <c r="O14" i="21" s="1"/>
  <c r="L59" i="26"/>
  <c r="C131" i="46"/>
  <c r="C34" i="44"/>
  <c r="H81" i="1"/>
  <c r="B93" i="21"/>
  <c r="B128" i="21"/>
  <c r="C2" i="22"/>
  <c r="C2" i="35"/>
  <c r="C2" i="21"/>
  <c r="C2" i="39"/>
  <c r="C2" i="25"/>
  <c r="C3" i="36"/>
  <c r="C2" i="1"/>
  <c r="C2" i="38"/>
  <c r="C163" i="46"/>
  <c r="C89" i="46"/>
  <c r="C43" i="38"/>
  <c r="C143" i="26"/>
  <c r="AW398" i="36"/>
  <c r="C46" i="36"/>
  <c r="J168" i="6"/>
  <c r="Q168" i="6"/>
  <c r="O168" i="6"/>
  <c r="AC168" i="6"/>
  <c r="AD168" i="6"/>
  <c r="AE168" i="6"/>
  <c r="M168" i="6"/>
  <c r="T168" i="6"/>
  <c r="U168" i="6"/>
  <c r="W168" i="6"/>
  <c r="AB168" i="6"/>
  <c r="AG168" i="6"/>
  <c r="V168" i="6"/>
  <c r="X168" i="6"/>
  <c r="AA168" i="6"/>
  <c r="Z168" i="6"/>
  <c r="R164" i="6"/>
  <c r="AG164" i="6"/>
  <c r="T164" i="6"/>
  <c r="Y164" i="6"/>
  <c r="Z164" i="6"/>
  <c r="S164" i="6"/>
  <c r="W164" i="6"/>
  <c r="AB164" i="6"/>
  <c r="AF164" i="6"/>
  <c r="AE164" i="6"/>
  <c r="R156" i="6"/>
  <c r="U156" i="6"/>
  <c r="X156" i="6"/>
  <c r="AF156" i="6"/>
  <c r="Y156" i="6"/>
  <c r="Z156" i="6"/>
  <c r="AC156" i="6"/>
  <c r="V156" i="6"/>
  <c r="AA156" i="6"/>
  <c r="I178" i="22"/>
  <c r="I16" i="22"/>
  <c r="AC10" i="26"/>
  <c r="W59" i="26"/>
  <c r="R10" i="26"/>
  <c r="L10" i="26"/>
  <c r="K59" i="26"/>
  <c r="K111" i="26"/>
  <c r="C164" i="21"/>
  <c r="C73" i="21"/>
  <c r="C95" i="21"/>
  <c r="C61" i="21"/>
  <c r="C63" i="23"/>
  <c r="C64" i="23"/>
  <c r="C62" i="23"/>
  <c r="C200" i="46"/>
  <c r="C126" i="46"/>
  <c r="C221" i="46"/>
  <c r="C147" i="46"/>
  <c r="S28" i="47"/>
  <c r="O28" i="47"/>
  <c r="T28" i="47"/>
  <c r="Z28" i="47"/>
  <c r="V28" i="47"/>
  <c r="Y28" i="47"/>
  <c r="AB28" i="47"/>
  <c r="AD28" i="47"/>
  <c r="AF28" i="47"/>
  <c r="AD136" i="6"/>
  <c r="AD147" i="6"/>
  <c r="AD155" i="6"/>
  <c r="AD114" i="6"/>
  <c r="AD141" i="6"/>
  <c r="AD152" i="6"/>
  <c r="AD9" i="6"/>
  <c r="AD135" i="6"/>
  <c r="AD149" i="6"/>
  <c r="AD163" i="6"/>
  <c r="Z8" i="6"/>
  <c r="Z136" i="6"/>
  <c r="Z151" i="6"/>
  <c r="Z159" i="6"/>
  <c r="Z132" i="6"/>
  <c r="Z150" i="6"/>
  <c r="Z169" i="6"/>
  <c r="Z10" i="6"/>
  <c r="Z21" i="6" s="1"/>
  <c r="Z161" i="6"/>
  <c r="Z114" i="6"/>
  <c r="Z153" i="6"/>
  <c r="Z166" i="6"/>
  <c r="Z116" i="6"/>
  <c r="Z155" i="6"/>
  <c r="V107" i="6"/>
  <c r="V139" i="6"/>
  <c r="V150" i="6"/>
  <c r="V159" i="6"/>
  <c r="V166" i="6"/>
  <c r="V10" i="6"/>
  <c r="V114" i="6"/>
  <c r="V136" i="6"/>
  <c r="V157" i="6"/>
  <c r="V132" i="6"/>
  <c r="V155" i="6"/>
  <c r="V8" i="6"/>
  <c r="V135" i="6"/>
  <c r="V170" i="6"/>
  <c r="V9" i="6"/>
  <c r="V109" i="6"/>
  <c r="V141" i="6"/>
  <c r="V160" i="6"/>
  <c r="W171" i="6"/>
  <c r="Z171" i="6"/>
  <c r="AB171" i="6"/>
  <c r="N171" i="6"/>
  <c r="AD171" i="6"/>
  <c r="AE148" i="21"/>
  <c r="AE149" i="21"/>
  <c r="AY415" i="36"/>
  <c r="AY419" i="36" s="1"/>
  <c r="AX421" i="36"/>
  <c r="P61" i="47"/>
  <c r="P62" i="47" s="1"/>
  <c r="P60" i="47"/>
  <c r="J15" i="36"/>
  <c r="AX396" i="36" s="1"/>
  <c r="AZ396" i="36" s="1"/>
  <c r="AG83" i="46"/>
  <c r="AG14" i="21" s="1"/>
  <c r="T83" i="46"/>
  <c r="U59" i="26"/>
  <c r="R59" i="26"/>
  <c r="C53" i="21"/>
  <c r="C86" i="21"/>
  <c r="C281" i="46"/>
  <c r="C266" i="46"/>
  <c r="C271" i="46"/>
  <c r="C62" i="21"/>
  <c r="C96" i="21"/>
  <c r="C118" i="21"/>
  <c r="C51" i="21"/>
  <c r="C31" i="23"/>
  <c r="C30" i="23"/>
  <c r="C42" i="23"/>
  <c r="C43" i="23"/>
  <c r="C87" i="46"/>
  <c r="C161" i="46"/>
  <c r="C165" i="46"/>
  <c r="C91" i="46"/>
  <c r="C150" i="46"/>
  <c r="C224" i="46"/>
  <c r="I49" i="39"/>
  <c r="F351" i="46"/>
  <c r="F285" i="1" s="1"/>
  <c r="H285" i="1" s="1"/>
  <c r="H40" i="1"/>
  <c r="AE104" i="6"/>
  <c r="X104" i="6"/>
  <c r="S45" i="26"/>
  <c r="AF65" i="22"/>
  <c r="AD65" i="22"/>
  <c r="AB65" i="22"/>
  <c r="V160" i="22"/>
  <c r="AC8" i="6"/>
  <c r="AC20" i="6" s="1"/>
  <c r="AC136" i="6"/>
  <c r="AC151" i="6"/>
  <c r="AC159" i="6"/>
  <c r="AC107" i="6"/>
  <c r="Y9" i="6"/>
  <c r="Y139" i="6"/>
  <c r="Y150" i="6"/>
  <c r="Y157" i="6"/>
  <c r="Y170" i="6"/>
  <c r="Y8" i="6"/>
  <c r="Y20" i="6" s="1"/>
  <c r="Y114" i="6"/>
  <c r="Y136" i="6"/>
  <c r="Y163" i="6"/>
  <c r="Y169" i="6"/>
  <c r="U8" i="6"/>
  <c r="U132" i="6"/>
  <c r="U150" i="6"/>
  <c r="U169" i="6"/>
  <c r="U107" i="6"/>
  <c r="U139" i="6"/>
  <c r="U147" i="6"/>
  <c r="U155" i="6"/>
  <c r="M109" i="6"/>
  <c r="J109" i="6"/>
  <c r="R109" i="6"/>
  <c r="P109" i="6"/>
  <c r="U109" i="6"/>
  <c r="AA109" i="6"/>
  <c r="AC109" i="6"/>
  <c r="AD109" i="6"/>
  <c r="AF109" i="6"/>
  <c r="AG109" i="6"/>
  <c r="Z109" i="6"/>
  <c r="AB109" i="6"/>
  <c r="O109" i="6"/>
  <c r="N109" i="6"/>
  <c r="N139" i="21"/>
  <c r="V136" i="23"/>
  <c r="X96" i="26"/>
  <c r="X45" i="26"/>
  <c r="T95" i="26"/>
  <c r="T45" i="26"/>
  <c r="P45" i="26"/>
  <c r="S44" i="35" s="1"/>
  <c r="P46" i="26"/>
  <c r="S45" i="35" s="1"/>
  <c r="P95" i="26"/>
  <c r="S44" i="38" s="1"/>
  <c r="L45" i="26"/>
  <c r="O44" i="35" s="1"/>
  <c r="V44" i="35" s="1"/>
  <c r="L46" i="26"/>
  <c r="O45" i="35" s="1"/>
  <c r="L95" i="26"/>
  <c r="Y44" i="38" s="1"/>
  <c r="K145" i="6"/>
  <c r="S145" i="6"/>
  <c r="AG145" i="6"/>
  <c r="AA145" i="6"/>
  <c r="V145" i="6"/>
  <c r="W145" i="6"/>
  <c r="X145" i="6"/>
  <c r="Y145" i="6"/>
  <c r="J137" i="6"/>
  <c r="X137" i="6"/>
  <c r="W134" i="6"/>
  <c r="AA134" i="6"/>
  <c r="AC108" i="6"/>
  <c r="AE108" i="6"/>
  <c r="M104" i="6"/>
  <c r="K104" i="6"/>
  <c r="R104" i="6"/>
  <c r="O104" i="6"/>
  <c r="Y104" i="6"/>
  <c r="P104" i="6"/>
  <c r="T104" i="6"/>
  <c r="V104" i="6"/>
  <c r="W104" i="6"/>
  <c r="AA104" i="6"/>
  <c r="R9" i="6"/>
  <c r="R10" i="6"/>
  <c r="R20" i="6" s="1"/>
  <c r="R8" i="6"/>
  <c r="N104" i="6"/>
  <c r="N130" i="21"/>
  <c r="O129" i="21"/>
  <c r="O14" i="26"/>
  <c r="R13" i="35" s="1"/>
  <c r="O143" i="23"/>
  <c r="O144" i="23" s="1"/>
  <c r="J139" i="21"/>
  <c r="V139" i="21"/>
  <c r="AD139" i="21"/>
  <c r="O139" i="21"/>
  <c r="M139" i="21"/>
  <c r="AF139" i="21"/>
  <c r="S129" i="21"/>
  <c r="T129" i="21"/>
  <c r="AE45" i="26"/>
  <c r="AE46" i="26"/>
  <c r="AE102" i="26"/>
  <c r="AE52" i="26" s="1"/>
  <c r="AA45" i="26"/>
  <c r="AA102" i="26"/>
  <c r="AA52" i="26" s="1"/>
  <c r="AA46" i="26"/>
  <c r="W45" i="26"/>
  <c r="W102" i="26"/>
  <c r="W52" i="26" s="1"/>
  <c r="W46" i="26"/>
  <c r="I310" i="1"/>
  <c r="I316" i="1"/>
  <c r="AC83" i="46"/>
  <c r="X121" i="22"/>
  <c r="N83" i="46"/>
  <c r="N14" i="21" s="1"/>
  <c r="C97" i="46"/>
  <c r="C104" i="46"/>
  <c r="AE95" i="26"/>
  <c r="AA96" i="26"/>
  <c r="S95" i="26"/>
  <c r="AF145" i="6"/>
  <c r="AF104" i="6"/>
  <c r="AC145" i="6"/>
  <c r="AC134" i="6"/>
  <c r="Z145" i="6"/>
  <c r="Z108" i="6"/>
  <c r="Y172" i="6"/>
  <c r="Y159" i="6"/>
  <c r="Y141" i="6"/>
  <c r="Y109" i="6"/>
  <c r="W137" i="6"/>
  <c r="U159" i="6"/>
  <c r="U142" i="6"/>
  <c r="U112" i="6"/>
  <c r="T134" i="6"/>
  <c r="W38" i="26"/>
  <c r="Z65" i="22"/>
  <c r="J172" i="6"/>
  <c r="L172" i="6"/>
  <c r="M172" i="6"/>
  <c r="R172" i="6"/>
  <c r="X172" i="6"/>
  <c r="O172" i="6"/>
  <c r="AG172" i="6"/>
  <c r="V172" i="6"/>
  <c r="AA172" i="6"/>
  <c r="K165" i="6"/>
  <c r="X165" i="6"/>
  <c r="Z165" i="6"/>
  <c r="AA165" i="6"/>
  <c r="AF165" i="6"/>
  <c r="V165" i="6"/>
  <c r="AB144" i="6"/>
  <c r="AC144" i="6"/>
  <c r="S141" i="6"/>
  <c r="J141" i="6"/>
  <c r="K141" i="6"/>
  <c r="T141" i="6"/>
  <c r="U141" i="6"/>
  <c r="R141" i="6"/>
  <c r="AB141" i="6"/>
  <c r="N116" i="6"/>
  <c r="V116" i="6"/>
  <c r="W116" i="6"/>
  <c r="X116" i="6"/>
  <c r="Y116" i="6"/>
  <c r="AE116" i="6"/>
  <c r="U116" i="6"/>
  <c r="N112" i="6"/>
  <c r="Z112" i="6"/>
  <c r="AB112" i="6"/>
  <c r="O38" i="23"/>
  <c r="O40" i="23" s="1"/>
  <c r="O66" i="23" s="1"/>
  <c r="O39" i="24"/>
  <c r="X70" i="24"/>
  <c r="X19" i="24"/>
  <c r="X78" i="24" s="1"/>
  <c r="T78" i="24"/>
  <c r="AF147" i="21"/>
  <c r="AB147" i="21"/>
  <c r="X147" i="21"/>
  <c r="X148" i="21"/>
  <c r="R129" i="21"/>
  <c r="Q159" i="23"/>
  <c r="Q160" i="23" s="1"/>
  <c r="Q16" i="26"/>
  <c r="T15" i="35" s="1"/>
  <c r="M16" i="26"/>
  <c r="P15" i="35" s="1"/>
  <c r="M159" i="23"/>
  <c r="R59" i="47"/>
  <c r="K59" i="47"/>
  <c r="K62" i="47" s="1"/>
  <c r="X59" i="47"/>
  <c r="Y59" i="47"/>
  <c r="Z59" i="47"/>
  <c r="Z61" i="47" s="1"/>
  <c r="AB59" i="47"/>
  <c r="AB61" i="47" s="1"/>
  <c r="P59" i="47"/>
  <c r="R169" i="6"/>
  <c r="S155" i="6"/>
  <c r="O155" i="6"/>
  <c r="L114" i="6"/>
  <c r="AG114" i="6"/>
  <c r="M114" i="6"/>
  <c r="AA17" i="26"/>
  <c r="AE306" i="46"/>
  <c r="AA306" i="46"/>
  <c r="AA143" i="23"/>
  <c r="AA144" i="23" s="1"/>
  <c r="W14" i="26"/>
  <c r="S306" i="46"/>
  <c r="AD305" i="46"/>
  <c r="AD135" i="23"/>
  <c r="AD136" i="23" s="1"/>
  <c r="R135" i="23"/>
  <c r="R136" i="23" s="1"/>
  <c r="R13" i="26"/>
  <c r="U12" i="35" s="1"/>
  <c r="AC70" i="24"/>
  <c r="AC12" i="26" s="1"/>
  <c r="AC19" i="24"/>
  <c r="AC78" i="24" s="1"/>
  <c r="AC103" i="23" s="1"/>
  <c r="AC120" i="23" s="1"/>
  <c r="U70" i="24"/>
  <c r="U304" i="46" s="1"/>
  <c r="U19" i="24"/>
  <c r="M70" i="24"/>
  <c r="M127" i="23" s="1"/>
  <c r="M128" i="23" s="1"/>
  <c r="M19" i="24"/>
  <c r="M78" i="24" s="1"/>
  <c r="M103" i="23" s="1"/>
  <c r="M120" i="23" s="1"/>
  <c r="S38" i="26"/>
  <c r="Q149" i="22"/>
  <c r="Q32" i="22"/>
  <c r="K8" i="6"/>
  <c r="K9" i="6"/>
  <c r="J15" i="25"/>
  <c r="J135" i="22"/>
  <c r="J18" i="22"/>
  <c r="K18" i="22" s="1"/>
  <c r="L18" i="22" s="1"/>
  <c r="T169" i="6"/>
  <c r="AB180" i="22"/>
  <c r="AB40" i="26" s="1"/>
  <c r="AA38" i="26"/>
  <c r="T180" i="22"/>
  <c r="T40" i="26" s="1"/>
  <c r="J308" i="1"/>
  <c r="J311" i="1" s="1"/>
  <c r="AE149" i="22"/>
  <c r="AC32" i="22"/>
  <c r="X117" i="22"/>
  <c r="AD167" i="6"/>
  <c r="J159" i="6"/>
  <c r="K159" i="6"/>
  <c r="N159" i="6"/>
  <c r="P159" i="6"/>
  <c r="AG155" i="6"/>
  <c r="Z140" i="6"/>
  <c r="R136" i="6"/>
  <c r="AG38" i="23"/>
  <c r="AG40" i="23" s="1"/>
  <c r="AG66" i="23" s="1"/>
  <c r="AG39" i="24"/>
  <c r="AG73" i="24" s="1"/>
  <c r="AG15" i="26" s="1"/>
  <c r="S10" i="6"/>
  <c r="S17" i="6" s="1"/>
  <c r="AF121" i="21"/>
  <c r="AF122" i="21"/>
  <c r="AB139" i="21"/>
  <c r="T139" i="21"/>
  <c r="S114" i="6"/>
  <c r="R147" i="6"/>
  <c r="N61" i="47"/>
  <c r="N60" i="47"/>
  <c r="N62" i="47" s="1"/>
  <c r="K139" i="21"/>
  <c r="W149" i="22"/>
  <c r="W143" i="23"/>
  <c r="N135" i="23"/>
  <c r="N136" i="23" s="1"/>
  <c r="J25" i="6"/>
  <c r="J61" i="47"/>
  <c r="J60" i="47"/>
  <c r="AC148" i="21"/>
  <c r="AG148" i="21"/>
  <c r="J305" i="46"/>
  <c r="R305" i="46"/>
  <c r="AE138" i="21"/>
  <c r="AA138" i="21"/>
  <c r="W138" i="21"/>
  <c r="S153" i="6"/>
  <c r="Q38" i="26"/>
  <c r="T37" i="35" s="1"/>
  <c r="P147" i="21"/>
  <c r="L38" i="26"/>
  <c r="O37" i="35" s="1"/>
  <c r="K132" i="6"/>
  <c r="K160" i="23"/>
  <c r="S16" i="26"/>
  <c r="S139" i="6"/>
  <c r="AC313" i="46"/>
  <c r="M200" i="23"/>
  <c r="X306" i="46"/>
  <c r="AE13" i="26"/>
  <c r="AA13" i="26"/>
  <c r="S13" i="26"/>
  <c r="Z139" i="21"/>
  <c r="Q147" i="21"/>
  <c r="Q129" i="21"/>
  <c r="P153" i="6"/>
  <c r="P180" i="22"/>
  <c r="P40" i="26" s="1"/>
  <c r="S39" i="35" s="1"/>
  <c r="P120" i="21"/>
  <c r="O138" i="21"/>
  <c r="N148" i="21"/>
  <c r="M38" i="26"/>
  <c r="N160" i="23"/>
  <c r="J132" i="6"/>
  <c r="J130" i="21"/>
  <c r="L35" i="47"/>
  <c r="M33" i="47"/>
  <c r="AE61" i="47"/>
  <c r="L51" i="47"/>
  <c r="AF61" i="47"/>
  <c r="V61" i="47"/>
  <c r="T61" i="47"/>
  <c r="AG55" i="47"/>
  <c r="Y61" i="47"/>
  <c r="X61" i="47"/>
  <c r="AC61" i="47"/>
  <c r="AA61" i="47"/>
  <c r="W61" i="47"/>
  <c r="U61" i="47"/>
  <c r="AC21" i="6"/>
  <c r="C38" i="39"/>
  <c r="J47" i="38"/>
  <c r="R52" i="26"/>
  <c r="I117" i="25"/>
  <c r="J85" i="25"/>
  <c r="H60" i="25"/>
  <c r="I127" i="25"/>
  <c r="I136" i="25"/>
  <c r="I103" i="25"/>
  <c r="AC180" i="22"/>
  <c r="AC40" i="26" s="1"/>
  <c r="Z180" i="22"/>
  <c r="Z40" i="26" s="1"/>
  <c r="Z14" i="25"/>
  <c r="Z64" i="26" s="1"/>
  <c r="W180" i="22"/>
  <c r="W40" i="26" s="1"/>
  <c r="W14" i="25"/>
  <c r="W64" i="26" s="1"/>
  <c r="AD149" i="22"/>
  <c r="AD163" i="22"/>
  <c r="AA149" i="22"/>
  <c r="AA163" i="22"/>
  <c r="Y162" i="22"/>
  <c r="Y121" i="22"/>
  <c r="O160" i="22"/>
  <c r="L282" i="36"/>
  <c r="AE163" i="22"/>
  <c r="AC161" i="22"/>
  <c r="O272" i="36" s="1"/>
  <c r="AB174" i="22"/>
  <c r="AB163" i="22"/>
  <c r="V36" i="22"/>
  <c r="L174" i="22"/>
  <c r="AC25" i="25"/>
  <c r="AC78" i="26" s="1"/>
  <c r="AC174" i="22"/>
  <c r="AF32" i="22"/>
  <c r="W160" i="22"/>
  <c r="U149" i="22"/>
  <c r="U153" i="22"/>
  <c r="U160" i="22"/>
  <c r="T149" i="22"/>
  <c r="S65" i="22"/>
  <c r="Q14" i="25"/>
  <c r="Q64" i="26" s="1"/>
  <c r="T13" i="38" s="1"/>
  <c r="O180" i="22"/>
  <c r="O40" i="26" s="1"/>
  <c r="R39" i="35" s="1"/>
  <c r="N32" i="22"/>
  <c r="N161" i="22"/>
  <c r="I179" i="22"/>
  <c r="L274" i="36"/>
  <c r="AE25" i="25"/>
  <c r="AE78" i="26" s="1"/>
  <c r="AE174" i="22"/>
  <c r="O25" i="25"/>
  <c r="O78" i="26" s="1"/>
  <c r="R27" i="38" s="1"/>
  <c r="O174" i="22"/>
  <c r="J38" i="26"/>
  <c r="L264" i="36"/>
  <c r="I166" i="22"/>
  <c r="O282" i="36"/>
  <c r="AC36" i="22"/>
  <c r="AA153" i="22"/>
  <c r="T174" i="22"/>
  <c r="O36" i="22"/>
  <c r="AA14" i="25"/>
  <c r="AA64" i="26" s="1"/>
  <c r="AF180" i="22"/>
  <c r="AF40" i="26" s="1"/>
  <c r="AF14" i="25"/>
  <c r="AF64" i="26" s="1"/>
  <c r="P65" i="22"/>
  <c r="O65" i="22"/>
  <c r="V65" i="22"/>
  <c r="R65" i="22"/>
  <c r="N149" i="22"/>
  <c r="N160" i="22"/>
  <c r="N180" i="22"/>
  <c r="N40" i="26" s="1"/>
  <c r="Q39" i="35" s="1"/>
  <c r="L149" i="22"/>
  <c r="W121" i="22"/>
  <c r="W162" i="22"/>
  <c r="T36" i="22"/>
  <c r="Q161" i="22"/>
  <c r="J174" i="22"/>
  <c r="J175" i="22" s="1"/>
  <c r="AG180" i="22"/>
  <c r="AG40" i="26" s="1"/>
  <c r="X180" i="22"/>
  <c r="X40" i="26" s="1"/>
  <c r="AF149" i="22"/>
  <c r="AB162" i="22"/>
  <c r="AA65" i="22"/>
  <c r="W32" i="22"/>
  <c r="S117" i="22"/>
  <c r="AG149" i="22"/>
  <c r="S180" i="22"/>
  <c r="S40" i="26" s="1"/>
  <c r="P149" i="22"/>
  <c r="J103" i="22"/>
  <c r="K104" i="22" s="1"/>
  <c r="K105" i="22" s="1"/>
  <c r="AE180" i="22"/>
  <c r="AE40" i="26" s="1"/>
  <c r="AF91" i="22"/>
  <c r="AA121" i="22"/>
  <c r="Z149" i="22"/>
  <c r="AG65" i="22"/>
  <c r="R149" i="22"/>
  <c r="K149" i="22"/>
  <c r="AD66" i="44"/>
  <c r="AD35" i="26" s="1"/>
  <c r="AD164" i="6"/>
  <c r="J170" i="6"/>
  <c r="O170" i="6"/>
  <c r="Q170" i="6"/>
  <c r="R170" i="6"/>
  <c r="AG170" i="6"/>
  <c r="W170" i="6"/>
  <c r="Z170" i="6"/>
  <c r="P170" i="6"/>
  <c r="T170" i="6"/>
  <c r="AB170" i="6"/>
  <c r="AD170" i="6"/>
  <c r="J152" i="6"/>
  <c r="P152" i="6"/>
  <c r="AG152" i="6"/>
  <c r="AA152" i="6"/>
  <c r="AC152" i="6"/>
  <c r="AE152" i="6"/>
  <c r="O152" i="6"/>
  <c r="V152" i="6"/>
  <c r="W152" i="6"/>
  <c r="X152" i="6"/>
  <c r="Z152" i="6"/>
  <c r="M134" i="6"/>
  <c r="AG134" i="6"/>
  <c r="U134" i="6"/>
  <c r="V134" i="6"/>
  <c r="AB134" i="6"/>
  <c r="AF134" i="6"/>
  <c r="N134" i="6"/>
  <c r="P134" i="6"/>
  <c r="X134" i="6"/>
  <c r="Y134" i="6"/>
  <c r="AD134" i="6"/>
  <c r="Q161" i="6"/>
  <c r="AF170" i="6"/>
  <c r="AD140" i="6"/>
  <c r="AB161" i="6"/>
  <c r="AB152" i="6"/>
  <c r="Y152" i="6"/>
  <c r="U170" i="6"/>
  <c r="I25" i="44"/>
  <c r="Y166" i="6"/>
  <c r="AB166" i="6"/>
  <c r="AC166" i="6"/>
  <c r="AF166" i="6"/>
  <c r="AG166" i="6"/>
  <c r="U166" i="6"/>
  <c r="W166" i="6"/>
  <c r="X166" i="6"/>
  <c r="AA166" i="6"/>
  <c r="J166" i="6"/>
  <c r="W163" i="6"/>
  <c r="AA163" i="6"/>
  <c r="L163" i="6"/>
  <c r="M163" i="6"/>
  <c r="S163" i="6"/>
  <c r="Z163" i="6"/>
  <c r="AB163" i="6"/>
  <c r="AF148" i="6"/>
  <c r="AG148" i="6"/>
  <c r="AE148" i="6"/>
  <c r="S144" i="6"/>
  <c r="AA144" i="6"/>
  <c r="AE144" i="6"/>
  <c r="Q144" i="6"/>
  <c r="Z144" i="6"/>
  <c r="AD144" i="6"/>
  <c r="R166" i="6"/>
  <c r="X66" i="44"/>
  <c r="X35" i="26" s="1"/>
  <c r="X164" i="6"/>
  <c r="P161" i="6"/>
  <c r="AG161" i="6"/>
  <c r="T161" i="6"/>
  <c r="U161" i="6"/>
  <c r="V161" i="6"/>
  <c r="Y161" i="6"/>
  <c r="AD161" i="6"/>
  <c r="AF161" i="6"/>
  <c r="J161" i="6"/>
  <c r="AE161" i="6"/>
  <c r="L143" i="6"/>
  <c r="AG143" i="6"/>
  <c r="X143" i="6"/>
  <c r="Y143" i="6"/>
  <c r="M143" i="6"/>
  <c r="R143" i="6"/>
  <c r="T143" i="6"/>
  <c r="U143" i="6"/>
  <c r="V143" i="6"/>
  <c r="W143" i="6"/>
  <c r="AB143" i="6"/>
  <c r="AC143" i="6"/>
  <c r="V140" i="6"/>
  <c r="AC140" i="6"/>
  <c r="Y140" i="6"/>
  <c r="S134" i="6"/>
  <c r="R161" i="6"/>
  <c r="R134" i="6"/>
  <c r="Q152" i="6"/>
  <c r="L134" i="6"/>
  <c r="AF167" i="6"/>
  <c r="AF143" i="6"/>
  <c r="AE170" i="6"/>
  <c r="AD143" i="6"/>
  <c r="AC170" i="6"/>
  <c r="AB158" i="6"/>
  <c r="AA170" i="6"/>
  <c r="AA161" i="6"/>
  <c r="Z143" i="6"/>
  <c r="Z134" i="6"/>
  <c r="W161" i="6"/>
  <c r="T152" i="6"/>
  <c r="M171" i="6"/>
  <c r="Y171" i="6"/>
  <c r="AE171" i="6"/>
  <c r="AF171" i="6"/>
  <c r="AA171" i="6"/>
  <c r="O157" i="6"/>
  <c r="AA157" i="6"/>
  <c r="J157" i="6"/>
  <c r="AG157" i="6"/>
  <c r="T157" i="6"/>
  <c r="U157" i="6"/>
  <c r="Z157" i="6"/>
  <c r="AB157" i="6"/>
  <c r="AD157" i="6"/>
  <c r="AF157" i="6"/>
  <c r="AB153" i="6"/>
  <c r="AD153" i="6"/>
  <c r="L153" i="6"/>
  <c r="Y153" i="6"/>
  <c r="O139" i="6"/>
  <c r="T139" i="6"/>
  <c r="W139" i="6"/>
  <c r="AA139" i="6"/>
  <c r="AB139" i="6"/>
  <c r="AE139" i="6"/>
  <c r="AG139" i="6"/>
  <c r="X139" i="6"/>
  <c r="Z139" i="6"/>
  <c r="AD139" i="6"/>
  <c r="Z135" i="6"/>
  <c r="AC135" i="6"/>
  <c r="T135" i="6"/>
  <c r="AA135" i="6"/>
  <c r="AE135" i="6"/>
  <c r="S171" i="6"/>
  <c r="R157" i="6"/>
  <c r="P171" i="6"/>
  <c r="P139" i="6"/>
  <c r="N143" i="6"/>
  <c r="S172" i="6"/>
  <c r="S150" i="6"/>
  <c r="S132" i="6"/>
  <c r="R168" i="6"/>
  <c r="R159" i="6"/>
  <c r="R132" i="6"/>
  <c r="Q164" i="6"/>
  <c r="Q156" i="6"/>
  <c r="P155" i="6"/>
  <c r="O164" i="6"/>
  <c r="N172" i="6"/>
  <c r="N155" i="6"/>
  <c r="M164" i="6"/>
  <c r="M150" i="6"/>
  <c r="L168" i="6"/>
  <c r="K156" i="6"/>
  <c r="K136" i="6"/>
  <c r="S168" i="6"/>
  <c r="S136" i="6"/>
  <c r="Q159" i="6"/>
  <c r="Q150" i="6"/>
  <c r="P172" i="6"/>
  <c r="N168" i="6"/>
  <c r="M159" i="6"/>
  <c r="L159" i="6"/>
  <c r="K168" i="6"/>
  <c r="AF83" i="46"/>
  <c r="AF14" i="21" s="1"/>
  <c r="S107" i="6"/>
  <c r="Q107" i="6"/>
  <c r="P116" i="6"/>
  <c r="M107" i="6"/>
  <c r="L107" i="6"/>
  <c r="K116" i="6"/>
  <c r="AE83" i="46"/>
  <c r="AE14" i="21" s="1"/>
  <c r="AE44" i="21" s="1"/>
  <c r="AA83" i="46"/>
  <c r="U83" i="46"/>
  <c r="U84" i="46" s="1"/>
  <c r="P83" i="46"/>
  <c r="P14" i="21" s="1"/>
  <c r="P44" i="21" s="1"/>
  <c r="AD112" i="6"/>
  <c r="AC116" i="6"/>
  <c r="AA112" i="6"/>
  <c r="Z107" i="6"/>
  <c r="Y112" i="6"/>
  <c r="T116" i="6"/>
  <c r="AG112" i="6"/>
  <c r="S104" i="6"/>
  <c r="R114" i="6"/>
  <c r="Q116" i="6"/>
  <c r="Q104" i="6"/>
  <c r="P112" i="6"/>
  <c r="O114" i="6"/>
  <c r="N114" i="6"/>
  <c r="M116" i="6"/>
  <c r="L116" i="6"/>
  <c r="L104" i="6"/>
  <c r="K114" i="6"/>
  <c r="J116" i="6"/>
  <c r="J104" i="6"/>
  <c r="W83" i="46"/>
  <c r="W84" i="46" s="1"/>
  <c r="Q112" i="6"/>
  <c r="L112" i="6"/>
  <c r="K112" i="6"/>
  <c r="K83" i="46"/>
  <c r="K14" i="21" s="1"/>
  <c r="K44" i="21" s="1"/>
  <c r="B27" i="46"/>
  <c r="AF116" i="6"/>
  <c r="AE107" i="6"/>
  <c r="AD116" i="6"/>
  <c r="AD107" i="6"/>
  <c r="AC112" i="6"/>
  <c r="AB116" i="6"/>
  <c r="AA116" i="6"/>
  <c r="AA107" i="6"/>
  <c r="Y107" i="6"/>
  <c r="AG116" i="6"/>
  <c r="AG107" i="6"/>
  <c r="S109" i="6"/>
  <c r="R107" i="6"/>
  <c r="Q109" i="6"/>
  <c r="P107" i="6"/>
  <c r="O107" i="6"/>
  <c r="N107" i="6"/>
  <c r="M112" i="6"/>
  <c r="L109" i="6"/>
  <c r="K109" i="6"/>
  <c r="J112" i="6"/>
  <c r="K91" i="23"/>
  <c r="K117" i="23" s="1"/>
  <c r="W107" i="23"/>
  <c r="O107" i="23"/>
  <c r="AG131" i="21"/>
  <c r="N140" i="21"/>
  <c r="J121" i="21"/>
  <c r="M131" i="21"/>
  <c r="AC120" i="21"/>
  <c r="O44" i="21"/>
  <c r="T148" i="21"/>
  <c r="N131" i="21"/>
  <c r="U199" i="23"/>
  <c r="U200" i="23" s="1"/>
  <c r="U21" i="26"/>
  <c r="P143" i="23"/>
  <c r="P144" i="23" s="1"/>
  <c r="P306" i="46"/>
  <c r="P14" i="26"/>
  <c r="S13" i="35" s="1"/>
  <c r="AF12" i="26"/>
  <c r="AF127" i="23"/>
  <c r="AF128" i="23" s="1"/>
  <c r="AG13" i="26"/>
  <c r="AG305" i="46"/>
  <c r="AA199" i="23"/>
  <c r="AA21" i="26"/>
  <c r="AB38" i="23"/>
  <c r="AB40" i="23" s="1"/>
  <c r="AB66" i="23" s="1"/>
  <c r="W66" i="23"/>
  <c r="W313" i="46"/>
  <c r="K79" i="24"/>
  <c r="K199" i="23" s="1"/>
  <c r="K200" i="23" s="1"/>
  <c r="I28" i="23"/>
  <c r="AD70" i="24"/>
  <c r="AD12" i="26" s="1"/>
  <c r="I26" i="23"/>
  <c r="Y65" i="24"/>
  <c r="AG65" i="24"/>
  <c r="AF20" i="6"/>
  <c r="X14" i="26"/>
  <c r="W21" i="26"/>
  <c r="V19" i="24"/>
  <c r="V78" i="24" s="1"/>
  <c r="J19" i="24"/>
  <c r="Q39" i="24"/>
  <c r="Q73" i="24" s="1"/>
  <c r="Q88" i="24" s="1"/>
  <c r="N19" i="6"/>
  <c r="W199" i="23"/>
  <c r="W200" i="23" s="1"/>
  <c r="V167" i="23"/>
  <c r="Y38" i="23"/>
  <c r="Y40" i="23" s="1"/>
  <c r="Y66" i="23" s="1"/>
  <c r="AE143" i="23"/>
  <c r="AE144" i="23" s="1"/>
  <c r="S143" i="23"/>
  <c r="S144" i="23" s="1"/>
  <c r="Z135" i="23"/>
  <c r="Z136" i="23" s="1"/>
  <c r="O313" i="46"/>
  <c r="O308" i="46"/>
  <c r="O306" i="46"/>
  <c r="AC199" i="23"/>
  <c r="AC200" i="23" s="1"/>
  <c r="AE17" i="6"/>
  <c r="T20" i="6"/>
  <c r="AB19" i="24"/>
  <c r="AB78" i="24" s="1"/>
  <c r="AB93" i="24" s="1"/>
  <c r="AF39" i="24"/>
  <c r="AF73" i="24" s="1"/>
  <c r="AF151" i="23" s="1"/>
  <c r="AF152" i="23" s="1"/>
  <c r="P19" i="6"/>
  <c r="O21" i="26"/>
  <c r="R20" i="35" s="1"/>
  <c r="N17" i="26"/>
  <c r="Q16" i="35" s="1"/>
  <c r="O199" i="23"/>
  <c r="O200" i="23" s="1"/>
  <c r="S159" i="23"/>
  <c r="N38" i="23"/>
  <c r="N40" i="23" s="1"/>
  <c r="N66" i="23" s="1"/>
  <c r="X143" i="23"/>
  <c r="X144" i="23" s="1"/>
  <c r="AE310" i="46"/>
  <c r="K89" i="25"/>
  <c r="O89" i="25"/>
  <c r="S89" i="25"/>
  <c r="N89" i="25"/>
  <c r="R89" i="25"/>
  <c r="T89" i="25"/>
  <c r="W89" i="25"/>
  <c r="AG91" i="22"/>
  <c r="W91" i="22"/>
  <c r="R91" i="22"/>
  <c r="AE91" i="22"/>
  <c r="F92" i="25"/>
  <c r="E95" i="25"/>
  <c r="J138" i="21"/>
  <c r="M138" i="21"/>
  <c r="V138" i="21"/>
  <c r="AD138" i="21"/>
  <c r="N138" i="21"/>
  <c r="Y138" i="21"/>
  <c r="AG138" i="21"/>
  <c r="X122" i="21"/>
  <c r="O122" i="21"/>
  <c r="AD122" i="21"/>
  <c r="F203" i="1"/>
  <c r="F212" i="1"/>
  <c r="AG89" i="25"/>
  <c r="C246" i="46"/>
  <c r="C261" i="46"/>
  <c r="C185" i="46"/>
  <c r="B117" i="21"/>
  <c r="C93" i="46"/>
  <c r="C234" i="46"/>
  <c r="C237" i="46" s="1"/>
  <c r="C70" i="21"/>
  <c r="I152" i="26"/>
  <c r="I136" i="26"/>
  <c r="C50" i="23"/>
  <c r="C254" i="46"/>
  <c r="C257" i="46" s="1"/>
  <c r="J165" i="1"/>
  <c r="F273" i="1" s="1"/>
  <c r="H273" i="1" s="1"/>
  <c r="V89" i="25"/>
  <c r="AF24" i="6"/>
  <c r="AE24" i="6"/>
  <c r="AD21" i="6"/>
  <c r="P89" i="25"/>
  <c r="J139" i="25"/>
  <c r="J141" i="25" s="1"/>
  <c r="R44" i="35"/>
  <c r="R149" i="21"/>
  <c r="K122" i="21"/>
  <c r="V168" i="23"/>
  <c r="L55" i="47"/>
  <c r="J140" i="21"/>
  <c r="X140" i="21"/>
  <c r="AA140" i="21"/>
  <c r="AF140" i="21"/>
  <c r="O140" i="21"/>
  <c r="J131" i="21"/>
  <c r="L131" i="21"/>
  <c r="U131" i="21"/>
  <c r="Y131" i="21"/>
  <c r="K131" i="21"/>
  <c r="O131" i="21"/>
  <c r="V131" i="21"/>
  <c r="AC131" i="21"/>
  <c r="J308" i="46"/>
  <c r="M308" i="46"/>
  <c r="R308" i="46"/>
  <c r="N308" i="46"/>
  <c r="S308" i="46"/>
  <c r="K25" i="6"/>
  <c r="L25" i="6" s="1"/>
  <c r="J51" i="22"/>
  <c r="K51" i="22" s="1"/>
  <c r="L51" i="22" s="1"/>
  <c r="J52" i="22"/>
  <c r="J53" i="22" s="1"/>
  <c r="O149" i="21"/>
  <c r="AG149" i="21"/>
  <c r="M149" i="21"/>
  <c r="Q149" i="21"/>
  <c r="U149" i="21"/>
  <c r="W149" i="21"/>
  <c r="L120" i="21"/>
  <c r="V120" i="21"/>
  <c r="AB120" i="21"/>
  <c r="Q71" i="23"/>
  <c r="Q112" i="23" s="1"/>
  <c r="V91" i="23"/>
  <c r="H69" i="23"/>
  <c r="I69" i="23" s="1"/>
  <c r="R91" i="23"/>
  <c r="R117" i="23" s="1"/>
  <c r="F205" i="1"/>
  <c r="AG351" i="46"/>
  <c r="C30" i="21"/>
  <c r="C276" i="46"/>
  <c r="C211" i="46"/>
  <c r="C59" i="23"/>
  <c r="C275" i="1"/>
  <c r="C103" i="46"/>
  <c r="C269" i="46"/>
  <c r="C272" i="46" s="1"/>
  <c r="C102" i="21"/>
  <c r="C94" i="21"/>
  <c r="I33" i="39"/>
  <c r="AB89" i="25"/>
  <c r="Y89" i="25"/>
  <c r="L89" i="25"/>
  <c r="J129" i="25"/>
  <c r="J131" i="25" s="1"/>
  <c r="J104" i="22"/>
  <c r="J105" i="22" s="1"/>
  <c r="F108" i="1"/>
  <c r="F90" i="25" s="1"/>
  <c r="K90" i="25" s="1"/>
  <c r="U28" i="47"/>
  <c r="W28" i="47"/>
  <c r="X28" i="47"/>
  <c r="Q28" i="47"/>
  <c r="AA28" i="47"/>
  <c r="AC28" i="47"/>
  <c r="AE28" i="47"/>
  <c r="AE122" i="21"/>
  <c r="W122" i="21"/>
  <c r="Y149" i="21"/>
  <c r="P138" i="21"/>
  <c r="K138" i="21"/>
  <c r="J89" i="25"/>
  <c r="J101" i="25" s="1"/>
  <c r="J104" i="25" s="1"/>
  <c r="J29" i="25" s="1"/>
  <c r="J82" i="26" s="1"/>
  <c r="M31" i="38" s="1"/>
  <c r="S160" i="23"/>
  <c r="O160" i="23"/>
  <c r="L160" i="23"/>
  <c r="Y24" i="6"/>
  <c r="J59" i="47"/>
  <c r="J62" i="47" s="1"/>
  <c r="L59" i="47"/>
  <c r="L62" i="47" s="1"/>
  <c r="M59" i="47"/>
  <c r="AG59" i="47"/>
  <c r="AG61" i="47" s="1"/>
  <c r="Q59" i="47"/>
  <c r="Q62" i="47" s="1"/>
  <c r="S59" i="47"/>
  <c r="S61" i="47" s="1"/>
  <c r="AD59" i="47"/>
  <c r="AD61" i="47" s="1"/>
  <c r="M55" i="47"/>
  <c r="T55" i="47"/>
  <c r="E90" i="25"/>
  <c r="L148" i="21"/>
  <c r="M148" i="21"/>
  <c r="Q148" i="21"/>
  <c r="U148" i="21"/>
  <c r="W148" i="21"/>
  <c r="AB148" i="21"/>
  <c r="P148" i="21"/>
  <c r="Y148" i="21"/>
  <c r="AA148" i="21"/>
  <c r="AF148" i="21"/>
  <c r="J129" i="21"/>
  <c r="M129" i="21"/>
  <c r="Z129" i="21"/>
  <c r="AD20" i="6"/>
  <c r="X20" i="6"/>
  <c r="Y152" i="23"/>
  <c r="AG144" i="23"/>
  <c r="AG129" i="21"/>
  <c r="AC129" i="21"/>
  <c r="Y129" i="21"/>
  <c r="U129" i="21"/>
  <c r="S140" i="21"/>
  <c r="R140" i="21"/>
  <c r="Q138" i="21"/>
  <c r="N120" i="21"/>
  <c r="L138" i="21"/>
  <c r="Z168" i="23"/>
  <c r="N168" i="23"/>
  <c r="W144" i="23"/>
  <c r="W55" i="47"/>
  <c r="J119" i="25"/>
  <c r="J121" i="25" s="1"/>
  <c r="S19" i="6"/>
  <c r="AC122" i="21"/>
  <c r="U122" i="21"/>
  <c r="AE131" i="21"/>
  <c r="AA131" i="21"/>
  <c r="W131" i="21"/>
  <c r="AG140" i="21"/>
  <c r="AC140" i="21"/>
  <c r="Y140" i="21"/>
  <c r="U140" i="21"/>
  <c r="S122" i="21"/>
  <c r="R120" i="21"/>
  <c r="P129" i="21"/>
  <c r="K148" i="21"/>
  <c r="K129" i="21"/>
  <c r="AA200" i="23"/>
  <c r="L168" i="23"/>
  <c r="P160" i="23"/>
  <c r="M160" i="23"/>
  <c r="M49" i="47"/>
  <c r="M50" i="47" s="1"/>
  <c r="AC55" i="47"/>
  <c r="S55" i="47"/>
  <c r="AB55" i="47"/>
  <c r="AG24" i="6"/>
  <c r="AF21" i="6"/>
  <c r="AB20" i="6"/>
  <c r="U20" i="6"/>
  <c r="S51" i="38"/>
  <c r="T51" i="38"/>
  <c r="K47" i="38"/>
  <c r="I102" i="26"/>
  <c r="L47" i="38"/>
  <c r="N51" i="38"/>
  <c r="M29" i="38"/>
  <c r="I27" i="25"/>
  <c r="I32" i="25"/>
  <c r="AC45" i="36"/>
  <c r="L35" i="38"/>
  <c r="I22" i="25"/>
  <c r="U43" i="38"/>
  <c r="V43" i="38" s="1"/>
  <c r="I126" i="25"/>
  <c r="K80" i="26"/>
  <c r="J79" i="26"/>
  <c r="M28" i="38" s="1"/>
  <c r="V28" i="38" s="1"/>
  <c r="L63" i="26"/>
  <c r="O12" i="38" s="1"/>
  <c r="V12" i="38" s="1"/>
  <c r="J38" i="36"/>
  <c r="J75" i="26"/>
  <c r="M24" i="38" s="1"/>
  <c r="V24" i="38" s="1"/>
  <c r="AC42" i="36"/>
  <c r="Z43" i="38"/>
  <c r="R51" i="38"/>
  <c r="O52" i="26"/>
  <c r="W44" i="38"/>
  <c r="J52" i="26"/>
  <c r="M51" i="38"/>
  <c r="Z51" i="38"/>
  <c r="J92" i="26"/>
  <c r="I137" i="25"/>
  <c r="W43" i="38"/>
  <c r="I12" i="25"/>
  <c r="O44" i="38"/>
  <c r="V44" i="38" s="1"/>
  <c r="V11" i="38"/>
  <c r="N52" i="26"/>
  <c r="Q51" i="38"/>
  <c r="X43" i="38"/>
  <c r="I116" i="25"/>
  <c r="J138" i="25"/>
  <c r="J128" i="25"/>
  <c r="J118" i="25"/>
  <c r="J15" i="38"/>
  <c r="Y12" i="38"/>
  <c r="I173" i="22"/>
  <c r="J77" i="26"/>
  <c r="I24" i="25"/>
  <c r="Y149" i="22"/>
  <c r="Y160" i="22"/>
  <c r="L117" i="22"/>
  <c r="U117" i="22"/>
  <c r="W117" i="22"/>
  <c r="Y117" i="22"/>
  <c r="AF117" i="22"/>
  <c r="V117" i="22"/>
  <c r="Z117" i="22"/>
  <c r="I169" i="22"/>
  <c r="I49" i="22"/>
  <c r="AG162" i="22"/>
  <c r="AD153" i="22"/>
  <c r="Y153" i="22"/>
  <c r="S121" i="22"/>
  <c r="S162" i="22"/>
  <c r="M153" i="22"/>
  <c r="M161" i="22"/>
  <c r="AD117" i="22"/>
  <c r="AC117" i="22"/>
  <c r="Z91" i="22"/>
  <c r="Z160" i="22"/>
  <c r="T65" i="22"/>
  <c r="T160" i="22"/>
  <c r="T162" i="22"/>
  <c r="T121" i="22"/>
  <c r="AG117" i="22"/>
  <c r="S91" i="22"/>
  <c r="V91" i="22"/>
  <c r="X91" i="22"/>
  <c r="AB91" i="22"/>
  <c r="O91" i="22"/>
  <c r="T91" i="22"/>
  <c r="Y91" i="22"/>
  <c r="AC91" i="22"/>
  <c r="Q91" i="22"/>
  <c r="Q162" i="22"/>
  <c r="P117" i="22"/>
  <c r="M160" i="22"/>
  <c r="J117" i="22"/>
  <c r="J14" i="25"/>
  <c r="J180" i="22"/>
  <c r="I168" i="22"/>
  <c r="Y163" i="22"/>
  <c r="I163" i="22" s="1"/>
  <c r="C10" i="39"/>
  <c r="C323" i="36"/>
  <c r="S160" i="22"/>
  <c r="AB117" i="22"/>
  <c r="AA117" i="22"/>
  <c r="AA160" i="22"/>
  <c r="X65" i="22"/>
  <c r="X160" i="22"/>
  <c r="R180" i="22"/>
  <c r="R40" i="26" s="1"/>
  <c r="U39" i="35" s="1"/>
  <c r="R14" i="25"/>
  <c r="R64" i="26" s="1"/>
  <c r="U13" i="38" s="1"/>
  <c r="K117" i="22"/>
  <c r="K77" i="22"/>
  <c r="L77" i="22" s="1"/>
  <c r="M77" i="22" s="1"/>
  <c r="N77" i="22" s="1"/>
  <c r="O77" i="22" s="1"/>
  <c r="K15" i="38"/>
  <c r="I133" i="22"/>
  <c r="O264" i="36"/>
  <c r="I75" i="22"/>
  <c r="AF121" i="22"/>
  <c r="AA162" i="22"/>
  <c r="C11" i="39"/>
  <c r="C324" i="36"/>
  <c r="AC65" i="22"/>
  <c r="AC160" i="22"/>
  <c r="AA91" i="22"/>
  <c r="U91" i="22"/>
  <c r="U162" i="22"/>
  <c r="T117" i="22"/>
  <c r="P162" i="22"/>
  <c r="P121" i="22"/>
  <c r="K25" i="25"/>
  <c r="K174" i="22"/>
  <c r="K160" i="22"/>
  <c r="K32" i="22"/>
  <c r="K161" i="22"/>
  <c r="K36" i="22"/>
  <c r="O32" i="22"/>
  <c r="S32" i="22"/>
  <c r="V32" i="22"/>
  <c r="X32" i="22"/>
  <c r="AB32" i="22"/>
  <c r="AE32" i="22"/>
  <c r="U32" i="22"/>
  <c r="AD180" i="22"/>
  <c r="AD40" i="26" s="1"/>
  <c r="V180" i="22"/>
  <c r="V40" i="26" s="1"/>
  <c r="U180" i="22"/>
  <c r="U40" i="26" s="1"/>
  <c r="AE65" i="22"/>
  <c r="AE160" i="22"/>
  <c r="AD32" i="22"/>
  <c r="AD160" i="22"/>
  <c r="N117" i="22"/>
  <c r="AG160" i="22"/>
  <c r="AG32" i="22"/>
  <c r="R160" i="22"/>
  <c r="R32" i="22"/>
  <c r="Q160" i="22"/>
  <c r="O117" i="22"/>
  <c r="L160" i="22"/>
  <c r="L32" i="22"/>
  <c r="L180" i="22"/>
  <c r="L40" i="26" s="1"/>
  <c r="O39" i="35" s="1"/>
  <c r="S149" i="22"/>
  <c r="V149" i="22"/>
  <c r="X149" i="22"/>
  <c r="AB149" i="22"/>
  <c r="J136" i="22"/>
  <c r="Y180" i="22"/>
  <c r="Y40" i="26" s="1"/>
  <c r="AE117" i="22"/>
  <c r="AD91" i="22"/>
  <c r="AB160" i="22"/>
  <c r="Z32" i="22"/>
  <c r="U65" i="22"/>
  <c r="W65" i="22"/>
  <c r="Y65" i="22"/>
  <c r="R117" i="22"/>
  <c r="Q117" i="22"/>
  <c r="P160" i="22"/>
  <c r="P32" i="22"/>
  <c r="M180" i="22"/>
  <c r="M40" i="26" s="1"/>
  <c r="P39" i="35" s="1"/>
  <c r="K180" i="22"/>
  <c r="K40" i="26" s="1"/>
  <c r="N39" i="35" s="1"/>
  <c r="K14" i="25"/>
  <c r="K64" i="26" s="1"/>
  <c r="N13" i="38" s="1"/>
  <c r="J160" i="22"/>
  <c r="M117" i="22"/>
  <c r="J19" i="22"/>
  <c r="L65" i="22"/>
  <c r="J78" i="22"/>
  <c r="S13" i="44"/>
  <c r="T13" i="44" s="1"/>
  <c r="U13" i="44" s="1"/>
  <c r="V13" i="44" s="1"/>
  <c r="W13" i="44" s="1"/>
  <c r="X13" i="44" s="1"/>
  <c r="Y13" i="44" s="1"/>
  <c r="Z13" i="44" s="1"/>
  <c r="AA13" i="44" s="1"/>
  <c r="AB13" i="44" s="1"/>
  <c r="J167" i="6"/>
  <c r="K167" i="6"/>
  <c r="Q167" i="6"/>
  <c r="P167" i="6"/>
  <c r="AG167" i="6"/>
  <c r="U167" i="6"/>
  <c r="L167" i="6"/>
  <c r="M167" i="6"/>
  <c r="N167" i="6"/>
  <c r="R167" i="6"/>
  <c r="T167" i="6"/>
  <c r="V167" i="6"/>
  <c r="X167" i="6"/>
  <c r="AC167" i="6"/>
  <c r="J158" i="6"/>
  <c r="K158" i="6"/>
  <c r="Q158" i="6"/>
  <c r="O158" i="6"/>
  <c r="AG158" i="6"/>
  <c r="U158" i="6"/>
  <c r="L158" i="6"/>
  <c r="M158" i="6"/>
  <c r="N158" i="6"/>
  <c r="R158" i="6"/>
  <c r="T158" i="6"/>
  <c r="V158" i="6"/>
  <c r="X158" i="6"/>
  <c r="AC158" i="6"/>
  <c r="AF158" i="6"/>
  <c r="J149" i="6"/>
  <c r="K149" i="6"/>
  <c r="Q149" i="6"/>
  <c r="P149" i="6"/>
  <c r="AG149" i="6"/>
  <c r="U149" i="6"/>
  <c r="L149" i="6"/>
  <c r="M149" i="6"/>
  <c r="N149" i="6"/>
  <c r="T149" i="6"/>
  <c r="V149" i="6"/>
  <c r="X149" i="6"/>
  <c r="AC149" i="6"/>
  <c r="AF149" i="6"/>
  <c r="O140" i="6"/>
  <c r="J140" i="6"/>
  <c r="R140" i="6"/>
  <c r="Q140" i="6"/>
  <c r="AG140" i="6"/>
  <c r="W140" i="6"/>
  <c r="U140" i="6"/>
  <c r="AF140" i="6"/>
  <c r="O131" i="6"/>
  <c r="J131" i="6"/>
  <c r="R131" i="6"/>
  <c r="AG131" i="6"/>
  <c r="P131" i="6"/>
  <c r="AF131" i="6"/>
  <c r="S140" i="6"/>
  <c r="P140" i="6"/>
  <c r="O149" i="6"/>
  <c r="N140" i="6"/>
  <c r="M131" i="6"/>
  <c r="K140" i="6"/>
  <c r="AB140" i="6"/>
  <c r="X140" i="6"/>
  <c r="W158" i="6"/>
  <c r="L169" i="6"/>
  <c r="M169" i="6"/>
  <c r="N169" i="6"/>
  <c r="O169" i="6"/>
  <c r="P169" i="6"/>
  <c r="K169" i="6"/>
  <c r="S169" i="6"/>
  <c r="AG169" i="6"/>
  <c r="W169" i="6"/>
  <c r="AB169" i="6"/>
  <c r="AD169" i="6"/>
  <c r="AE169" i="6"/>
  <c r="L160" i="6"/>
  <c r="M160" i="6"/>
  <c r="N160" i="6"/>
  <c r="O160" i="6"/>
  <c r="P160" i="6"/>
  <c r="K160" i="6"/>
  <c r="S160" i="6"/>
  <c r="AG160" i="6"/>
  <c r="Q160" i="6"/>
  <c r="W160" i="6"/>
  <c r="AB160" i="6"/>
  <c r="AD160" i="6"/>
  <c r="AE160" i="6"/>
  <c r="L151" i="6"/>
  <c r="M151" i="6"/>
  <c r="N151" i="6"/>
  <c r="O151" i="6"/>
  <c r="P151" i="6"/>
  <c r="K151" i="6"/>
  <c r="R151" i="6"/>
  <c r="S151" i="6"/>
  <c r="AG151" i="6"/>
  <c r="W151" i="6"/>
  <c r="AB151" i="6"/>
  <c r="AD151" i="6"/>
  <c r="AE151" i="6"/>
  <c r="K142" i="6"/>
  <c r="L142" i="6"/>
  <c r="M142" i="6"/>
  <c r="N142" i="6"/>
  <c r="J142" i="6"/>
  <c r="O142" i="6"/>
  <c r="P142" i="6"/>
  <c r="AG142" i="6"/>
  <c r="T142" i="6"/>
  <c r="V142" i="6"/>
  <c r="S142" i="6"/>
  <c r="Y142" i="6"/>
  <c r="Z142" i="6"/>
  <c r="AA142" i="6"/>
  <c r="AE142" i="6"/>
  <c r="K133" i="6"/>
  <c r="L133" i="6"/>
  <c r="M133" i="6"/>
  <c r="N133" i="6"/>
  <c r="J133" i="6"/>
  <c r="O133" i="6"/>
  <c r="Q133" i="6"/>
  <c r="AG133" i="6"/>
  <c r="T133" i="6"/>
  <c r="V133" i="6"/>
  <c r="R133" i="6"/>
  <c r="S133" i="6"/>
  <c r="Y133" i="6"/>
  <c r="Z133" i="6"/>
  <c r="AA133" i="6"/>
  <c r="AE133" i="6"/>
  <c r="O167" i="6"/>
  <c r="L131" i="6"/>
  <c r="J151" i="6"/>
  <c r="AF169" i="6"/>
  <c r="AF160" i="6"/>
  <c r="AF142" i="6"/>
  <c r="AE167" i="6"/>
  <c r="AE149" i="6"/>
  <c r="AD142" i="6"/>
  <c r="AD133" i="6"/>
  <c r="AC160" i="6"/>
  <c r="AC142" i="6"/>
  <c r="AC133" i="6"/>
  <c r="AB167" i="6"/>
  <c r="AB149" i="6"/>
  <c r="AA164" i="6"/>
  <c r="V169" i="6"/>
  <c r="V151" i="6"/>
  <c r="U160" i="6"/>
  <c r="J171" i="6"/>
  <c r="K171" i="6"/>
  <c r="Q171" i="6"/>
  <c r="AG171" i="6"/>
  <c r="U171" i="6"/>
  <c r="O171" i="6"/>
  <c r="R171" i="6"/>
  <c r="T171" i="6"/>
  <c r="V171" i="6"/>
  <c r="X171" i="6"/>
  <c r="AC171" i="6"/>
  <c r="J163" i="6"/>
  <c r="K163" i="6"/>
  <c r="Q163" i="6"/>
  <c r="AG163" i="6"/>
  <c r="U163" i="6"/>
  <c r="P163" i="6"/>
  <c r="R163" i="6"/>
  <c r="T163" i="6"/>
  <c r="V163" i="6"/>
  <c r="X163" i="6"/>
  <c r="AC163" i="6"/>
  <c r="J153" i="6"/>
  <c r="K153" i="6"/>
  <c r="Q153" i="6"/>
  <c r="AG153" i="6"/>
  <c r="U153" i="6"/>
  <c r="O153" i="6"/>
  <c r="T153" i="6"/>
  <c r="V153" i="6"/>
  <c r="X153" i="6"/>
  <c r="AC153" i="6"/>
  <c r="AF153" i="6"/>
  <c r="O144" i="6"/>
  <c r="J144" i="6"/>
  <c r="R144" i="6"/>
  <c r="L144" i="6"/>
  <c r="M144" i="6"/>
  <c r="N144" i="6"/>
  <c r="AG144" i="6"/>
  <c r="W144" i="6"/>
  <c r="K144" i="6"/>
  <c r="U144" i="6"/>
  <c r="AF144" i="6"/>
  <c r="O135" i="6"/>
  <c r="J135" i="6"/>
  <c r="R135" i="6"/>
  <c r="L135" i="6"/>
  <c r="M135" i="6"/>
  <c r="N135" i="6"/>
  <c r="P135" i="6"/>
  <c r="AG135" i="6"/>
  <c r="W135" i="6"/>
  <c r="K135" i="6"/>
  <c r="Q135" i="6"/>
  <c r="U135" i="6"/>
  <c r="AF135" i="6"/>
  <c r="S131" i="6"/>
  <c r="R160" i="6"/>
  <c r="R153" i="6"/>
  <c r="R142" i="6"/>
  <c r="Q169" i="6"/>
  <c r="Q151" i="6"/>
  <c r="Q142" i="6"/>
  <c r="Q131" i="6"/>
  <c r="P158" i="6"/>
  <c r="P147" i="6"/>
  <c r="N163" i="6"/>
  <c r="N131" i="6"/>
  <c r="M140" i="6"/>
  <c r="J160" i="6"/>
  <c r="I57" i="44"/>
  <c r="AD158" i="6"/>
  <c r="AB142" i="6"/>
  <c r="AB133" i="6"/>
  <c r="AA167" i="6"/>
  <c r="AA158" i="6"/>
  <c r="AA149" i="6"/>
  <c r="Z167" i="6"/>
  <c r="Z158" i="6"/>
  <c r="Z149" i="6"/>
  <c r="Y167" i="6"/>
  <c r="Y158" i="6"/>
  <c r="Y149" i="6"/>
  <c r="X160" i="6"/>
  <c r="X142" i="6"/>
  <c r="X133" i="6"/>
  <c r="W167" i="6"/>
  <c r="W149" i="6"/>
  <c r="W142" i="6"/>
  <c r="U133" i="6"/>
  <c r="T160" i="6"/>
  <c r="T140" i="6"/>
  <c r="U66" i="44"/>
  <c r="U35" i="26" s="1"/>
  <c r="U164" i="6"/>
  <c r="N66" i="44"/>
  <c r="N35" i="26" s="1"/>
  <c r="Q34" i="35" s="1"/>
  <c r="N164" i="6"/>
  <c r="L164" i="6"/>
  <c r="L66" i="44"/>
  <c r="L35" i="26" s="1"/>
  <c r="L165" i="6"/>
  <c r="M165" i="6"/>
  <c r="N165" i="6"/>
  <c r="O165" i="6"/>
  <c r="P165" i="6"/>
  <c r="Q165" i="6"/>
  <c r="S165" i="6"/>
  <c r="AG165" i="6"/>
  <c r="J165" i="6"/>
  <c r="W165" i="6"/>
  <c r="AB165" i="6"/>
  <c r="AD165" i="6"/>
  <c r="AE165" i="6"/>
  <c r="L156" i="6"/>
  <c r="M156" i="6"/>
  <c r="N156" i="6"/>
  <c r="O156" i="6"/>
  <c r="P156" i="6"/>
  <c r="S156" i="6"/>
  <c r="AG156" i="6"/>
  <c r="J156" i="6"/>
  <c r="W156" i="6"/>
  <c r="AB156" i="6"/>
  <c r="AD156" i="6"/>
  <c r="AE156" i="6"/>
  <c r="K147" i="6"/>
  <c r="L147" i="6"/>
  <c r="M147" i="6"/>
  <c r="N147" i="6"/>
  <c r="AG147" i="6"/>
  <c r="T147" i="6"/>
  <c r="V147" i="6"/>
  <c r="Q147" i="6"/>
  <c r="S147" i="6"/>
  <c r="Y147" i="6"/>
  <c r="Z147" i="6"/>
  <c r="AA147" i="6"/>
  <c r="AE147" i="6"/>
  <c r="K137" i="6"/>
  <c r="L137" i="6"/>
  <c r="M137" i="6"/>
  <c r="N137" i="6"/>
  <c r="R137" i="6"/>
  <c r="AG137" i="6"/>
  <c r="T137" i="6"/>
  <c r="V137" i="6"/>
  <c r="P137" i="6"/>
  <c r="S137" i="6"/>
  <c r="Y137" i="6"/>
  <c r="Z137" i="6"/>
  <c r="AA137" i="6"/>
  <c r="AE137" i="6"/>
  <c r="S167" i="6"/>
  <c r="S158" i="6"/>
  <c r="S149" i="6"/>
  <c r="S135" i="6"/>
  <c r="R165" i="6"/>
  <c r="R149" i="6"/>
  <c r="Q137" i="6"/>
  <c r="P164" i="6"/>
  <c r="P144" i="6"/>
  <c r="P133" i="6"/>
  <c r="O163" i="6"/>
  <c r="O137" i="6"/>
  <c r="M153" i="6"/>
  <c r="L171" i="6"/>
  <c r="L140" i="6"/>
  <c r="K131" i="6"/>
  <c r="J169" i="6"/>
  <c r="K170" i="6"/>
  <c r="L170" i="6"/>
  <c r="M170" i="6"/>
  <c r="N170" i="6"/>
  <c r="K166" i="6"/>
  <c r="L166" i="6"/>
  <c r="M166" i="6"/>
  <c r="N166" i="6"/>
  <c r="J164" i="6"/>
  <c r="K161" i="6"/>
  <c r="L161" i="6"/>
  <c r="M161" i="6"/>
  <c r="N161" i="6"/>
  <c r="K157" i="6"/>
  <c r="L157" i="6"/>
  <c r="M157" i="6"/>
  <c r="N157" i="6"/>
  <c r="J155" i="6"/>
  <c r="R155" i="6"/>
  <c r="K152" i="6"/>
  <c r="L152" i="6"/>
  <c r="M152" i="6"/>
  <c r="N152" i="6"/>
  <c r="O150" i="6"/>
  <c r="J150" i="6"/>
  <c r="R150" i="6"/>
  <c r="L145" i="6"/>
  <c r="M145" i="6"/>
  <c r="N145" i="6"/>
  <c r="O145" i="6"/>
  <c r="P145" i="6"/>
  <c r="J143" i="6"/>
  <c r="K143" i="6"/>
  <c r="Q143" i="6"/>
  <c r="L141" i="6"/>
  <c r="M141" i="6"/>
  <c r="N141" i="6"/>
  <c r="O141" i="6"/>
  <c r="P141" i="6"/>
  <c r="J139" i="6"/>
  <c r="K139" i="6"/>
  <c r="Q139" i="6"/>
  <c r="L136" i="6"/>
  <c r="M136" i="6"/>
  <c r="N136" i="6"/>
  <c r="O136" i="6"/>
  <c r="P136" i="6"/>
  <c r="J134" i="6"/>
  <c r="K134" i="6"/>
  <c r="Q134" i="6"/>
  <c r="L132" i="6"/>
  <c r="M132" i="6"/>
  <c r="N132" i="6"/>
  <c r="O132" i="6"/>
  <c r="P132" i="6"/>
  <c r="S170" i="6"/>
  <c r="S166" i="6"/>
  <c r="S161" i="6"/>
  <c r="S157" i="6"/>
  <c r="S152" i="6"/>
  <c r="R152" i="6"/>
  <c r="R145" i="6"/>
  <c r="R139" i="6"/>
  <c r="Q172" i="6"/>
  <c r="Q166" i="6"/>
  <c r="Q155" i="6"/>
  <c r="Q141" i="6"/>
  <c r="P168" i="6"/>
  <c r="P157" i="6"/>
  <c r="P150" i="6"/>
  <c r="P143" i="6"/>
  <c r="O166" i="6"/>
  <c r="O159" i="6"/>
  <c r="O143" i="6"/>
  <c r="O134" i="6"/>
  <c r="N139" i="6"/>
  <c r="M139" i="6"/>
  <c r="L139" i="6"/>
  <c r="K172" i="6"/>
  <c r="K164" i="6"/>
  <c r="K155" i="6"/>
  <c r="J145" i="6"/>
  <c r="J136" i="6"/>
  <c r="L35" i="35"/>
  <c r="AA14" i="21"/>
  <c r="AA44" i="21" s="1"/>
  <c r="AC14" i="21"/>
  <c r="AC44" i="21" s="1"/>
  <c r="AE317" i="46"/>
  <c r="AF317" i="46" s="1"/>
  <c r="AG317" i="46" s="1"/>
  <c r="X83" i="46"/>
  <c r="Y84" i="46" s="1"/>
  <c r="S83" i="46"/>
  <c r="Q83" i="46"/>
  <c r="AG111" i="6"/>
  <c r="AE111" i="6"/>
  <c r="V84" i="46"/>
  <c r="AF111" i="6"/>
  <c r="L113" i="6"/>
  <c r="P113" i="6"/>
  <c r="Q113" i="6"/>
  <c r="J113" i="6"/>
  <c r="K113" i="6"/>
  <c r="X113" i="6"/>
  <c r="AD113" i="6"/>
  <c r="N113" i="6"/>
  <c r="O113" i="6"/>
  <c r="R113" i="6"/>
  <c r="AG113" i="6"/>
  <c r="U113" i="6"/>
  <c r="V113" i="6"/>
  <c r="T113" i="6"/>
  <c r="AB113" i="6"/>
  <c r="AF113" i="6"/>
  <c r="S113" i="6"/>
  <c r="Z113" i="6"/>
  <c r="AC113" i="6"/>
  <c r="M103" i="6"/>
  <c r="L103" i="6"/>
  <c r="P103" i="6"/>
  <c r="Q103" i="6"/>
  <c r="V103" i="6"/>
  <c r="AB103" i="6"/>
  <c r="J103" i="6"/>
  <c r="K103" i="6"/>
  <c r="AG103" i="6"/>
  <c r="W103" i="6"/>
  <c r="Z103" i="6"/>
  <c r="AA103" i="6"/>
  <c r="AC103" i="6"/>
  <c r="O103" i="6"/>
  <c r="S103" i="6"/>
  <c r="X103" i="6"/>
  <c r="Y103" i="6"/>
  <c r="AF103" i="6"/>
  <c r="N103" i="6"/>
  <c r="R103" i="6"/>
  <c r="U103" i="6"/>
  <c r="AD103" i="6"/>
  <c r="V14" i="21"/>
  <c r="V44" i="21" s="1"/>
  <c r="L83" i="46"/>
  <c r="J83" i="46"/>
  <c r="AE113" i="6"/>
  <c r="N115" i="6"/>
  <c r="O115" i="6"/>
  <c r="R115" i="6"/>
  <c r="S115" i="6"/>
  <c r="M115" i="6"/>
  <c r="W115" i="6"/>
  <c r="AA115" i="6"/>
  <c r="L115" i="6"/>
  <c r="P115" i="6"/>
  <c r="Q115" i="6"/>
  <c r="AG115" i="6"/>
  <c r="Z115" i="6"/>
  <c r="AC115" i="6"/>
  <c r="K115" i="6"/>
  <c r="X115" i="6"/>
  <c r="Y115" i="6"/>
  <c r="AE115" i="6"/>
  <c r="J115" i="6"/>
  <c r="U115" i="6"/>
  <c r="V115" i="6"/>
  <c r="AD115" i="6"/>
  <c r="J105" i="6"/>
  <c r="K105" i="6"/>
  <c r="N105" i="6"/>
  <c r="O105" i="6"/>
  <c r="R105" i="6"/>
  <c r="S105" i="6"/>
  <c r="T105" i="6"/>
  <c r="U105" i="6"/>
  <c r="Y105" i="6"/>
  <c r="Z105" i="6"/>
  <c r="AC105" i="6"/>
  <c r="M105" i="6"/>
  <c r="L105" i="6"/>
  <c r="AG105" i="6"/>
  <c r="V105" i="6"/>
  <c r="AD105" i="6"/>
  <c r="AB105" i="6"/>
  <c r="AE105" i="6"/>
  <c r="Q105" i="6"/>
  <c r="W105" i="6"/>
  <c r="AA105" i="6"/>
  <c r="AD83" i="46"/>
  <c r="AB83" i="46"/>
  <c r="Z83" i="46"/>
  <c r="R14" i="21"/>
  <c r="R44" i="21" s="1"/>
  <c r="AA113" i="6"/>
  <c r="W113" i="6"/>
  <c r="T103" i="6"/>
  <c r="M108" i="6"/>
  <c r="L108" i="6"/>
  <c r="P108" i="6"/>
  <c r="Q108" i="6"/>
  <c r="V108" i="6"/>
  <c r="AB108" i="6"/>
  <c r="J108" i="6"/>
  <c r="K108" i="6"/>
  <c r="O108" i="6"/>
  <c r="S108" i="6"/>
  <c r="AG108" i="6"/>
  <c r="W108" i="6"/>
  <c r="Y108" i="6"/>
  <c r="AA108" i="6"/>
  <c r="N108" i="6"/>
  <c r="R108" i="6"/>
  <c r="U108" i="6"/>
  <c r="X108" i="6"/>
  <c r="AF108" i="6"/>
  <c r="T108" i="6"/>
  <c r="AD108" i="6"/>
  <c r="P105" i="6"/>
  <c r="M113" i="6"/>
  <c r="M83" i="46"/>
  <c r="N84" i="46" s="1"/>
  <c r="B94" i="46"/>
  <c r="S116" i="6"/>
  <c r="S112" i="6"/>
  <c r="R116" i="6"/>
  <c r="R112" i="6"/>
  <c r="Q114" i="6"/>
  <c r="P114" i="6"/>
  <c r="O116" i="6"/>
  <c r="O112" i="6"/>
  <c r="K107" i="6"/>
  <c r="I32" i="23"/>
  <c r="AF66" i="23"/>
  <c r="AC66" i="23"/>
  <c r="I60" i="23"/>
  <c r="Q66" i="23"/>
  <c r="I36" i="23"/>
  <c r="Z91" i="23"/>
  <c r="Z117" i="23" s="1"/>
  <c r="S91" i="23"/>
  <c r="S117" i="23" s="1"/>
  <c r="Q87" i="23"/>
  <c r="Q116" i="23" s="1"/>
  <c r="M87" i="23"/>
  <c r="M116" i="23" s="1"/>
  <c r="I34" i="23"/>
  <c r="W121" i="23"/>
  <c r="I58" i="23"/>
  <c r="O121" i="23"/>
  <c r="AD91" i="23"/>
  <c r="AD117" i="23" s="1"/>
  <c r="N87" i="23"/>
  <c r="N116" i="23" s="1"/>
  <c r="U107" i="23"/>
  <c r="U121" i="23" s="1"/>
  <c r="I50" i="23"/>
  <c r="I30" i="23"/>
  <c r="U66" i="23"/>
  <c r="Z75" i="23"/>
  <c r="Z113" i="23" s="1"/>
  <c r="R75" i="23"/>
  <c r="R113" i="23" s="1"/>
  <c r="N91" i="23"/>
  <c r="Y71" i="23"/>
  <c r="AG122" i="21"/>
  <c r="AG44" i="21"/>
  <c r="Y122" i="21"/>
  <c r="Y44" i="21"/>
  <c r="AF120" i="21"/>
  <c r="Y120" i="21"/>
  <c r="W121" i="21"/>
  <c r="U121" i="21"/>
  <c r="AF129" i="21"/>
  <c r="AD129" i="21"/>
  <c r="AB130" i="21"/>
  <c r="X131" i="21"/>
  <c r="W129" i="21"/>
  <c r="AG139" i="21"/>
  <c r="AF138" i="21"/>
  <c r="AA139" i="21"/>
  <c r="Y139" i="21"/>
  <c r="X138" i="21"/>
  <c r="AB121" i="21"/>
  <c r="T121" i="21"/>
  <c r="AX420" i="36"/>
  <c r="AG147" i="21"/>
  <c r="AC147" i="21"/>
  <c r="Y147" i="21"/>
  <c r="U147" i="21"/>
  <c r="S120" i="21"/>
  <c r="Q139" i="21"/>
  <c r="P139" i="21"/>
  <c r="N129" i="21"/>
  <c r="M121" i="21"/>
  <c r="L139" i="21"/>
  <c r="L129" i="21"/>
  <c r="K140" i="21"/>
  <c r="K130" i="21"/>
  <c r="J120" i="21"/>
  <c r="J122" i="21"/>
  <c r="AX418" i="36"/>
  <c r="AD147" i="21"/>
  <c r="AE147" i="21"/>
  <c r="Z147" i="21"/>
  <c r="AA147" i="21"/>
  <c r="V147" i="21"/>
  <c r="W147" i="21"/>
  <c r="N44" i="21"/>
  <c r="AG121" i="21"/>
  <c r="AD120" i="21"/>
  <c r="U120" i="21"/>
  <c r="AB129" i="21"/>
  <c r="X130" i="21"/>
  <c r="T131" i="21"/>
  <c r="AE140" i="21"/>
  <c r="W140" i="21"/>
  <c r="AD148" i="21"/>
  <c r="Z148" i="21"/>
  <c r="V148" i="21"/>
  <c r="AA120" i="21"/>
  <c r="AX419" i="36"/>
  <c r="Z130" i="21"/>
  <c r="S139" i="21"/>
  <c r="R139" i="21"/>
  <c r="R122" i="21"/>
  <c r="Q122" i="21"/>
  <c r="P122" i="21"/>
  <c r="O147" i="21"/>
  <c r="O120" i="21"/>
  <c r="N149" i="21"/>
  <c r="AF44" i="21"/>
  <c r="AG120" i="21"/>
  <c r="AE121" i="21"/>
  <c r="AC121" i="21"/>
  <c r="AA122" i="21"/>
  <c r="Z120" i="21"/>
  <c r="X120" i="21"/>
  <c r="T122" i="21"/>
  <c r="AF131" i="21"/>
  <c r="AE129" i="21"/>
  <c r="AA130" i="21"/>
  <c r="X129" i="21"/>
  <c r="V129" i="21"/>
  <c r="T130" i="21"/>
  <c r="AE139" i="21"/>
  <c r="AC139" i="21"/>
  <c r="AB138" i="21"/>
  <c r="W139" i="21"/>
  <c r="U139" i="21"/>
  <c r="T138" i="21"/>
  <c r="AF149" i="21"/>
  <c r="AB149" i="21"/>
  <c r="X149" i="21"/>
  <c r="T149" i="21"/>
  <c r="S148" i="21"/>
  <c r="S138" i="21"/>
  <c r="R148" i="21"/>
  <c r="R138" i="21"/>
  <c r="Q131" i="21"/>
  <c r="Q121" i="21"/>
  <c r="P131" i="21"/>
  <c r="P121" i="21"/>
  <c r="N147" i="21"/>
  <c r="N121" i="21"/>
  <c r="L147" i="21"/>
  <c r="K149" i="21"/>
  <c r="AY421" i="36"/>
  <c r="J148" i="21"/>
  <c r="I43" i="24"/>
  <c r="AF351" i="46"/>
  <c r="V48" i="23"/>
  <c r="I48" i="23" s="1"/>
  <c r="I46" i="23"/>
  <c r="AE167" i="23"/>
  <c r="AE168" i="23" s="1"/>
  <c r="AE91" i="23"/>
  <c r="AE117" i="23" s="1"/>
  <c r="AE17" i="26"/>
  <c r="AE20" i="6"/>
  <c r="AG20" i="6"/>
  <c r="N304" i="46"/>
  <c r="N71" i="23"/>
  <c r="N112" i="23" s="1"/>
  <c r="N12" i="26"/>
  <c r="N127" i="23"/>
  <c r="N128" i="23" s="1"/>
  <c r="K12" i="26"/>
  <c r="K71" i="23"/>
  <c r="K112" i="23" s="1"/>
  <c r="K127" i="23"/>
  <c r="K128" i="23" s="1"/>
  <c r="K304" i="46"/>
  <c r="M38" i="23"/>
  <c r="M40" i="23" s="1"/>
  <c r="M66" i="23" s="1"/>
  <c r="I37" i="24"/>
  <c r="M39" i="24"/>
  <c r="M73" i="24" s="1"/>
  <c r="AF307" i="46"/>
  <c r="AC306" i="46"/>
  <c r="AC143" i="23"/>
  <c r="AC144" i="23" s="1"/>
  <c r="AC14" i="26"/>
  <c r="AD17" i="6"/>
  <c r="Y306" i="46"/>
  <c r="Y143" i="23"/>
  <c r="Y144" i="23" s="1"/>
  <c r="Y14" i="26"/>
  <c r="AA17" i="6"/>
  <c r="Z17" i="6"/>
  <c r="U72" i="24"/>
  <c r="U65" i="24"/>
  <c r="Q143" i="23"/>
  <c r="Q144" i="23" s="1"/>
  <c r="Q17" i="6"/>
  <c r="Q14" i="26"/>
  <c r="T13" i="35" s="1"/>
  <c r="M72" i="24"/>
  <c r="AX446" i="36" s="1"/>
  <c r="L111" i="36" s="1"/>
  <c r="I35" i="24"/>
  <c r="AF306" i="46"/>
  <c r="AF143" i="23"/>
  <c r="AF144" i="23" s="1"/>
  <c r="AF14" i="26"/>
  <c r="AF17" i="6"/>
  <c r="AB71" i="24"/>
  <c r="AB86" i="24" s="1"/>
  <c r="AB65" i="24"/>
  <c r="X305" i="46"/>
  <c r="X75" i="23"/>
  <c r="X113" i="23" s="1"/>
  <c r="X135" i="23"/>
  <c r="X136" i="23" s="1"/>
  <c r="X13" i="26"/>
  <c r="X16" i="6"/>
  <c r="T305" i="46"/>
  <c r="T135" i="23"/>
  <c r="T136" i="23" s="1"/>
  <c r="T75" i="23"/>
  <c r="T113" i="23" s="1"/>
  <c r="T13" i="26"/>
  <c r="T16" i="6"/>
  <c r="U16" i="6"/>
  <c r="P305" i="46"/>
  <c r="P13" i="26"/>
  <c r="S12" i="35" s="1"/>
  <c r="P75" i="23"/>
  <c r="P113" i="23" s="1"/>
  <c r="P16" i="6"/>
  <c r="P135" i="23"/>
  <c r="P136" i="23" s="1"/>
  <c r="L71" i="24"/>
  <c r="AE70" i="24"/>
  <c r="AE85" i="24" s="1"/>
  <c r="AE19" i="24"/>
  <c r="AE78" i="24" s="1"/>
  <c r="AE93" i="24" s="1"/>
  <c r="AA19" i="24"/>
  <c r="AA78" i="24" s="1"/>
  <c r="AA93" i="24" s="1"/>
  <c r="AA70" i="24"/>
  <c r="AA85" i="24" s="1"/>
  <c r="W70" i="24"/>
  <c r="W19" i="24"/>
  <c r="W78" i="24" s="1"/>
  <c r="S19" i="24"/>
  <c r="S78" i="24" s="1"/>
  <c r="S70" i="24"/>
  <c r="S85" i="24" s="1"/>
  <c r="O70" i="24"/>
  <c r="O19" i="24"/>
  <c r="O78" i="24" s="1"/>
  <c r="K19" i="24"/>
  <c r="AG313" i="46"/>
  <c r="AG199" i="23"/>
  <c r="AG200" i="23" s="1"/>
  <c r="N18" i="26"/>
  <c r="Q17" i="35" s="1"/>
  <c r="N175" i="23"/>
  <c r="N176" i="23" s="1"/>
  <c r="AB307" i="46"/>
  <c r="AB151" i="23"/>
  <c r="AB152" i="23" s="1"/>
  <c r="AB15" i="26"/>
  <c r="U151" i="23"/>
  <c r="U152" i="23" s="1"/>
  <c r="R38" i="23"/>
  <c r="R40" i="23" s="1"/>
  <c r="R66" i="23" s="1"/>
  <c r="R39" i="24"/>
  <c r="K35" i="38"/>
  <c r="AD107" i="23"/>
  <c r="AD121" i="23" s="1"/>
  <c r="AD199" i="23"/>
  <c r="AD200" i="23" s="1"/>
  <c r="AD313" i="46"/>
  <c r="Z107" i="23"/>
  <c r="Z199" i="23"/>
  <c r="Z200" i="23" s="1"/>
  <c r="Z313" i="46"/>
  <c r="V313" i="46"/>
  <c r="V107" i="23"/>
  <c r="V121" i="23" s="1"/>
  <c r="V199" i="23"/>
  <c r="V200" i="23" s="1"/>
  <c r="R107" i="23"/>
  <c r="R121" i="23" s="1"/>
  <c r="R199" i="23"/>
  <c r="R200" i="23" s="1"/>
  <c r="R313" i="46"/>
  <c r="R21" i="26"/>
  <c r="U20" i="35" s="1"/>
  <c r="N107" i="23"/>
  <c r="N121" i="23" s="1"/>
  <c r="N199" i="23"/>
  <c r="N200" i="23" s="1"/>
  <c r="N24" i="6"/>
  <c r="O24" i="6"/>
  <c r="N21" i="26"/>
  <c r="Q20" i="35" s="1"/>
  <c r="AX453" i="36"/>
  <c r="L118" i="36" s="1"/>
  <c r="J199" i="23"/>
  <c r="J21" i="26"/>
  <c r="AD78" i="24"/>
  <c r="AD93" i="24" s="1"/>
  <c r="S38" i="23"/>
  <c r="S40" i="23" s="1"/>
  <c r="S66" i="23" s="1"/>
  <c r="S39" i="24"/>
  <c r="S73" i="24" s="1"/>
  <c r="P38" i="23"/>
  <c r="P40" i="23" s="1"/>
  <c r="P66" i="23" s="1"/>
  <c r="P39" i="24"/>
  <c r="J38" i="23"/>
  <c r="J39" i="24"/>
  <c r="AD14" i="26"/>
  <c r="AD143" i="23"/>
  <c r="AD144" i="23" s="1"/>
  <c r="Z143" i="23"/>
  <c r="Z144" i="23" s="1"/>
  <c r="Z14" i="26"/>
  <c r="V143" i="23"/>
  <c r="V144" i="23" s="1"/>
  <c r="R14" i="26"/>
  <c r="U13" i="35" s="1"/>
  <c r="R143" i="23"/>
  <c r="R144" i="23" s="1"/>
  <c r="R17" i="6"/>
  <c r="N14" i="26"/>
  <c r="Q13" i="35" s="1"/>
  <c r="N143" i="23"/>
  <c r="N144" i="23" s="1"/>
  <c r="J306" i="46"/>
  <c r="J143" i="23"/>
  <c r="J14" i="26"/>
  <c r="AC71" i="24"/>
  <c r="Y135" i="23"/>
  <c r="Y136" i="23" s="1"/>
  <c r="Y305" i="46"/>
  <c r="Y75" i="23"/>
  <c r="Y113" i="23" s="1"/>
  <c r="Z16" i="6"/>
  <c r="Y13" i="26"/>
  <c r="Y16" i="6"/>
  <c r="U135" i="23"/>
  <c r="U136" i="23" s="1"/>
  <c r="U75" i="23"/>
  <c r="U113" i="23" s="1"/>
  <c r="U13" i="26"/>
  <c r="U305" i="46"/>
  <c r="Q135" i="23"/>
  <c r="Q136" i="23" s="1"/>
  <c r="Q75" i="23"/>
  <c r="Q113" i="23" s="1"/>
  <c r="Q305" i="46"/>
  <c r="Q16" i="6"/>
  <c r="Q13" i="26"/>
  <c r="T12" i="35" s="1"/>
  <c r="S16" i="6"/>
  <c r="M135" i="23"/>
  <c r="M136" i="23" s="1"/>
  <c r="M13" i="26"/>
  <c r="P12" i="35" s="1"/>
  <c r="M75" i="23"/>
  <c r="M113" i="23" s="1"/>
  <c r="M305" i="46"/>
  <c r="AF71" i="24"/>
  <c r="AF86" i="24" s="1"/>
  <c r="AB127" i="23"/>
  <c r="AB128" i="23" s="1"/>
  <c r="AB71" i="23"/>
  <c r="AB112" i="23" s="1"/>
  <c r="AB12" i="26"/>
  <c r="X12" i="26"/>
  <c r="X71" i="23"/>
  <c r="X112" i="23" s="1"/>
  <c r="X127" i="23"/>
  <c r="X128" i="23" s="1"/>
  <c r="T70" i="24"/>
  <c r="T65" i="24"/>
  <c r="P70" i="24"/>
  <c r="P19" i="24"/>
  <c r="P78" i="24" s="1"/>
  <c r="P103" i="23" s="1"/>
  <c r="P120" i="23" s="1"/>
  <c r="L127" i="23"/>
  <c r="L128" i="23" s="1"/>
  <c r="L71" i="23"/>
  <c r="L112" i="23" s="1"/>
  <c r="L12" i="26"/>
  <c r="AG19" i="24"/>
  <c r="AG78" i="24" s="1"/>
  <c r="AG93" i="24" s="1"/>
  <c r="N313" i="46"/>
  <c r="AB313" i="46"/>
  <c r="AB107" i="23"/>
  <c r="AB121" i="23" s="1"/>
  <c r="AB199" i="23"/>
  <c r="AB200" i="23" s="1"/>
  <c r="AB21" i="26"/>
  <c r="X313" i="46"/>
  <c r="X107" i="23"/>
  <c r="X121" i="23" s="1"/>
  <c r="X199" i="23"/>
  <c r="X200" i="23" s="1"/>
  <c r="X21" i="26"/>
  <c r="X24" i="6"/>
  <c r="T313" i="46"/>
  <c r="T107" i="23"/>
  <c r="T121" i="23" s="1"/>
  <c r="T199" i="23"/>
  <c r="T200" i="23" s="1"/>
  <c r="T94" i="24"/>
  <c r="T24" i="6"/>
  <c r="P313" i="46"/>
  <c r="P107" i="23"/>
  <c r="P121" i="23" s="1"/>
  <c r="P199" i="23"/>
  <c r="P200" i="23" s="1"/>
  <c r="P21" i="26"/>
  <c r="S20" i="35" s="1"/>
  <c r="P24" i="6"/>
  <c r="Q24" i="6"/>
  <c r="L313" i="46"/>
  <c r="L107" i="23"/>
  <c r="L121" i="23" s="1"/>
  <c r="L199" i="23"/>
  <c r="L200" i="23" s="1"/>
  <c r="L21" i="26"/>
  <c r="O20" i="35" s="1"/>
  <c r="V191" i="23"/>
  <c r="V192" i="23" s="1"/>
  <c r="V20" i="26"/>
  <c r="T312" i="46"/>
  <c r="T191" i="23"/>
  <c r="T192" i="23" s="1"/>
  <c r="T20" i="26"/>
  <c r="J19" i="26"/>
  <c r="J183" i="23"/>
  <c r="AC175" i="23"/>
  <c r="AC176" i="23" s="1"/>
  <c r="AC310" i="46"/>
  <c r="Y310" i="46"/>
  <c r="Y175" i="23"/>
  <c r="Y176" i="23" s="1"/>
  <c r="Y18" i="26"/>
  <c r="Y21" i="6"/>
  <c r="U310" i="46"/>
  <c r="U175" i="23"/>
  <c r="U176" i="23" s="1"/>
  <c r="U18" i="26"/>
  <c r="U21" i="6"/>
  <c r="Q175" i="23"/>
  <c r="Q176" i="23" s="1"/>
  <c r="Q21" i="6"/>
  <c r="Q310" i="46"/>
  <c r="Q18" i="26"/>
  <c r="T17" i="35" s="1"/>
  <c r="M175" i="23"/>
  <c r="M176" i="23" s="1"/>
  <c r="M310" i="46"/>
  <c r="M18" i="26"/>
  <c r="P17" i="35" s="1"/>
  <c r="AF310" i="46"/>
  <c r="AF175" i="23"/>
  <c r="AF176" i="23" s="1"/>
  <c r="AB91" i="23"/>
  <c r="AB117" i="23" s="1"/>
  <c r="AB167" i="23"/>
  <c r="AB168" i="23" s="1"/>
  <c r="X167" i="23"/>
  <c r="X168" i="23" s="1"/>
  <c r="X17" i="26"/>
  <c r="X91" i="23"/>
  <c r="X117" i="23" s="1"/>
  <c r="T91" i="23"/>
  <c r="T117" i="23" s="1"/>
  <c r="T167" i="23"/>
  <c r="T168" i="23" s="1"/>
  <c r="T17" i="26"/>
  <c r="AE38" i="23"/>
  <c r="AE40" i="23" s="1"/>
  <c r="AE66" i="23" s="1"/>
  <c r="AE39" i="24"/>
  <c r="AA38" i="23"/>
  <c r="AA40" i="23" s="1"/>
  <c r="AA66" i="23" s="1"/>
  <c r="AA39" i="24"/>
  <c r="AA73" i="24" s="1"/>
  <c r="X38" i="23"/>
  <c r="X40" i="23" s="1"/>
  <c r="X66" i="23" s="1"/>
  <c r="X39" i="24"/>
  <c r="S107" i="23"/>
  <c r="S121" i="23" s="1"/>
  <c r="S313" i="46"/>
  <c r="S199" i="23"/>
  <c r="S200" i="23" s="1"/>
  <c r="S21" i="26"/>
  <c r="AA21" i="6"/>
  <c r="Z18" i="26"/>
  <c r="Q91" i="23"/>
  <c r="Q117" i="23" s="1"/>
  <c r="Q167" i="23"/>
  <c r="Q168" i="23" s="1"/>
  <c r="Q20" i="6"/>
  <c r="Q17" i="26"/>
  <c r="T16" i="35" s="1"/>
  <c r="V71" i="23"/>
  <c r="V112" i="23" s="1"/>
  <c r="V127" i="23"/>
  <c r="V128" i="23" s="1"/>
  <c r="V12" i="26"/>
  <c r="AE21" i="6"/>
  <c r="AD24" i="6"/>
  <c r="W20" i="6"/>
  <c r="T21" i="26"/>
  <c r="Z78" i="24"/>
  <c r="Z312" i="46" s="1"/>
  <c r="N78" i="24"/>
  <c r="N93" i="24" s="1"/>
  <c r="L78" i="24"/>
  <c r="AB175" i="23"/>
  <c r="AB176" i="23" s="1"/>
  <c r="AB310" i="46"/>
  <c r="AB18" i="26"/>
  <c r="X175" i="23"/>
  <c r="X176" i="23" s="1"/>
  <c r="X310" i="46"/>
  <c r="X18" i="26"/>
  <c r="T310" i="46"/>
  <c r="T18" i="26"/>
  <c r="T21" i="6"/>
  <c r="T175" i="23"/>
  <c r="T176" i="23" s="1"/>
  <c r="P310" i="46"/>
  <c r="P175" i="23"/>
  <c r="P176" i="23" s="1"/>
  <c r="P18" i="26"/>
  <c r="S17" i="35" s="1"/>
  <c r="L310" i="46"/>
  <c r="L175" i="23"/>
  <c r="L176" i="23" s="1"/>
  <c r="L18" i="26"/>
  <c r="O17" i="35" s="1"/>
  <c r="AA167" i="23"/>
  <c r="AA168" i="23" s="1"/>
  <c r="AA20" i="6"/>
  <c r="AA91" i="23"/>
  <c r="AA117" i="23" s="1"/>
  <c r="W167" i="23"/>
  <c r="W168" i="23" s="1"/>
  <c r="W91" i="23"/>
  <c r="W117" i="23" s="1"/>
  <c r="W17" i="26"/>
  <c r="S90" i="24"/>
  <c r="S167" i="23"/>
  <c r="S168" i="23" s="1"/>
  <c r="S20" i="6"/>
  <c r="S17" i="26"/>
  <c r="O167" i="23"/>
  <c r="O168" i="23" s="1"/>
  <c r="O91" i="23"/>
  <c r="O117" i="23" s="1"/>
  <c r="O17" i="26"/>
  <c r="R16" i="35" s="1"/>
  <c r="O20" i="6"/>
  <c r="K167" i="23"/>
  <c r="K168" i="23" s="1"/>
  <c r="K17" i="26"/>
  <c r="N16" i="35" s="1"/>
  <c r="AX449" i="36"/>
  <c r="L114" i="36" s="1"/>
  <c r="AY449" i="36"/>
  <c r="Q114" i="36" s="1"/>
  <c r="AG127" i="23"/>
  <c r="AG128" i="23" s="1"/>
  <c r="AG304" i="46"/>
  <c r="AG12" i="26"/>
  <c r="Z175" i="23"/>
  <c r="Z176" i="23" s="1"/>
  <c r="P17" i="26"/>
  <c r="S16" i="35" s="1"/>
  <c r="P167" i="23"/>
  <c r="P168" i="23" s="1"/>
  <c r="P20" i="6"/>
  <c r="P91" i="23"/>
  <c r="P117" i="23" s="1"/>
  <c r="L91" i="23"/>
  <c r="L117" i="23" s="1"/>
  <c r="L17" i="26"/>
  <c r="O16" i="35" s="1"/>
  <c r="T39" i="24"/>
  <c r="T73" i="24" s="1"/>
  <c r="T88" i="24" s="1"/>
  <c r="T38" i="23"/>
  <c r="T40" i="23" s="1"/>
  <c r="T66" i="23" s="1"/>
  <c r="K38" i="23"/>
  <c r="K40" i="23" s="1"/>
  <c r="K39" i="24"/>
  <c r="K73" i="24" s="1"/>
  <c r="K306" i="46"/>
  <c r="K143" i="23"/>
  <c r="K144" i="23" s="1"/>
  <c r="K21" i="24"/>
  <c r="K77" i="24"/>
  <c r="K92" i="24" s="1"/>
  <c r="L18" i="24"/>
  <c r="AG167" i="23"/>
  <c r="AG168" i="23" s="1"/>
  <c r="AG309" i="46"/>
  <c r="AG91" i="23"/>
  <c r="AG117" i="23" s="1"/>
  <c r="K14" i="26"/>
  <c r="N13" i="35" s="1"/>
  <c r="I62" i="23"/>
  <c r="I52" i="23"/>
  <c r="AB143" i="23"/>
  <c r="AB144" i="23" s="1"/>
  <c r="AG17" i="26"/>
  <c r="AE14" i="26"/>
  <c r="Y15" i="26"/>
  <c r="I59" i="24"/>
  <c r="AD18" i="26"/>
  <c r="AD175" i="23"/>
  <c r="AD176" i="23" s="1"/>
  <c r="V175" i="23"/>
  <c r="V176" i="23" s="1"/>
  <c r="R18" i="26"/>
  <c r="U17" i="35" s="1"/>
  <c r="R21" i="6"/>
  <c r="R175" i="23"/>
  <c r="R176" i="23" s="1"/>
  <c r="J76" i="24"/>
  <c r="M21" i="6" s="1"/>
  <c r="I51" i="24"/>
  <c r="AC91" i="23"/>
  <c r="AC117" i="23" s="1"/>
  <c r="AC167" i="23"/>
  <c r="AC168" i="23" s="1"/>
  <c r="AC17" i="26"/>
  <c r="Y91" i="23"/>
  <c r="Y117" i="23" s="1"/>
  <c r="Y167" i="23"/>
  <c r="Y168" i="23" s="1"/>
  <c r="Y309" i="46"/>
  <c r="U91" i="23"/>
  <c r="U117" i="23" s="1"/>
  <c r="U167" i="23"/>
  <c r="U168" i="23" s="1"/>
  <c r="M309" i="46"/>
  <c r="M91" i="23"/>
  <c r="M117" i="23" s="1"/>
  <c r="M167" i="23"/>
  <c r="M168" i="23" s="1"/>
  <c r="M17" i="26"/>
  <c r="P16" i="35" s="1"/>
  <c r="AC39" i="24"/>
  <c r="AC73" i="24" s="1"/>
  <c r="Z39" i="24"/>
  <c r="Z38" i="23"/>
  <c r="Z40" i="23" s="1"/>
  <c r="Z66" i="23" s="1"/>
  <c r="W39" i="24"/>
  <c r="Q151" i="23"/>
  <c r="Q152" i="23" s="1"/>
  <c r="L39" i="24"/>
  <c r="L73" i="24" s="1"/>
  <c r="L88" i="24" s="1"/>
  <c r="L38" i="23"/>
  <c r="L40" i="23" s="1"/>
  <c r="L66" i="23" s="1"/>
  <c r="R71" i="23"/>
  <c r="R112" i="23" s="1"/>
  <c r="AG151" i="23"/>
  <c r="AG152" i="23" s="1"/>
  <c r="K64" i="23"/>
  <c r="AE107" i="23"/>
  <c r="AE121" i="23" s="1"/>
  <c r="AE313" i="46"/>
  <c r="AE199" i="23"/>
  <c r="AE200" i="23" s="1"/>
  <c r="AE21" i="26"/>
  <c r="K107" i="23"/>
  <c r="Z71" i="23"/>
  <c r="Z112" i="23" s="1"/>
  <c r="Z304" i="46"/>
  <c r="Z127" i="23"/>
  <c r="Z128" i="23" s="1"/>
  <c r="Z12" i="26"/>
  <c r="U24" i="6"/>
  <c r="AC107" i="23"/>
  <c r="AC121" i="23" s="1"/>
  <c r="AC21" i="26"/>
  <c r="Y107" i="23"/>
  <c r="Y121" i="23" s="1"/>
  <c r="Y313" i="46"/>
  <c r="Y199" i="23"/>
  <c r="Y200" i="23" s="1"/>
  <c r="Q313" i="46"/>
  <c r="Q107" i="23"/>
  <c r="Q121" i="23" s="1"/>
  <c r="Q199" i="23"/>
  <c r="Q200" i="23" s="1"/>
  <c r="Q21" i="26"/>
  <c r="T20" i="35" s="1"/>
  <c r="M107" i="23"/>
  <c r="M121" i="23" s="1"/>
  <c r="M21" i="26"/>
  <c r="P20" i="35" s="1"/>
  <c r="M313" i="46"/>
  <c r="AF313" i="46"/>
  <c r="AF199" i="23"/>
  <c r="AF200" i="23" s="1"/>
  <c r="R78" i="24"/>
  <c r="R312" i="46" s="1"/>
  <c r="S310" i="46"/>
  <c r="S175" i="23"/>
  <c r="S176" i="23" s="1"/>
  <c r="I75" i="24"/>
  <c r="J20" i="6" s="1"/>
  <c r="J167" i="23"/>
  <c r="J17" i="26"/>
  <c r="AD39" i="24"/>
  <c r="AD38" i="23"/>
  <c r="AD40" i="23" s="1"/>
  <c r="AD66" i="23" s="1"/>
  <c r="V38" i="23"/>
  <c r="V40" i="23" s="1"/>
  <c r="V39" i="24"/>
  <c r="N307" i="46"/>
  <c r="N151" i="23"/>
  <c r="N152" i="23" s="1"/>
  <c r="N15" i="26"/>
  <c r="Q14" i="35" s="1"/>
  <c r="T306" i="46"/>
  <c r="T143" i="23"/>
  <c r="T144" i="23" s="1"/>
  <c r="T14" i="26"/>
  <c r="T17" i="6"/>
  <c r="L143" i="23"/>
  <c r="L144" i="23" s="1"/>
  <c r="L14" i="26"/>
  <c r="O13" i="35" s="1"/>
  <c r="AA135" i="23"/>
  <c r="AA136" i="23" s="1"/>
  <c r="AA75" i="23"/>
  <c r="AA113" i="23" s="1"/>
  <c r="AA16" i="6"/>
  <c r="W135" i="23"/>
  <c r="W136" i="23" s="1"/>
  <c r="W75" i="23"/>
  <c r="W113" i="23" s="1"/>
  <c r="W13" i="26"/>
  <c r="W305" i="46"/>
  <c r="S135" i="23"/>
  <c r="S136" i="23" s="1"/>
  <c r="S305" i="46"/>
  <c r="S75" i="23"/>
  <c r="S113" i="23" s="1"/>
  <c r="O135" i="23"/>
  <c r="O136" i="23" s="1"/>
  <c r="O305" i="46"/>
  <c r="O75" i="23"/>
  <c r="O113" i="23" s="1"/>
  <c r="K71" i="24"/>
  <c r="I31" i="24"/>
  <c r="N65" i="24"/>
  <c r="I27" i="24"/>
  <c r="U15" i="24"/>
  <c r="T74" i="24"/>
  <c r="S18" i="26"/>
  <c r="Z121" i="23"/>
  <c r="U313" i="46"/>
  <c r="AA305" i="46"/>
  <c r="AA313" i="46"/>
  <c r="AA107" i="23"/>
  <c r="AA121" i="23" s="1"/>
  <c r="AA24" i="6"/>
  <c r="W175" i="23"/>
  <c r="W176" i="23" s="1"/>
  <c r="W21" i="6"/>
  <c r="W310" i="46"/>
  <c r="AG86" i="24"/>
  <c r="AG135" i="23"/>
  <c r="AG136" i="23" s="1"/>
  <c r="J44" i="23"/>
  <c r="I44" i="23" s="1"/>
  <c r="I42" i="23"/>
  <c r="J87" i="23"/>
  <c r="J16" i="26"/>
  <c r="J159" i="23"/>
  <c r="Y112" i="23"/>
  <c r="O175" i="23"/>
  <c r="O176" i="23" s="1"/>
  <c r="O18" i="26"/>
  <c r="R17" i="35" s="1"/>
  <c r="O21" i="6"/>
  <c r="AE135" i="23"/>
  <c r="AE136" i="23" s="1"/>
  <c r="AE75" i="23"/>
  <c r="AE113" i="23" s="1"/>
  <c r="AE305" i="46"/>
  <c r="J56" i="23"/>
  <c r="I56" i="23" s="1"/>
  <c r="I54" i="23"/>
  <c r="J71" i="23"/>
  <c r="J112" i="23" s="1"/>
  <c r="J12" i="26"/>
  <c r="J127" i="23"/>
  <c r="N117" i="23"/>
  <c r="P308" i="46"/>
  <c r="Q19" i="6"/>
  <c r="L308" i="46"/>
  <c r="L87" i="23"/>
  <c r="L116" i="23" s="1"/>
  <c r="L16" i="26"/>
  <c r="O15" i="35" s="1"/>
  <c r="M19" i="6"/>
  <c r="L15" i="38"/>
  <c r="J35" i="38"/>
  <c r="Y78" i="24"/>
  <c r="Y103" i="23" s="1"/>
  <c r="Y120" i="23" s="1"/>
  <c r="U78" i="24"/>
  <c r="Q78" i="24"/>
  <c r="Q93" i="24" s="1"/>
  <c r="AF78" i="24"/>
  <c r="AF93" i="24" s="1"/>
  <c r="AA310" i="46"/>
  <c r="AA175" i="23"/>
  <c r="AA176" i="23" s="1"/>
  <c r="K310" i="46"/>
  <c r="K175" i="23"/>
  <c r="K176" i="23" s="1"/>
  <c r="N309" i="46"/>
  <c r="J75" i="23"/>
  <c r="J113" i="23" s="1"/>
  <c r="J135" i="23"/>
  <c r="J13" i="26"/>
  <c r="AC71" i="23"/>
  <c r="AC112" i="23" s="1"/>
  <c r="U12" i="26"/>
  <c r="Q304" i="46"/>
  <c r="Q127" i="23"/>
  <c r="Q128" i="23" s="1"/>
  <c r="M12" i="26"/>
  <c r="AG310" i="46"/>
  <c r="AG175" i="23"/>
  <c r="AG176" i="23" s="1"/>
  <c r="S14" i="26"/>
  <c r="N13" i="26"/>
  <c r="Q12" i="35" s="1"/>
  <c r="P87" i="23"/>
  <c r="P116" i="23" s="1"/>
  <c r="AD75" i="23"/>
  <c r="AD113" i="23" s="1"/>
  <c r="V75" i="23"/>
  <c r="V113" i="23" s="1"/>
  <c r="N75" i="23"/>
  <c r="N113" i="23" s="1"/>
  <c r="AC127" i="23"/>
  <c r="AC128" i="23" s="1"/>
  <c r="J313" i="46"/>
  <c r="J119" i="26"/>
  <c r="K320" i="1"/>
  <c r="K323" i="1" s="1"/>
  <c r="I211" i="23"/>
  <c r="J209" i="23" s="1"/>
  <c r="F230" i="1"/>
  <c r="I15" i="39"/>
  <c r="I20" i="39" s="1"/>
  <c r="I118" i="26"/>
  <c r="I123" i="26" s="1"/>
  <c r="I138" i="26" s="1"/>
  <c r="AE351" i="46"/>
  <c r="C27" i="23"/>
  <c r="C26" i="23"/>
  <c r="C39" i="23"/>
  <c r="C38" i="23"/>
  <c r="C40" i="23"/>
  <c r="C47" i="23"/>
  <c r="C46" i="23"/>
  <c r="C90" i="46"/>
  <c r="C164" i="46"/>
  <c r="C96" i="46"/>
  <c r="C170" i="46"/>
  <c r="C109" i="46"/>
  <c r="C183" i="46"/>
  <c r="Z24" i="38"/>
  <c r="C278" i="1"/>
  <c r="C42" i="39"/>
  <c r="C118" i="46"/>
  <c r="C197" i="46"/>
  <c r="C77" i="21"/>
  <c r="C111" i="21"/>
  <c r="B66" i="21"/>
  <c r="B137" i="21"/>
  <c r="C54" i="23"/>
  <c r="C56" i="23"/>
  <c r="C175" i="46"/>
  <c r="C244" i="46"/>
  <c r="C247" i="46" s="1"/>
  <c r="C129" i="46"/>
  <c r="C264" i="46"/>
  <c r="C267" i="46" s="1"/>
  <c r="C203" i="46"/>
  <c r="C276" i="1"/>
  <c r="C40" i="39"/>
  <c r="C144" i="26"/>
  <c r="C44" i="38"/>
  <c r="I26" i="25"/>
  <c r="Z12" i="38"/>
  <c r="L261" i="36"/>
  <c r="L262" i="36"/>
  <c r="L265" i="36"/>
  <c r="C130" i="46"/>
  <c r="C128" i="21"/>
  <c r="C207" i="46"/>
  <c r="C332" i="36"/>
  <c r="B146" i="21"/>
  <c r="B107" i="21"/>
  <c r="B73" i="21"/>
  <c r="C196" i="46"/>
  <c r="C122" i="46"/>
  <c r="C259" i="46"/>
  <c r="C262" i="46" s="1"/>
  <c r="AW397" i="36"/>
  <c r="C45" i="36"/>
  <c r="G202" i="1"/>
  <c r="F218" i="1"/>
  <c r="F209" i="1"/>
  <c r="I48" i="47"/>
  <c r="W24" i="38"/>
  <c r="I13" i="25"/>
  <c r="O262" i="36"/>
  <c r="O265" i="36"/>
  <c r="C28" i="23"/>
  <c r="C48" i="23"/>
  <c r="C93" i="21"/>
  <c r="C59" i="21"/>
  <c r="C105" i="46"/>
  <c r="C179" i="46"/>
  <c r="C220" i="46"/>
  <c r="C146" i="46"/>
  <c r="C152" i="46"/>
  <c r="AW395" i="36"/>
  <c r="J37" i="36"/>
  <c r="U62" i="26"/>
  <c r="G126" i="6"/>
  <c r="G182" i="6"/>
  <c r="G73" i="44"/>
  <c r="G336" i="46"/>
  <c r="C275" i="46"/>
  <c r="C280" i="46"/>
  <c r="C240" i="46"/>
  <c r="C228" i="46"/>
  <c r="C154" i="46"/>
  <c r="C270" i="46"/>
  <c r="C239" i="46"/>
  <c r="C242" i="46" s="1"/>
  <c r="C182" i="46"/>
  <c r="C108" i="46"/>
  <c r="AW417" i="36"/>
  <c r="C239" i="36" s="1"/>
  <c r="C12" i="21"/>
  <c r="B59" i="21"/>
  <c r="C52" i="21"/>
  <c r="C251" i="46"/>
  <c r="C256" i="46"/>
  <c r="J55" i="38"/>
  <c r="V55" i="38"/>
  <c r="C88" i="21"/>
  <c r="C94" i="46"/>
  <c r="F222" i="1"/>
  <c r="F244" i="1" s="1"/>
  <c r="I11" i="39"/>
  <c r="I13" i="39" s="1"/>
  <c r="I114" i="26"/>
  <c r="I116" i="26" s="1"/>
  <c r="AW396" i="36"/>
  <c r="C44" i="36"/>
  <c r="K135" i="22"/>
  <c r="K87" i="24"/>
  <c r="O87" i="24"/>
  <c r="S87" i="24"/>
  <c r="W87" i="24"/>
  <c r="AA87" i="24"/>
  <c r="AE87" i="24"/>
  <c r="J87" i="24"/>
  <c r="N87" i="24"/>
  <c r="T87" i="24"/>
  <c r="Y87" i="24"/>
  <c r="AD87" i="24"/>
  <c r="Q87" i="24"/>
  <c r="X87" i="24"/>
  <c r="AF87" i="24"/>
  <c r="R87" i="24"/>
  <c r="AB87" i="24"/>
  <c r="L87" i="24"/>
  <c r="AC87" i="24"/>
  <c r="Z87" i="24"/>
  <c r="AG87" i="24"/>
  <c r="P87" i="24"/>
  <c r="V87" i="24"/>
  <c r="K91" i="24"/>
  <c r="O91" i="24"/>
  <c r="S91" i="24"/>
  <c r="W91" i="24"/>
  <c r="AA91" i="24"/>
  <c r="AE91" i="24"/>
  <c r="M91" i="24"/>
  <c r="R91" i="24"/>
  <c r="X91" i="24"/>
  <c r="AC91" i="24"/>
  <c r="Q91" i="24"/>
  <c r="Y91" i="24"/>
  <c r="AF91" i="24"/>
  <c r="P91" i="24"/>
  <c r="Z91" i="24"/>
  <c r="T91" i="24"/>
  <c r="AB91" i="24"/>
  <c r="N91" i="24"/>
  <c r="AG91" i="24"/>
  <c r="U91" i="24"/>
  <c r="L91" i="24"/>
  <c r="V91" i="24"/>
  <c r="AD91" i="24"/>
  <c r="AB88" i="24"/>
  <c r="N88" i="24"/>
  <c r="S88" i="24"/>
  <c r="Y88" i="24"/>
  <c r="AG88" i="24"/>
  <c r="AC88" i="24"/>
  <c r="N86" i="24"/>
  <c r="R86" i="24"/>
  <c r="V86" i="24"/>
  <c r="Z86" i="24"/>
  <c r="AD86" i="24"/>
  <c r="J86" i="24"/>
  <c r="M86" i="24"/>
  <c r="S86" i="24"/>
  <c r="X86" i="24"/>
  <c r="O86" i="24"/>
  <c r="U86" i="24"/>
  <c r="Q86" i="24"/>
  <c r="AA86" i="24"/>
  <c r="T86" i="24"/>
  <c r="AE86" i="24"/>
  <c r="W86" i="24"/>
  <c r="Y86" i="24"/>
  <c r="L86" i="24"/>
  <c r="P86" i="24"/>
  <c r="K67" i="6"/>
  <c r="K28" i="47"/>
  <c r="L28" i="47"/>
  <c r="M28" i="47"/>
  <c r="N28" i="47"/>
  <c r="P28" i="47"/>
  <c r="U93" i="24"/>
  <c r="L93" i="24"/>
  <c r="R93" i="24"/>
  <c r="P93" i="24"/>
  <c r="T93" i="24"/>
  <c r="V93" i="24"/>
  <c r="J89" i="24"/>
  <c r="M89" i="24"/>
  <c r="Q89" i="24"/>
  <c r="N89" i="24"/>
  <c r="S89" i="24"/>
  <c r="L89" i="24"/>
  <c r="T89" i="24"/>
  <c r="K89" i="24"/>
  <c r="O89" i="24"/>
  <c r="R89" i="24"/>
  <c r="P89" i="24"/>
  <c r="J147" i="25"/>
  <c r="J149" i="25"/>
  <c r="E106" i="25"/>
  <c r="E107" i="25"/>
  <c r="G77" i="6"/>
  <c r="G216" i="23"/>
  <c r="N94" i="24"/>
  <c r="R94" i="24"/>
  <c r="V94" i="24"/>
  <c r="Z94" i="24"/>
  <c r="AD94" i="24"/>
  <c r="P94" i="24"/>
  <c r="U94" i="24"/>
  <c r="AA94" i="24"/>
  <c r="AF94" i="24"/>
  <c r="L94" i="24"/>
  <c r="S94" i="24"/>
  <c r="Y94" i="24"/>
  <c r="AG94" i="24"/>
  <c r="M94" i="24"/>
  <c r="W94" i="24"/>
  <c r="AE94" i="24"/>
  <c r="O94" i="24"/>
  <c r="X94" i="24"/>
  <c r="AC94" i="24"/>
  <c r="Q94" i="24"/>
  <c r="J94" i="24"/>
  <c r="AB94" i="24"/>
  <c r="J92" i="24"/>
  <c r="N90" i="24"/>
  <c r="R90" i="24"/>
  <c r="V90" i="24"/>
  <c r="Z90" i="24"/>
  <c r="AD90" i="24"/>
  <c r="L90" i="24"/>
  <c r="Q90" i="24"/>
  <c r="W90" i="24"/>
  <c r="AB90" i="24"/>
  <c r="AG90" i="24"/>
  <c r="M90" i="24"/>
  <c r="T90" i="24"/>
  <c r="AA90" i="24"/>
  <c r="O90" i="24"/>
  <c r="X90" i="24"/>
  <c r="AF90" i="24"/>
  <c r="J90" i="24"/>
  <c r="P90" i="24"/>
  <c r="Y90" i="24"/>
  <c r="U90" i="24"/>
  <c r="AC90" i="24"/>
  <c r="K90" i="24"/>
  <c r="J85" i="24"/>
  <c r="M85" i="24"/>
  <c r="Q85" i="24"/>
  <c r="U85" i="24"/>
  <c r="AC85" i="24"/>
  <c r="AG85" i="24"/>
  <c r="T85" i="24"/>
  <c r="Z85" i="24"/>
  <c r="N85" i="24"/>
  <c r="V85" i="24"/>
  <c r="AB85" i="24"/>
  <c r="K85" i="24"/>
  <c r="AD85" i="24"/>
  <c r="L85" i="24"/>
  <c r="X85" i="24"/>
  <c r="AF85" i="24"/>
  <c r="R28" i="47"/>
  <c r="AE90" i="24"/>
  <c r="J91" i="22"/>
  <c r="K91" i="22"/>
  <c r="L91" i="22"/>
  <c r="M91" i="22"/>
  <c r="N91" i="22"/>
  <c r="P91" i="22"/>
  <c r="M15" i="6"/>
  <c r="K65" i="22"/>
  <c r="M65" i="22"/>
  <c r="J65" i="22"/>
  <c r="N65" i="22"/>
  <c r="J32" i="22"/>
  <c r="J149" i="21"/>
  <c r="L149" i="21"/>
  <c r="J149" i="22"/>
  <c r="O149" i="22"/>
  <c r="AF91" i="23"/>
  <c r="AF117" i="23" s="1"/>
  <c r="L122" i="21"/>
  <c r="N122" i="21"/>
  <c r="M120" i="21"/>
  <c r="K120" i="21"/>
  <c r="J309" i="46"/>
  <c r="K309" i="46"/>
  <c r="O309" i="46"/>
  <c r="S309" i="46"/>
  <c r="W309" i="46"/>
  <c r="AA309" i="46"/>
  <c r="AE309" i="46"/>
  <c r="P309" i="46"/>
  <c r="U309" i="46"/>
  <c r="Z309" i="46"/>
  <c r="AF309" i="46"/>
  <c r="Q309" i="46"/>
  <c r="X309" i="46"/>
  <c r="AD309" i="46"/>
  <c r="R309" i="46"/>
  <c r="AB309" i="46"/>
  <c r="L309" i="46"/>
  <c r="T309" i="46"/>
  <c r="AC309" i="46"/>
  <c r="O19" i="6"/>
  <c r="M20" i="6"/>
  <c r="J147" i="21"/>
  <c r="M147" i="21"/>
  <c r="J311" i="46"/>
  <c r="J79" i="23"/>
  <c r="J95" i="23"/>
  <c r="J91" i="23"/>
  <c r="N83" i="23"/>
  <c r="N115" i="23" s="1"/>
  <c r="T83" i="23"/>
  <c r="U83" i="23"/>
  <c r="U115" i="23" s="1"/>
  <c r="Y83" i="23"/>
  <c r="AB83" i="23"/>
  <c r="J99" i="23"/>
  <c r="K79" i="23"/>
  <c r="L79" i="23"/>
  <c r="N79" i="23"/>
  <c r="O79" i="23"/>
  <c r="P79" i="23"/>
  <c r="Q79" i="23"/>
  <c r="R79" i="23"/>
  <c r="S79" i="23"/>
  <c r="T79" i="23"/>
  <c r="V79" i="23"/>
  <c r="W79" i="23"/>
  <c r="X79" i="23"/>
  <c r="Y79" i="23"/>
  <c r="Z79" i="23"/>
  <c r="AA79" i="23"/>
  <c r="AB79" i="23"/>
  <c r="AC79" i="23"/>
  <c r="AD79" i="23"/>
  <c r="AE79" i="23"/>
  <c r="AG79" i="23"/>
  <c r="AG114" i="23" s="1"/>
  <c r="K87" i="23"/>
  <c r="O87" i="23"/>
  <c r="O116" i="23" s="1"/>
  <c r="S87" i="23"/>
  <c r="S116" i="23" s="1"/>
  <c r="K95" i="23"/>
  <c r="K118" i="23" s="1"/>
  <c r="L95" i="23"/>
  <c r="L118" i="23" s="1"/>
  <c r="M95" i="23"/>
  <c r="M118" i="23" s="1"/>
  <c r="N95" i="23"/>
  <c r="N118" i="23" s="1"/>
  <c r="O95" i="23"/>
  <c r="O118" i="23" s="1"/>
  <c r="P95" i="23"/>
  <c r="P118" i="23" s="1"/>
  <c r="Q95" i="23"/>
  <c r="Q118" i="23" s="1"/>
  <c r="R95" i="23"/>
  <c r="R118" i="23" s="1"/>
  <c r="S95" i="23"/>
  <c r="S118" i="23" s="1"/>
  <c r="T95" i="23"/>
  <c r="T118" i="23" s="1"/>
  <c r="U95" i="23"/>
  <c r="U118" i="23" s="1"/>
  <c r="V95" i="23"/>
  <c r="V118" i="23" s="1"/>
  <c r="W95" i="23"/>
  <c r="W118" i="23" s="1"/>
  <c r="X95" i="23"/>
  <c r="X118" i="23" s="1"/>
  <c r="Y95" i="23"/>
  <c r="Y118" i="23" s="1"/>
  <c r="Z95" i="23"/>
  <c r="Z118" i="23" s="1"/>
  <c r="AA95" i="23"/>
  <c r="AA118" i="23" s="1"/>
  <c r="AB95" i="23"/>
  <c r="AB118" i="23" s="1"/>
  <c r="AC95" i="23"/>
  <c r="AC118" i="23" s="1"/>
  <c r="AD95" i="23"/>
  <c r="AD118" i="23" s="1"/>
  <c r="AE95" i="23"/>
  <c r="AE118" i="23" s="1"/>
  <c r="K26" i="35"/>
  <c r="P21" i="6"/>
  <c r="O59" i="47"/>
  <c r="O62" i="47" s="1"/>
  <c r="M62" i="47"/>
  <c r="K147" i="21"/>
  <c r="AE103" i="23"/>
  <c r="AE120" i="23" s="1"/>
  <c r="V103" i="23"/>
  <c r="V120" i="23" s="1"/>
  <c r="U103" i="23"/>
  <c r="U120" i="23" s="1"/>
  <c r="T103" i="23"/>
  <c r="T120" i="23" s="1"/>
  <c r="R103" i="23"/>
  <c r="R120" i="23" s="1"/>
  <c r="Q103" i="23"/>
  <c r="Q120" i="23" s="1"/>
  <c r="R87" i="23"/>
  <c r="R116" i="23" s="1"/>
  <c r="AF71" i="23"/>
  <c r="Y55" i="47"/>
  <c r="O55" i="47"/>
  <c r="J55" i="47"/>
  <c r="N55" i="47"/>
  <c r="R55" i="47"/>
  <c r="V55" i="47"/>
  <c r="Z55" i="47"/>
  <c r="AD55" i="47"/>
  <c r="K55" i="47"/>
  <c r="P55" i="47"/>
  <c r="U55" i="47"/>
  <c r="AA55" i="47"/>
  <c r="AF55" i="47"/>
  <c r="Q55" i="47"/>
  <c r="X55" i="47"/>
  <c r="AE55" i="47"/>
  <c r="L304" i="46"/>
  <c r="T304" i="46"/>
  <c r="X304" i="46"/>
  <c r="AB304" i="46"/>
  <c r="AF304" i="46"/>
  <c r="J304" i="46"/>
  <c r="M304" i="46"/>
  <c r="AC304" i="46"/>
  <c r="V304" i="46"/>
  <c r="J107" i="23"/>
  <c r="V312" i="46"/>
  <c r="AD312" i="46"/>
  <c r="N306" i="46"/>
  <c r="R306" i="46"/>
  <c r="V306" i="46"/>
  <c r="Z306" i="46"/>
  <c r="AD306" i="46"/>
  <c r="L306" i="46"/>
  <c r="Q306" i="46"/>
  <c r="W306" i="46"/>
  <c r="AB306" i="46"/>
  <c r="AG306" i="46"/>
  <c r="H48" i="1"/>
  <c r="J95" i="46" s="1"/>
  <c r="J137" i="46"/>
  <c r="N310" i="46"/>
  <c r="R310" i="46"/>
  <c r="V310" i="46"/>
  <c r="Z310" i="46"/>
  <c r="AD310" i="46"/>
  <c r="U307" i="46"/>
  <c r="Y307" i="46"/>
  <c r="AG307" i="46"/>
  <c r="L21" i="35"/>
  <c r="K35" i="35"/>
  <c r="J35" i="35"/>
  <c r="J26" i="35"/>
  <c r="J21" i="35"/>
  <c r="L26" i="35"/>
  <c r="K21" i="35"/>
  <c r="AY418" i="36"/>
  <c r="AY420" i="36"/>
  <c r="AF3" i="36"/>
  <c r="R304" i="46" l="1"/>
  <c r="AD103" i="23"/>
  <c r="AD120" i="23" s="1"/>
  <c r="R85" i="24"/>
  <c r="Y85" i="24"/>
  <c r="AA35" i="6" s="1"/>
  <c r="U88" i="24"/>
  <c r="M314" i="1"/>
  <c r="M317" i="1" s="1"/>
  <c r="M71" i="23"/>
  <c r="M112" i="23" s="1"/>
  <c r="U71" i="23"/>
  <c r="U112" i="23" s="1"/>
  <c r="N20" i="6"/>
  <c r="V23" i="6"/>
  <c r="K21" i="26"/>
  <c r="N20" i="35" s="1"/>
  <c r="R12" i="26"/>
  <c r="U11" i="35" s="1"/>
  <c r="Z20" i="6"/>
  <c r="K66" i="23"/>
  <c r="AB21" i="6"/>
  <c r="AG21" i="6"/>
  <c r="Z24" i="6"/>
  <c r="O15" i="6"/>
  <c r="Z15" i="6"/>
  <c r="Y17" i="6"/>
  <c r="O84" i="46"/>
  <c r="AC182" i="22"/>
  <c r="AC23" i="25" s="1"/>
  <c r="AC76" i="26" s="1"/>
  <c r="Y24" i="38"/>
  <c r="Y43" i="38"/>
  <c r="AA43" i="38" s="1"/>
  <c r="Z44" i="38"/>
  <c r="M90" i="25"/>
  <c r="M92" i="25" s="1"/>
  <c r="M93" i="25" s="1"/>
  <c r="K52" i="22"/>
  <c r="P51" i="38"/>
  <c r="V51" i="38" s="1"/>
  <c r="L283" i="36" s="1"/>
  <c r="AG106" i="26"/>
  <c r="Y37" i="35"/>
  <c r="R62" i="47"/>
  <c r="AF182" i="22"/>
  <c r="AF17" i="47" s="1"/>
  <c r="T84" i="46"/>
  <c r="V24" i="6"/>
  <c r="AG103" i="23"/>
  <c r="AG120" i="23" s="1"/>
  <c r="T115" i="23"/>
  <c r="AG44" i="6"/>
  <c r="W12" i="38"/>
  <c r="Y127" i="23"/>
  <c r="Y128" i="23" s="1"/>
  <c r="AD71" i="23"/>
  <c r="AD112" i="23" s="1"/>
  <c r="AB17" i="6"/>
  <c r="S24" i="6"/>
  <c r="S21" i="6"/>
  <c r="Y15" i="6"/>
  <c r="AY453" i="36"/>
  <c r="Q118" i="36" s="1"/>
  <c r="I79" i="24"/>
  <c r="L24" i="6" s="1"/>
  <c r="W17" i="6"/>
  <c r="AF15" i="26"/>
  <c r="N15" i="6"/>
  <c r="AA182" i="22"/>
  <c r="AA17" i="47" s="1"/>
  <c r="I63" i="26"/>
  <c r="W45" i="38"/>
  <c r="X12" i="38"/>
  <c r="I94" i="26"/>
  <c r="W24" i="6"/>
  <c r="Y304" i="46"/>
  <c r="Y81" i="6" s="1"/>
  <c r="U127" i="23"/>
  <c r="U128" i="23" s="1"/>
  <c r="AF108" i="26"/>
  <c r="X44" i="38"/>
  <c r="R24" i="6"/>
  <c r="V45" i="35"/>
  <c r="Z45" i="38"/>
  <c r="X93" i="24"/>
  <c r="X103" i="23"/>
  <c r="X120" i="23" s="1"/>
  <c r="L90" i="25"/>
  <c r="V20" i="6"/>
  <c r="O17" i="6"/>
  <c r="V16" i="6"/>
  <c r="AC17" i="6"/>
  <c r="T14" i="21"/>
  <c r="T44" i="21" s="1"/>
  <c r="U45" i="21" s="1"/>
  <c r="U14" i="21"/>
  <c r="U44" i="21" s="1"/>
  <c r="Q182" i="22"/>
  <c r="Q17" i="47" s="1"/>
  <c r="R182" i="22"/>
  <c r="R17" i="47" s="1"/>
  <c r="I161" i="22"/>
  <c r="I121" i="22"/>
  <c r="P37" i="35"/>
  <c r="X51" i="38"/>
  <c r="I96" i="26"/>
  <c r="I95" i="26"/>
  <c r="X37" i="35"/>
  <c r="X45" i="38"/>
  <c r="Z45" i="35"/>
  <c r="Y44" i="35"/>
  <c r="Y45" i="38"/>
  <c r="AA45" i="38" s="1"/>
  <c r="AC24" i="6"/>
  <c r="P17" i="6"/>
  <c r="M87" i="24"/>
  <c r="V15" i="6"/>
  <c r="T131" i="6"/>
  <c r="Y51" i="38"/>
  <c r="Z44" i="35"/>
  <c r="I46" i="26"/>
  <c r="W45" i="35"/>
  <c r="R19" i="6"/>
  <c r="K84" i="46"/>
  <c r="I38" i="26"/>
  <c r="J65" i="26"/>
  <c r="M14" i="38" s="1"/>
  <c r="J44" i="26"/>
  <c r="M43" i="35" s="1"/>
  <c r="J90" i="25"/>
  <c r="J91" i="25" s="1"/>
  <c r="J94" i="25" s="1"/>
  <c r="J140" i="46"/>
  <c r="K103" i="22"/>
  <c r="Z93" i="24"/>
  <c r="AA43" i="6" s="1"/>
  <c r="O90" i="25"/>
  <c r="Y45" i="35"/>
  <c r="X45" i="35"/>
  <c r="R16" i="6"/>
  <c r="AD127" i="23"/>
  <c r="AD128" i="23" s="1"/>
  <c r="I138" i="21"/>
  <c r="J74" i="21"/>
  <c r="J123" i="46"/>
  <c r="J197" i="46" s="1"/>
  <c r="AD304" i="46"/>
  <c r="L182" i="22"/>
  <c r="L17" i="47" s="1"/>
  <c r="V21" i="6"/>
  <c r="AC65" i="24"/>
  <c r="Y182" i="22"/>
  <c r="AG182" i="22"/>
  <c r="AG17" i="47" s="1"/>
  <c r="AD182" i="22"/>
  <c r="AB182" i="22"/>
  <c r="AB23" i="25" s="1"/>
  <c r="AB76" i="26" s="1"/>
  <c r="I45" i="26"/>
  <c r="W51" i="38"/>
  <c r="AA51" i="38" s="1"/>
  <c r="O283" i="36" s="1"/>
  <c r="W44" i="35"/>
  <c r="P45" i="21"/>
  <c r="X44" i="35"/>
  <c r="J130" i="26"/>
  <c r="K308" i="1"/>
  <c r="K311" i="1" s="1"/>
  <c r="O73" i="24"/>
  <c r="O65" i="24"/>
  <c r="I61" i="47"/>
  <c r="M35" i="47"/>
  <c r="M36" i="47" s="1"/>
  <c r="N33" i="47"/>
  <c r="M51" i="47"/>
  <c r="M25" i="6"/>
  <c r="J49" i="38"/>
  <c r="J54" i="38" s="1"/>
  <c r="J56" i="38" s="1"/>
  <c r="K55" i="38" s="1"/>
  <c r="K56" i="38" s="1"/>
  <c r="Z37" i="35"/>
  <c r="K49" i="38"/>
  <c r="K54" i="38" s="1"/>
  <c r="I159" i="6"/>
  <c r="K172" i="22"/>
  <c r="J131" i="26"/>
  <c r="I162" i="22"/>
  <c r="W182" i="22"/>
  <c r="W17" i="47" s="1"/>
  <c r="I36" i="22"/>
  <c r="I174" i="22"/>
  <c r="O274" i="36"/>
  <c r="I153" i="22"/>
  <c r="I149" i="22"/>
  <c r="M182" i="22"/>
  <c r="M23" i="25" s="1"/>
  <c r="M76" i="26" s="1"/>
  <c r="P25" i="38" s="1"/>
  <c r="T182" i="22"/>
  <c r="T17" i="47" s="1"/>
  <c r="I104" i="6"/>
  <c r="M37" i="35"/>
  <c r="W37" i="35"/>
  <c r="I168" i="6"/>
  <c r="Z131" i="6"/>
  <c r="I109" i="6"/>
  <c r="V131" i="6"/>
  <c r="AB131" i="6"/>
  <c r="W14" i="21"/>
  <c r="W44" i="21" s="1"/>
  <c r="W45" i="21" s="1"/>
  <c r="P84" i="46"/>
  <c r="M86" i="6"/>
  <c r="I107" i="6"/>
  <c r="B34" i="46"/>
  <c r="B175" i="46"/>
  <c r="B101" i="46"/>
  <c r="AF79" i="23"/>
  <c r="AF114" i="23" s="1"/>
  <c r="AG71" i="23"/>
  <c r="AG112" i="23" s="1"/>
  <c r="AG95" i="23"/>
  <c r="AG118" i="23" s="1"/>
  <c r="AG83" i="23"/>
  <c r="AG115" i="23" s="1"/>
  <c r="AG75" i="23"/>
  <c r="AF107" i="23"/>
  <c r="AF121" i="23" s="1"/>
  <c r="AG107" i="23"/>
  <c r="AG121" i="23" s="1"/>
  <c r="AF95" i="23"/>
  <c r="AF118" i="23" s="1"/>
  <c r="AF83" i="23"/>
  <c r="AF115" i="23" s="1"/>
  <c r="AF75" i="23"/>
  <c r="AF113" i="23" s="1"/>
  <c r="I148" i="21"/>
  <c r="V45" i="21"/>
  <c r="L83" i="23"/>
  <c r="L115" i="23" s="1"/>
  <c r="Q65" i="24"/>
  <c r="N103" i="23"/>
  <c r="N120" i="23" s="1"/>
  <c r="AB115" i="23"/>
  <c r="Q83" i="23"/>
  <c r="Q115" i="23" s="1"/>
  <c r="M24" i="6"/>
  <c r="W85" i="24"/>
  <c r="K94" i="24"/>
  <c r="I94" i="24" s="1"/>
  <c r="L44" i="6" s="1"/>
  <c r="S39" i="6"/>
  <c r="AY444" i="36"/>
  <c r="Q109" i="36" s="1"/>
  <c r="K313" i="46"/>
  <c r="M90" i="6" s="1"/>
  <c r="Q15" i="26"/>
  <c r="T14" i="35" s="1"/>
  <c r="AF65" i="24"/>
  <c r="J78" i="24"/>
  <c r="J21" i="24"/>
  <c r="W304" i="46"/>
  <c r="Z81" i="6" s="1"/>
  <c r="V66" i="23"/>
  <c r="O90" i="6"/>
  <c r="Q307" i="46"/>
  <c r="Y115" i="23"/>
  <c r="AF88" i="24"/>
  <c r="O85" i="6"/>
  <c r="AC90" i="6"/>
  <c r="J76" i="21"/>
  <c r="J110" i="21" s="1"/>
  <c r="T39" i="6"/>
  <c r="I130" i="21"/>
  <c r="I121" i="21"/>
  <c r="O182" i="22"/>
  <c r="O23" i="25" s="1"/>
  <c r="O76" i="26" s="1"/>
  <c r="R25" i="38" s="1"/>
  <c r="J146" i="46"/>
  <c r="J62" i="21"/>
  <c r="J96" i="21" s="1"/>
  <c r="J151" i="46"/>
  <c r="K182" i="22"/>
  <c r="K17" i="47" s="1"/>
  <c r="R23" i="25"/>
  <c r="R76" i="26" s="1"/>
  <c r="U25" i="38" s="1"/>
  <c r="I36" i="39"/>
  <c r="I45" i="39" s="1"/>
  <c r="AA12" i="38"/>
  <c r="I35" i="39"/>
  <c r="X182" i="22"/>
  <c r="X17" i="47" s="1"/>
  <c r="Q90" i="25"/>
  <c r="T90" i="25"/>
  <c r="T92" i="25" s="1"/>
  <c r="T93" i="25" s="1"/>
  <c r="AB90" i="25"/>
  <c r="U90" i="25"/>
  <c r="U92" i="25" s="1"/>
  <c r="Z90" i="25"/>
  <c r="Z92" i="25" s="1"/>
  <c r="AA90" i="25"/>
  <c r="AA92" i="25" s="1"/>
  <c r="AA93" i="25" s="1"/>
  <c r="AC90" i="25"/>
  <c r="AC92" i="25" s="1"/>
  <c r="N90" i="25"/>
  <c r="N92" i="25" s="1"/>
  <c r="N93" i="25" s="1"/>
  <c r="P90" i="25"/>
  <c r="W90" i="25"/>
  <c r="S90" i="25"/>
  <c r="S92" i="25" s="1"/>
  <c r="AG90" i="25"/>
  <c r="AG92" i="25" s="1"/>
  <c r="AG93" i="25" s="1"/>
  <c r="R90" i="25"/>
  <c r="V90" i="25"/>
  <c r="Y90" i="25"/>
  <c r="Y92" i="25" s="1"/>
  <c r="Y93" i="25" s="1"/>
  <c r="AD90" i="25"/>
  <c r="AD92" i="25" s="1"/>
  <c r="AD93" i="25" s="1"/>
  <c r="AE90" i="25"/>
  <c r="AE92" i="25" s="1"/>
  <c r="AE93" i="25" s="1"/>
  <c r="AF90" i="25"/>
  <c r="AF92" i="25" s="1"/>
  <c r="AF93" i="25" s="1"/>
  <c r="X90" i="25"/>
  <c r="C137" i="21"/>
  <c r="C100" i="21"/>
  <c r="C163" i="21"/>
  <c r="C66" i="21"/>
  <c r="I129" i="21"/>
  <c r="I139" i="21"/>
  <c r="S182" i="22"/>
  <c r="S23" i="25" s="1"/>
  <c r="S76" i="26" s="1"/>
  <c r="U182" i="22"/>
  <c r="U17" i="47" s="1"/>
  <c r="J92" i="25"/>
  <c r="J106" i="25" s="1"/>
  <c r="J97" i="46"/>
  <c r="J171" i="46" s="1"/>
  <c r="J110" i="46"/>
  <c r="J184" i="46" s="1"/>
  <c r="U40" i="6"/>
  <c r="T40" i="6"/>
  <c r="X28" i="38"/>
  <c r="I131" i="21"/>
  <c r="L28" i="35"/>
  <c r="I141" i="6"/>
  <c r="I151" i="6"/>
  <c r="I52" i="26"/>
  <c r="AA44" i="35"/>
  <c r="L69" i="36"/>
  <c r="I139" i="26"/>
  <c r="I148" i="26" s="1"/>
  <c r="I153" i="26" s="1"/>
  <c r="AA45" i="35"/>
  <c r="I114" i="6"/>
  <c r="I172" i="6"/>
  <c r="K115" i="25"/>
  <c r="J143" i="26"/>
  <c r="I92" i="26"/>
  <c r="Y41" i="38"/>
  <c r="Z41" i="38"/>
  <c r="W41" i="38"/>
  <c r="X41" i="38"/>
  <c r="M41" i="38"/>
  <c r="V41" i="38" s="1"/>
  <c r="I136" i="6"/>
  <c r="I143" i="6"/>
  <c r="I161" i="6"/>
  <c r="I156" i="6"/>
  <c r="I160" i="6"/>
  <c r="I153" i="6"/>
  <c r="I163" i="6"/>
  <c r="J144" i="26"/>
  <c r="K125" i="25"/>
  <c r="AA44" i="38"/>
  <c r="I80" i="26"/>
  <c r="N29" i="38"/>
  <c r="V29" i="38" s="1"/>
  <c r="W28" i="38"/>
  <c r="Y29" i="38"/>
  <c r="I79" i="26"/>
  <c r="Z28" i="38"/>
  <c r="Y28" i="38"/>
  <c r="I116" i="6"/>
  <c r="I157" i="6"/>
  <c r="I170" i="6"/>
  <c r="J145" i="26"/>
  <c r="K135" i="25"/>
  <c r="X29" i="38"/>
  <c r="Z29" i="38"/>
  <c r="W29" i="38"/>
  <c r="I75" i="26"/>
  <c r="X24" i="38"/>
  <c r="AA24" i="38" s="1"/>
  <c r="L49" i="38"/>
  <c r="L54" i="38" s="1"/>
  <c r="I158" i="6"/>
  <c r="AA23" i="25"/>
  <c r="AA76" i="26" s="1"/>
  <c r="I135" i="6"/>
  <c r="I144" i="6"/>
  <c r="AF173" i="6"/>
  <c r="AF178" i="6" s="1"/>
  <c r="I140" i="6"/>
  <c r="J20" i="22"/>
  <c r="J37" i="22"/>
  <c r="J38" i="22" s="1"/>
  <c r="J113" i="26" s="1"/>
  <c r="J137" i="22"/>
  <c r="K136" i="22" s="1"/>
  <c r="K154" i="22" s="1"/>
  <c r="J154" i="22"/>
  <c r="J155" i="22" s="1"/>
  <c r="J115" i="26" s="1"/>
  <c r="J164" i="22"/>
  <c r="J41" i="26" s="1"/>
  <c r="P182" i="22"/>
  <c r="P23" i="25" s="1"/>
  <c r="P76" i="26" s="1"/>
  <c r="S25" i="38" s="1"/>
  <c r="I133" i="6"/>
  <c r="J40" i="26"/>
  <c r="I180" i="22"/>
  <c r="O273" i="36"/>
  <c r="O275" i="36"/>
  <c r="L273" i="36"/>
  <c r="I112" i="6"/>
  <c r="AF117" i="6"/>
  <c r="AF126" i="6" s="1"/>
  <c r="AF18" i="25" s="1"/>
  <c r="AF71" i="26" s="1"/>
  <c r="I155" i="6"/>
  <c r="I132" i="6"/>
  <c r="I150" i="6"/>
  <c r="I152" i="6"/>
  <c r="I164" i="6"/>
  <c r="I166" i="6"/>
  <c r="I171" i="6"/>
  <c r="I147" i="6"/>
  <c r="I142" i="6"/>
  <c r="AG173" i="6"/>
  <c r="AG182" i="6" s="1"/>
  <c r="J79" i="22"/>
  <c r="K78" i="22" s="1"/>
  <c r="K79" i="22" s="1"/>
  <c r="L78" i="22" s="1"/>
  <c r="J122" i="22"/>
  <c r="J123" i="22" s="1"/>
  <c r="I160" i="22"/>
  <c r="V182" i="22"/>
  <c r="K78" i="26"/>
  <c r="I25" i="25"/>
  <c r="J64" i="26"/>
  <c r="J39" i="36"/>
  <c r="I14" i="25"/>
  <c r="I117" i="22"/>
  <c r="AC44" i="36"/>
  <c r="L272" i="36"/>
  <c r="I134" i="6"/>
  <c r="I139" i="6"/>
  <c r="I145" i="6"/>
  <c r="I169" i="6"/>
  <c r="I137" i="6"/>
  <c r="I165" i="6"/>
  <c r="I149" i="6"/>
  <c r="I167" i="6"/>
  <c r="Z182" i="22"/>
  <c r="AE182" i="22"/>
  <c r="AE17" i="47" s="1"/>
  <c r="X26" i="38"/>
  <c r="M26" i="38"/>
  <c r="V26" i="38" s="1"/>
  <c r="I77" i="26"/>
  <c r="Y26" i="38"/>
  <c r="Z26" i="38"/>
  <c r="W26" i="38"/>
  <c r="K175" i="22"/>
  <c r="AC13" i="44"/>
  <c r="AC131" i="6"/>
  <c r="AG117" i="6"/>
  <c r="AG122" i="6" s="1"/>
  <c r="I113" i="6"/>
  <c r="AA131" i="6"/>
  <c r="U131" i="6"/>
  <c r="I108" i="6"/>
  <c r="I105" i="6"/>
  <c r="AE117" i="6"/>
  <c r="AE122" i="6" s="1"/>
  <c r="I103" i="6"/>
  <c r="O34" i="35"/>
  <c r="V34" i="35" s="1"/>
  <c r="I35" i="26"/>
  <c r="X34" i="35"/>
  <c r="W34" i="35"/>
  <c r="Y34" i="35"/>
  <c r="I66" i="44"/>
  <c r="X131" i="6"/>
  <c r="I115" i="6"/>
  <c r="Z34" i="35"/>
  <c r="Y131" i="6"/>
  <c r="W131" i="6"/>
  <c r="AA82" i="6"/>
  <c r="Q90" i="6"/>
  <c r="Q82" i="6"/>
  <c r="Z90" i="6"/>
  <c r="AD14" i="21"/>
  <c r="AD44" i="21" s="1"/>
  <c r="AD45" i="21" s="1"/>
  <c r="AD84" i="46"/>
  <c r="S84" i="46"/>
  <c r="S14" i="21"/>
  <c r="S44" i="21" s="1"/>
  <c r="P90" i="6"/>
  <c r="R90" i="6"/>
  <c r="Z84" i="46"/>
  <c r="Z14" i="21"/>
  <c r="Z44" i="21" s="1"/>
  <c r="Z45" i="21" s="1"/>
  <c r="L14" i="21"/>
  <c r="L44" i="21" s="1"/>
  <c r="L45" i="21" s="1"/>
  <c r="L84" i="46"/>
  <c r="Q14" i="21"/>
  <c r="Q44" i="21" s="1"/>
  <c r="R45" i="21" s="1"/>
  <c r="Q84" i="46"/>
  <c r="AA84" i="46"/>
  <c r="AA90" i="6"/>
  <c r="AG90" i="6"/>
  <c r="AB14" i="21"/>
  <c r="AB44" i="21" s="1"/>
  <c r="AC45" i="21" s="1"/>
  <c r="AB84" i="46"/>
  <c r="R84" i="46"/>
  <c r="X14" i="21"/>
  <c r="X44" i="21" s="1"/>
  <c r="X84" i="46"/>
  <c r="O86" i="6"/>
  <c r="W82" i="6"/>
  <c r="AF90" i="6"/>
  <c r="M84" i="46"/>
  <c r="M14" i="21"/>
  <c r="M44" i="21" s="1"/>
  <c r="J84" i="46"/>
  <c r="J14" i="21"/>
  <c r="I317" i="46"/>
  <c r="AC84" i="46"/>
  <c r="I140" i="21"/>
  <c r="O45" i="21"/>
  <c r="I149" i="21"/>
  <c r="AF20" i="26"/>
  <c r="AF191" i="23"/>
  <c r="AF192" i="23" s="1"/>
  <c r="AF23" i="6"/>
  <c r="AF312" i="46"/>
  <c r="Y312" i="46"/>
  <c r="Y191" i="23"/>
  <c r="Y192" i="23" s="1"/>
  <c r="Y23" i="6"/>
  <c r="Y20" i="26"/>
  <c r="M85" i="6"/>
  <c r="K135" i="23"/>
  <c r="K136" i="23" s="1"/>
  <c r="K75" i="23"/>
  <c r="K113" i="23" s="1"/>
  <c r="K305" i="46"/>
  <c r="K13" i="26"/>
  <c r="N12" i="35" s="1"/>
  <c r="AY445" i="36"/>
  <c r="Q110" i="36" s="1"/>
  <c r="AD73" i="24"/>
  <c r="AD65" i="24"/>
  <c r="L307" i="46"/>
  <c r="L151" i="23"/>
  <c r="L152" i="23" s="1"/>
  <c r="L15" i="26"/>
  <c r="O14" i="35" s="1"/>
  <c r="K307" i="46"/>
  <c r="K15" i="26"/>
  <c r="N14" i="35" s="1"/>
  <c r="K151" i="23"/>
  <c r="K152" i="23" s="1"/>
  <c r="Z191" i="23"/>
  <c r="Z192" i="23" s="1"/>
  <c r="Z20" i="26"/>
  <c r="Z23" i="6"/>
  <c r="AA307" i="46"/>
  <c r="AA151" i="23"/>
  <c r="AA152" i="23" s="1"/>
  <c r="AA15" i="26"/>
  <c r="O11" i="35"/>
  <c r="P12" i="26"/>
  <c r="P71" i="23"/>
  <c r="P112" i="23" s="1"/>
  <c r="P127" i="23"/>
  <c r="P128" i="23" s="1"/>
  <c r="P15" i="6"/>
  <c r="R15" i="6"/>
  <c r="J73" i="24"/>
  <c r="M18" i="6" s="1"/>
  <c r="I39" i="24"/>
  <c r="S307" i="46"/>
  <c r="S151" i="23"/>
  <c r="S152" i="23" s="1"/>
  <c r="S15" i="26"/>
  <c r="R73" i="24"/>
  <c r="R65" i="24"/>
  <c r="O312" i="46"/>
  <c r="O191" i="23"/>
  <c r="O192" i="23" s="1"/>
  <c r="O20" i="26"/>
  <c r="R19" i="35" s="1"/>
  <c r="S191" i="23"/>
  <c r="S192" i="23" s="1"/>
  <c r="S20" i="26"/>
  <c r="S312" i="46"/>
  <c r="S89" i="6" s="1"/>
  <c r="S23" i="6"/>
  <c r="AA65" i="24"/>
  <c r="L65" i="24"/>
  <c r="M306" i="46"/>
  <c r="N83" i="6" s="1"/>
  <c r="M14" i="26"/>
  <c r="P13" i="35" s="1"/>
  <c r="AY446" i="36"/>
  <c r="Q111" i="36" s="1"/>
  <c r="M143" i="23"/>
  <c r="M144" i="23" s="1"/>
  <c r="N11" i="35"/>
  <c r="Q11" i="35"/>
  <c r="P304" i="46"/>
  <c r="Z103" i="23"/>
  <c r="Z120" i="23" s="1"/>
  <c r="AA83" i="23"/>
  <c r="AA115" i="23" s="1"/>
  <c r="S83" i="23"/>
  <c r="S115" i="23" s="1"/>
  <c r="K83" i="23"/>
  <c r="K115" i="23" s="1"/>
  <c r="AC86" i="6"/>
  <c r="R86" i="6"/>
  <c r="N17" i="6"/>
  <c r="N16" i="6"/>
  <c r="AF40" i="6"/>
  <c r="AB44" i="6"/>
  <c r="X44" i="6"/>
  <c r="V44" i="6"/>
  <c r="K86" i="24"/>
  <c r="M36" i="6" s="1"/>
  <c r="AA88" i="24"/>
  <c r="K88" i="24"/>
  <c r="AX445" i="36"/>
  <c r="L110" i="36" s="1"/>
  <c r="P11" i="35"/>
  <c r="M12" i="35"/>
  <c r="M312" i="46"/>
  <c r="M191" i="23"/>
  <c r="M192" i="23" s="1"/>
  <c r="M20" i="26"/>
  <c r="P19" i="35" s="1"/>
  <c r="AC191" i="23"/>
  <c r="AC192" i="23" s="1"/>
  <c r="AC312" i="46"/>
  <c r="AC20" i="26"/>
  <c r="AC23" i="6"/>
  <c r="J128" i="23"/>
  <c r="J129" i="23" s="1"/>
  <c r="J132" i="23" s="1"/>
  <c r="J133" i="23" s="1"/>
  <c r="K131" i="23" s="1"/>
  <c r="Z82" i="6"/>
  <c r="M15" i="35"/>
  <c r="V15" i="35" s="1"/>
  <c r="U90" i="6"/>
  <c r="J65" i="24"/>
  <c r="V73" i="24"/>
  <c r="V65" i="24"/>
  <c r="M16" i="35"/>
  <c r="V16" i="35" s="1"/>
  <c r="W16" i="35"/>
  <c r="I17" i="26"/>
  <c r="X16" i="35"/>
  <c r="Y16" i="35"/>
  <c r="Z16" i="35"/>
  <c r="K121" i="23"/>
  <c r="I64" i="23"/>
  <c r="Z73" i="24"/>
  <c r="AC18" i="6" s="1"/>
  <c r="Z65" i="24"/>
  <c r="J18" i="26"/>
  <c r="AX450" i="36"/>
  <c r="L115" i="36" s="1"/>
  <c r="AY450" i="36"/>
  <c r="Q115" i="36" s="1"/>
  <c r="J175" i="23"/>
  <c r="I76" i="24"/>
  <c r="L21" i="6" s="1"/>
  <c r="L20" i="26"/>
  <c r="O19" i="35" s="1"/>
  <c r="L191" i="23"/>
  <c r="L192" i="23" s="1"/>
  <c r="L312" i="46"/>
  <c r="M18" i="35"/>
  <c r="T23" i="6"/>
  <c r="AG191" i="23"/>
  <c r="AG192" i="23" s="1"/>
  <c r="AG312" i="46"/>
  <c r="AG20" i="26"/>
  <c r="AG23" i="6"/>
  <c r="J144" i="23"/>
  <c r="J40" i="23"/>
  <c r="I38" i="23"/>
  <c r="M20" i="35"/>
  <c r="V20" i="35" s="1"/>
  <c r="W20" i="35"/>
  <c r="I21" i="26"/>
  <c r="X20" i="35"/>
  <c r="Y20" i="35"/>
  <c r="Z20" i="35"/>
  <c r="V90" i="6"/>
  <c r="W90" i="6"/>
  <c r="O12" i="26"/>
  <c r="O71" i="23"/>
  <c r="O112" i="23" s="1"/>
  <c r="O127" i="23"/>
  <c r="O128" i="23" s="1"/>
  <c r="W191" i="23"/>
  <c r="W192" i="23" s="1"/>
  <c r="W312" i="46"/>
  <c r="W23" i="6"/>
  <c r="W20" i="26"/>
  <c r="AA191" i="23"/>
  <c r="AA192" i="23" s="1"/>
  <c r="AA20" i="26"/>
  <c r="AA312" i="46"/>
  <c r="AA23" i="6"/>
  <c r="L305" i="46"/>
  <c r="L135" i="23"/>
  <c r="L136" i="23" s="1"/>
  <c r="L75" i="23"/>
  <c r="L113" i="23" s="1"/>
  <c r="L13" i="26"/>
  <c r="O12" i="35" s="1"/>
  <c r="T82" i="6"/>
  <c r="AB305" i="46"/>
  <c r="AB82" i="6" s="1"/>
  <c r="AB135" i="23"/>
  <c r="AB136" i="23" s="1"/>
  <c r="AB75" i="23"/>
  <c r="AB113" i="23" s="1"/>
  <c r="AB16" i="6"/>
  <c r="AB13" i="26"/>
  <c r="U306" i="46"/>
  <c r="V83" i="6" s="1"/>
  <c r="U143" i="23"/>
  <c r="U144" i="23" s="1"/>
  <c r="X17" i="6"/>
  <c r="U14" i="26"/>
  <c r="U17" i="6"/>
  <c r="M15" i="26"/>
  <c r="P14" i="35" s="1"/>
  <c r="M151" i="23"/>
  <c r="M152" i="23" s="1"/>
  <c r="J310" i="46"/>
  <c r="M87" i="6" s="1"/>
  <c r="O103" i="23"/>
  <c r="O120" i="23" s="1"/>
  <c r="S103" i="23"/>
  <c r="S120" i="23" s="1"/>
  <c r="W103" i="23"/>
  <c r="W120" i="23" s="1"/>
  <c r="AA103" i="23"/>
  <c r="AA120" i="23" s="1"/>
  <c r="Z86" i="6"/>
  <c r="M17" i="6"/>
  <c r="K24" i="6"/>
  <c r="AE40" i="6"/>
  <c r="M40" i="6"/>
  <c r="Q40" i="6"/>
  <c r="AF44" i="6"/>
  <c r="S93" i="24"/>
  <c r="S43" i="6" s="1"/>
  <c r="W93" i="24"/>
  <c r="X43" i="6" s="1"/>
  <c r="AC93" i="24"/>
  <c r="AD43" i="6" s="1"/>
  <c r="M93" i="24"/>
  <c r="W36" i="6"/>
  <c r="AA36" i="6"/>
  <c r="O36" i="6"/>
  <c r="V36" i="6"/>
  <c r="V41" i="6"/>
  <c r="N41" i="6"/>
  <c r="P37" i="6"/>
  <c r="AC37" i="6"/>
  <c r="N85" i="6"/>
  <c r="Q15" i="6"/>
  <c r="J136" i="23"/>
  <c r="J137" i="23" s="1"/>
  <c r="J140" i="23" s="1"/>
  <c r="J141" i="23" s="1"/>
  <c r="K139" i="23" s="1"/>
  <c r="Q191" i="23"/>
  <c r="Q192" i="23" s="1"/>
  <c r="Q23" i="6"/>
  <c r="Q312" i="46"/>
  <c r="Q20" i="26"/>
  <c r="T19" i="35" s="1"/>
  <c r="Q85" i="6"/>
  <c r="P85" i="6"/>
  <c r="S85" i="6"/>
  <c r="R85" i="6"/>
  <c r="M11" i="35"/>
  <c r="J160" i="23"/>
  <c r="T308" i="46"/>
  <c r="T85" i="6" s="1"/>
  <c r="T87" i="23"/>
  <c r="T116" i="23" s="1"/>
  <c r="T159" i="23"/>
  <c r="T160" i="23" s="1"/>
  <c r="T19" i="6"/>
  <c r="T16" i="26"/>
  <c r="S82" i="6"/>
  <c r="N18" i="6"/>
  <c r="J168" i="23"/>
  <c r="I167" i="23"/>
  <c r="AC15" i="26"/>
  <c r="AC151" i="23"/>
  <c r="AC152" i="23" s="1"/>
  <c r="L77" i="24"/>
  <c r="M18" i="24"/>
  <c r="L21" i="24"/>
  <c r="L20" i="6"/>
  <c r="N191" i="23"/>
  <c r="N192" i="23" s="1"/>
  <c r="N20" i="26"/>
  <c r="Q19" i="35" s="1"/>
  <c r="S90" i="6"/>
  <c r="X73" i="24"/>
  <c r="X65" i="24"/>
  <c r="AE73" i="24"/>
  <c r="AE65" i="24"/>
  <c r="T90" i="6"/>
  <c r="L80" i="24"/>
  <c r="T127" i="23"/>
  <c r="T128" i="23" s="1"/>
  <c r="T71" i="23"/>
  <c r="T112" i="23" s="1"/>
  <c r="T12" i="26"/>
  <c r="U15" i="6"/>
  <c r="T15" i="6"/>
  <c r="AC135" i="23"/>
  <c r="AC136" i="23" s="1"/>
  <c r="AC305" i="46"/>
  <c r="AC75" i="23"/>
  <c r="AC113" i="23" s="1"/>
  <c r="AC13" i="26"/>
  <c r="AE16" i="6"/>
  <c r="AC16" i="6"/>
  <c r="AD16" i="6"/>
  <c r="I72" i="24"/>
  <c r="P73" i="24"/>
  <c r="P65" i="24"/>
  <c r="AB312" i="46"/>
  <c r="AB20" i="26"/>
  <c r="AB191" i="23"/>
  <c r="AB192" i="23" s="1"/>
  <c r="AB23" i="6"/>
  <c r="J200" i="23"/>
  <c r="I199" i="23"/>
  <c r="AD90" i="6"/>
  <c r="R82" i="6"/>
  <c r="K65" i="24"/>
  <c r="S65" i="24"/>
  <c r="W12" i="26"/>
  <c r="W71" i="23"/>
  <c r="W112" i="23" s="1"/>
  <c r="W127" i="23"/>
  <c r="W128" i="23" s="1"/>
  <c r="W15" i="6"/>
  <c r="X15" i="6"/>
  <c r="AE312" i="46"/>
  <c r="AE191" i="23"/>
  <c r="AE192" i="23" s="1"/>
  <c r="AE23" i="6"/>
  <c r="AE20" i="26"/>
  <c r="P82" i="6"/>
  <c r="M65" i="24"/>
  <c r="AC307" i="46"/>
  <c r="M307" i="46"/>
  <c r="N312" i="46"/>
  <c r="O304" i="46"/>
  <c r="O81" i="6" s="1"/>
  <c r="L103" i="23"/>
  <c r="L120" i="23" s="1"/>
  <c r="AB103" i="23"/>
  <c r="AB120" i="23" s="1"/>
  <c r="AF103" i="23"/>
  <c r="AF120" i="23" s="1"/>
  <c r="U79" i="23"/>
  <c r="U114" i="23" s="1"/>
  <c r="M79" i="23"/>
  <c r="M114" i="23" s="1"/>
  <c r="AC83" i="23"/>
  <c r="AC115" i="23" s="1"/>
  <c r="M83" i="23"/>
  <c r="M115" i="23" s="1"/>
  <c r="K20" i="6"/>
  <c r="M16" i="6"/>
  <c r="P85" i="24"/>
  <c r="S35" i="6" s="1"/>
  <c r="O85" i="24"/>
  <c r="O35" i="6" s="1"/>
  <c r="O39" i="6"/>
  <c r="M39" i="6"/>
  <c r="O93" i="24"/>
  <c r="Y93" i="24"/>
  <c r="AC86" i="24"/>
  <c r="AE36" i="6" s="1"/>
  <c r="M88" i="24"/>
  <c r="AB41" i="6"/>
  <c r="J91" i="24"/>
  <c r="M41" i="6" s="1"/>
  <c r="U87" i="24"/>
  <c r="U37" i="6" s="1"/>
  <c r="Y37" i="6"/>
  <c r="O37" i="6"/>
  <c r="I71" i="24"/>
  <c r="U312" i="46"/>
  <c r="U191" i="23"/>
  <c r="U192" i="23" s="1"/>
  <c r="U20" i="26"/>
  <c r="U23" i="6"/>
  <c r="O23" i="6"/>
  <c r="V117" i="23"/>
  <c r="AX444" i="36"/>
  <c r="I70" i="24"/>
  <c r="J116" i="23"/>
  <c r="U74" i="24"/>
  <c r="V15" i="24"/>
  <c r="O16" i="6"/>
  <c r="R20" i="26"/>
  <c r="U19" i="35" s="1"/>
  <c r="R23" i="6"/>
  <c r="R191" i="23"/>
  <c r="R192" i="23" s="1"/>
  <c r="Y90" i="6"/>
  <c r="AE90" i="6"/>
  <c r="W73" i="24"/>
  <c r="W65" i="24"/>
  <c r="K99" i="23"/>
  <c r="K119" i="23" s="1"/>
  <c r="K183" i="23"/>
  <c r="K184" i="23" s="1"/>
  <c r="K19" i="26"/>
  <c r="N18" i="35" s="1"/>
  <c r="K311" i="46"/>
  <c r="T307" i="46"/>
  <c r="T151" i="23"/>
  <c r="T152" i="23" s="1"/>
  <c r="T15" i="26"/>
  <c r="X312" i="46"/>
  <c r="X191" i="23"/>
  <c r="X192" i="23" s="1"/>
  <c r="X23" i="6"/>
  <c r="X20" i="26"/>
  <c r="J184" i="23"/>
  <c r="X90" i="6"/>
  <c r="AB90" i="6"/>
  <c r="N90" i="6"/>
  <c r="P23" i="6"/>
  <c r="P312" i="46"/>
  <c r="P20" i="26"/>
  <c r="S19" i="35" s="1"/>
  <c r="P191" i="23"/>
  <c r="P192" i="23" s="1"/>
  <c r="AF305" i="46"/>
  <c r="AF135" i="23"/>
  <c r="AF136" i="23" s="1"/>
  <c r="AG16" i="6"/>
  <c r="AF16" i="6"/>
  <c r="AF13" i="26"/>
  <c r="U82" i="6"/>
  <c r="V82" i="6"/>
  <c r="Y82" i="6"/>
  <c r="M13" i="35"/>
  <c r="V17" i="6"/>
  <c r="AD191" i="23"/>
  <c r="AD192" i="23" s="1"/>
  <c r="AD20" i="26"/>
  <c r="AD23" i="6"/>
  <c r="K78" i="24"/>
  <c r="I19" i="24"/>
  <c r="S12" i="26"/>
  <c r="S304" i="46"/>
  <c r="U81" i="6" s="1"/>
  <c r="S71" i="23"/>
  <c r="S112" i="23" s="1"/>
  <c r="S127" i="23"/>
  <c r="S128" i="23" s="1"/>
  <c r="S15" i="6"/>
  <c r="AA12" i="26"/>
  <c r="AA304" i="46"/>
  <c r="AC81" i="6" s="1"/>
  <c r="AA71" i="23"/>
  <c r="AA112" i="23" s="1"/>
  <c r="AA15" i="6"/>
  <c r="AB15" i="6"/>
  <c r="AA127" i="23"/>
  <c r="AA128" i="23" s="1"/>
  <c r="AC15" i="6"/>
  <c r="AD15" i="6"/>
  <c r="AE12" i="26"/>
  <c r="AE71" i="23"/>
  <c r="AE112" i="23" s="1"/>
  <c r="AE304" i="46"/>
  <c r="AE15" i="6"/>
  <c r="AE127" i="23"/>
  <c r="AE128" i="23" s="1"/>
  <c r="AG15" i="6"/>
  <c r="AF15" i="6"/>
  <c r="X82" i="6"/>
  <c r="L23" i="25"/>
  <c r="L76" i="26" s="1"/>
  <c r="O25" i="38" s="1"/>
  <c r="AE87" i="6"/>
  <c r="AD87" i="6"/>
  <c r="AF87" i="6"/>
  <c r="AG87" i="6"/>
  <c r="N87" i="6"/>
  <c r="Q87" i="6"/>
  <c r="P87" i="6"/>
  <c r="O87" i="6"/>
  <c r="J220" i="46"/>
  <c r="J214" i="46"/>
  <c r="J225" i="46"/>
  <c r="J169" i="46"/>
  <c r="Y83" i="6"/>
  <c r="AA83" i="6"/>
  <c r="Z83" i="6"/>
  <c r="M81" i="6"/>
  <c r="N81" i="6"/>
  <c r="X81" i="6"/>
  <c r="L49" i="47"/>
  <c r="L50" i="47" s="1"/>
  <c r="AG56" i="47" s="1"/>
  <c r="AB114" i="23"/>
  <c r="X114" i="23"/>
  <c r="T114" i="23"/>
  <c r="P114" i="23"/>
  <c r="L114" i="23"/>
  <c r="J118" i="23"/>
  <c r="AG113" i="23"/>
  <c r="AF86" i="6"/>
  <c r="AG86" i="6"/>
  <c r="AE86" i="6"/>
  <c r="I122" i="21"/>
  <c r="J182" i="22"/>
  <c r="I32" i="22"/>
  <c r="I91" i="22"/>
  <c r="AB35" i="6"/>
  <c r="AC35" i="6"/>
  <c r="M35" i="6"/>
  <c r="W40" i="6"/>
  <c r="Z40" i="6"/>
  <c r="P44" i="6"/>
  <c r="M17" i="47"/>
  <c r="K91" i="25"/>
  <c r="K94" i="25" s="1"/>
  <c r="K92" i="25"/>
  <c r="K93" i="25" s="1"/>
  <c r="S17" i="47"/>
  <c r="AF23" i="25"/>
  <c r="AF76" i="26" s="1"/>
  <c r="P41" i="6"/>
  <c r="Q41" i="6"/>
  <c r="S41" i="6"/>
  <c r="Y17" i="47"/>
  <c r="Y23" i="25"/>
  <c r="Y76" i="26" s="1"/>
  <c r="R37" i="6"/>
  <c r="AD37" i="6"/>
  <c r="S37" i="6"/>
  <c r="G212" i="1"/>
  <c r="G215" i="1"/>
  <c r="G204" i="1"/>
  <c r="G218" i="1"/>
  <c r="G213" i="1"/>
  <c r="G209" i="1"/>
  <c r="G205" i="1"/>
  <c r="G203" i="1"/>
  <c r="G216" i="1"/>
  <c r="G210" i="1"/>
  <c r="Z87" i="6"/>
  <c r="AC87" i="6"/>
  <c r="AB87" i="6"/>
  <c r="AA87" i="6"/>
  <c r="J108" i="21"/>
  <c r="J211" i="46"/>
  <c r="J98" i="46"/>
  <c r="J112" i="46"/>
  <c r="J124" i="46"/>
  <c r="J138" i="46"/>
  <c r="J152" i="46"/>
  <c r="J54" i="21"/>
  <c r="J60" i="21"/>
  <c r="K90" i="46"/>
  <c r="K164" i="46" s="1"/>
  <c r="K96" i="46"/>
  <c r="K170" i="46" s="1"/>
  <c r="K102" i="46"/>
  <c r="K112" i="46"/>
  <c r="K186" i="46" s="1"/>
  <c r="K118" i="46"/>
  <c r="K192" i="46" s="1"/>
  <c r="K124" i="46"/>
  <c r="K198" i="46" s="1"/>
  <c r="K130" i="46"/>
  <c r="K140" i="46"/>
  <c r="K214" i="46" s="1"/>
  <c r="K146" i="46"/>
  <c r="K220" i="46" s="1"/>
  <c r="K152" i="46"/>
  <c r="K226" i="46" s="1"/>
  <c r="K54" i="21"/>
  <c r="K88" i="21" s="1"/>
  <c r="K60" i="21"/>
  <c r="K70" i="21"/>
  <c r="K104" i="21" s="1"/>
  <c r="K75" i="21"/>
  <c r="K109" i="21" s="1"/>
  <c r="L89" i="46"/>
  <c r="L163" i="46" s="1"/>
  <c r="L95" i="46"/>
  <c r="L105" i="46"/>
  <c r="L179" i="46" s="1"/>
  <c r="L111" i="46"/>
  <c r="L185" i="46" s="1"/>
  <c r="L117" i="46"/>
  <c r="L191" i="46" s="1"/>
  <c r="L123" i="46"/>
  <c r="L133" i="46"/>
  <c r="L207" i="46" s="1"/>
  <c r="L139" i="46"/>
  <c r="L213" i="46" s="1"/>
  <c r="L145" i="46"/>
  <c r="L219" i="46" s="1"/>
  <c r="L151" i="46"/>
  <c r="L53" i="21"/>
  <c r="L63" i="21"/>
  <c r="L97" i="21" s="1"/>
  <c r="L69" i="21"/>
  <c r="L103" i="21" s="1"/>
  <c r="L74" i="21"/>
  <c r="M91" i="46"/>
  <c r="M165" i="46" s="1"/>
  <c r="M97" i="46"/>
  <c r="M171" i="46" s="1"/>
  <c r="M103" i="46"/>
  <c r="M177" i="46" s="1"/>
  <c r="M109" i="46"/>
  <c r="M119" i="46"/>
  <c r="M193" i="46" s="1"/>
  <c r="M125" i="46"/>
  <c r="M199" i="46" s="1"/>
  <c r="M131" i="46"/>
  <c r="M205" i="46" s="1"/>
  <c r="M137" i="46"/>
  <c r="M147" i="46"/>
  <c r="M221" i="46" s="1"/>
  <c r="M153" i="46"/>
  <c r="M227" i="46" s="1"/>
  <c r="M55" i="21"/>
  <c r="M89" i="21" s="1"/>
  <c r="M61" i="21"/>
  <c r="M95" i="21" s="1"/>
  <c r="M67" i="21"/>
  <c r="M76" i="21"/>
  <c r="M110" i="21" s="1"/>
  <c r="N89" i="46"/>
  <c r="N163" i="46" s="1"/>
  <c r="N95" i="46"/>
  <c r="N105" i="46"/>
  <c r="N179" i="46" s="1"/>
  <c r="N111" i="46"/>
  <c r="N185" i="46" s="1"/>
  <c r="N117" i="46"/>
  <c r="N191" i="46" s="1"/>
  <c r="N123" i="46"/>
  <c r="N133" i="46"/>
  <c r="N207" i="46" s="1"/>
  <c r="N139" i="46"/>
  <c r="N213" i="46" s="1"/>
  <c r="N145" i="46"/>
  <c r="N219" i="46" s="1"/>
  <c r="N151" i="46"/>
  <c r="N53" i="21"/>
  <c r="N63" i="21"/>
  <c r="N97" i="21" s="1"/>
  <c r="N69" i="21"/>
  <c r="N103" i="21" s="1"/>
  <c r="N74" i="21"/>
  <c r="J90" i="46"/>
  <c r="J104" i="46"/>
  <c r="K109" i="46"/>
  <c r="K116" i="46"/>
  <c r="K123" i="46"/>
  <c r="K131" i="46"/>
  <c r="K205" i="46" s="1"/>
  <c r="K138" i="46"/>
  <c r="K212" i="46" s="1"/>
  <c r="K145" i="46"/>
  <c r="K219" i="46" s="1"/>
  <c r="K153" i="46"/>
  <c r="K227" i="46" s="1"/>
  <c r="K63" i="21"/>
  <c r="K97" i="21" s="1"/>
  <c r="K69" i="21"/>
  <c r="K103" i="21" s="1"/>
  <c r="L88" i="46"/>
  <c r="L96" i="46"/>
  <c r="L170" i="46" s="1"/>
  <c r="L103" i="46"/>
  <c r="L177" i="46" s="1"/>
  <c r="L110" i="46"/>
  <c r="L184" i="46" s="1"/>
  <c r="L118" i="46"/>
  <c r="L192" i="46" s="1"/>
  <c r="L125" i="46"/>
  <c r="L199" i="46" s="1"/>
  <c r="L132" i="46"/>
  <c r="L206" i="46" s="1"/>
  <c r="L140" i="46"/>
  <c r="L214" i="46" s="1"/>
  <c r="L147" i="46"/>
  <c r="L221" i="46" s="1"/>
  <c r="L154" i="46"/>
  <c r="L228" i="46" s="1"/>
  <c r="L60" i="21"/>
  <c r="L76" i="21"/>
  <c r="L110" i="21" s="1"/>
  <c r="M88" i="46"/>
  <c r="M95" i="46"/>
  <c r="M102" i="46"/>
  <c r="M110" i="46"/>
  <c r="M184" i="46" s="1"/>
  <c r="M117" i="46"/>
  <c r="M191" i="46" s="1"/>
  <c r="M124" i="46"/>
  <c r="M198" i="46" s="1"/>
  <c r="M132" i="46"/>
  <c r="M206" i="46" s="1"/>
  <c r="M139" i="46"/>
  <c r="M213" i="46" s="1"/>
  <c r="M146" i="46"/>
  <c r="M220" i="46" s="1"/>
  <c r="M154" i="46"/>
  <c r="M228" i="46" s="1"/>
  <c r="M54" i="21"/>
  <c r="M88" i="21" s="1"/>
  <c r="M62" i="21"/>
  <c r="M96" i="21" s="1"/>
  <c r="M68" i="21"/>
  <c r="M102" i="21" s="1"/>
  <c r="N88" i="46"/>
  <c r="N96" i="46"/>
  <c r="N170" i="46" s="1"/>
  <c r="N103" i="46"/>
  <c r="N177" i="46" s="1"/>
  <c r="N110" i="46"/>
  <c r="N184" i="46" s="1"/>
  <c r="N118" i="46"/>
  <c r="N192" i="46" s="1"/>
  <c r="N125" i="46"/>
  <c r="N199" i="46" s="1"/>
  <c r="N132" i="46"/>
  <c r="N206" i="46" s="1"/>
  <c r="N140" i="46"/>
  <c r="N214" i="46" s="1"/>
  <c r="N147" i="46"/>
  <c r="N221" i="46" s="1"/>
  <c r="N154" i="46"/>
  <c r="N228" i="46" s="1"/>
  <c r="N60" i="21"/>
  <c r="N76" i="21"/>
  <c r="N110" i="21" s="1"/>
  <c r="O90" i="46"/>
  <c r="O164" i="46" s="1"/>
  <c r="O96" i="46"/>
  <c r="O170" i="46" s="1"/>
  <c r="O102" i="46"/>
  <c r="O112" i="46"/>
  <c r="O186" i="46" s="1"/>
  <c r="O118" i="46"/>
  <c r="O192" i="46" s="1"/>
  <c r="O124" i="46"/>
  <c r="O198" i="46" s="1"/>
  <c r="O130" i="46"/>
  <c r="O140" i="46"/>
  <c r="O214" i="46" s="1"/>
  <c r="O146" i="46"/>
  <c r="O220" i="46" s="1"/>
  <c r="O152" i="46"/>
  <c r="O226" i="46" s="1"/>
  <c r="O54" i="21"/>
  <c r="O88" i="21" s="1"/>
  <c r="O60" i="21"/>
  <c r="O70" i="21"/>
  <c r="O104" i="21" s="1"/>
  <c r="O75" i="21"/>
  <c r="O109" i="21" s="1"/>
  <c r="P88" i="46"/>
  <c r="P98" i="46"/>
  <c r="P172" i="46" s="1"/>
  <c r="P104" i="46"/>
  <c r="P178" i="46" s="1"/>
  <c r="P110" i="46"/>
  <c r="P184" i="46" s="1"/>
  <c r="P116" i="46"/>
  <c r="P126" i="46"/>
  <c r="P200" i="46" s="1"/>
  <c r="P132" i="46"/>
  <c r="P206" i="46" s="1"/>
  <c r="P138" i="46"/>
  <c r="P212" i="46" s="1"/>
  <c r="P144" i="46"/>
  <c r="P154" i="46"/>
  <c r="P228" i="46" s="1"/>
  <c r="P56" i="21"/>
  <c r="P90" i="21" s="1"/>
  <c r="P62" i="21"/>
  <c r="P96" i="21" s="1"/>
  <c r="P68" i="21"/>
  <c r="P102" i="21" s="1"/>
  <c r="P77" i="21"/>
  <c r="P111" i="21" s="1"/>
  <c r="Q90" i="46"/>
  <c r="Q164" i="46" s="1"/>
  <c r="Q96" i="46"/>
  <c r="Q170" i="46" s="1"/>
  <c r="Q102" i="46"/>
  <c r="Q112" i="46"/>
  <c r="Q186" i="46" s="1"/>
  <c r="Q118" i="46"/>
  <c r="Q192" i="46" s="1"/>
  <c r="Q124" i="46"/>
  <c r="Q198" i="46" s="1"/>
  <c r="Q130" i="46"/>
  <c r="Q140" i="46"/>
  <c r="Q214" i="46" s="1"/>
  <c r="Q146" i="46"/>
  <c r="Q220" i="46" s="1"/>
  <c r="Q152" i="46"/>
  <c r="Q226" i="46" s="1"/>
  <c r="Q54" i="21"/>
  <c r="Q88" i="21" s="1"/>
  <c r="Q60" i="21"/>
  <c r="Q70" i="21"/>
  <c r="Q104" i="21" s="1"/>
  <c r="Q75" i="21"/>
  <c r="Q109" i="21" s="1"/>
  <c r="J91" i="46"/>
  <c r="J109" i="46"/>
  <c r="J130" i="46"/>
  <c r="J144" i="46"/>
  <c r="J61" i="21"/>
  <c r="J119" i="46"/>
  <c r="J153" i="46"/>
  <c r="J68" i="21"/>
  <c r="J131" i="46"/>
  <c r="K89" i="46"/>
  <c r="K163" i="46" s="1"/>
  <c r="K98" i="46"/>
  <c r="K172" i="46" s="1"/>
  <c r="K110" i="46"/>
  <c r="K184" i="46" s="1"/>
  <c r="K119" i="46"/>
  <c r="K193" i="46" s="1"/>
  <c r="K139" i="46"/>
  <c r="K213" i="46" s="1"/>
  <c r="K56" i="21"/>
  <c r="K90" i="21" s="1"/>
  <c r="K62" i="21"/>
  <c r="K96" i="21" s="1"/>
  <c r="K67" i="21"/>
  <c r="K76" i="21"/>
  <c r="K110" i="21" s="1"/>
  <c r="L97" i="46"/>
  <c r="L171" i="46" s="1"/>
  <c r="L116" i="46"/>
  <c r="L126" i="46"/>
  <c r="L200" i="46" s="1"/>
  <c r="L137" i="46"/>
  <c r="L146" i="46"/>
  <c r="L220" i="46" s="1"/>
  <c r="K91" i="46"/>
  <c r="K165" i="46" s="1"/>
  <c r="K103" i="46"/>
  <c r="K177" i="46" s="1"/>
  <c r="K111" i="46"/>
  <c r="K185" i="46" s="1"/>
  <c r="K132" i="46"/>
  <c r="K206" i="46" s="1"/>
  <c r="K151" i="46"/>
  <c r="K68" i="21"/>
  <c r="K102" i="21" s="1"/>
  <c r="K77" i="21"/>
  <c r="K111" i="21" s="1"/>
  <c r="L90" i="46"/>
  <c r="L164" i="46" s="1"/>
  <c r="L98" i="46"/>
  <c r="L172" i="46" s="1"/>
  <c r="L109" i="46"/>
  <c r="L119" i="46"/>
  <c r="L193" i="46" s="1"/>
  <c r="L130" i="46"/>
  <c r="L138" i="46"/>
  <c r="L212" i="46" s="1"/>
  <c r="L54" i="21"/>
  <c r="L88" i="21" s="1"/>
  <c r="L70" i="21"/>
  <c r="L104" i="21" s="1"/>
  <c r="M104" i="46"/>
  <c r="M178" i="46" s="1"/>
  <c r="M112" i="46"/>
  <c r="M186" i="46" s="1"/>
  <c r="M123" i="46"/>
  <c r="M133" i="46"/>
  <c r="M207" i="46" s="1"/>
  <c r="M144" i="46"/>
  <c r="M152" i="46"/>
  <c r="M226" i="46" s="1"/>
  <c r="M70" i="21"/>
  <c r="M104" i="21" s="1"/>
  <c r="M74" i="21"/>
  <c r="N97" i="46"/>
  <c r="N171" i="46" s="1"/>
  <c r="N116" i="46"/>
  <c r="N126" i="46"/>
  <c r="N200" i="46" s="1"/>
  <c r="N137" i="46"/>
  <c r="N146" i="46"/>
  <c r="N220" i="46" s="1"/>
  <c r="N68" i="21"/>
  <c r="N102" i="21" s="1"/>
  <c r="N77" i="21"/>
  <c r="N111" i="21" s="1"/>
  <c r="O88" i="46"/>
  <c r="O95" i="46"/>
  <c r="O103" i="46"/>
  <c r="O177" i="46" s="1"/>
  <c r="O110" i="46"/>
  <c r="O184" i="46" s="1"/>
  <c r="O117" i="46"/>
  <c r="O191" i="46" s="1"/>
  <c r="O125" i="46"/>
  <c r="O199" i="46" s="1"/>
  <c r="O132" i="46"/>
  <c r="O206" i="46" s="1"/>
  <c r="O139" i="46"/>
  <c r="O213" i="46" s="1"/>
  <c r="O147" i="46"/>
  <c r="O221" i="46" s="1"/>
  <c r="O154" i="46"/>
  <c r="O228" i="46" s="1"/>
  <c r="O53" i="21"/>
  <c r="K88" i="46"/>
  <c r="K105" i="46"/>
  <c r="K179" i="46" s="1"/>
  <c r="K126" i="46"/>
  <c r="K200" i="46" s="1"/>
  <c r="K147" i="46"/>
  <c r="K221" i="46" s="1"/>
  <c r="K74" i="21"/>
  <c r="L104" i="46"/>
  <c r="L178" i="46" s="1"/>
  <c r="L124" i="46"/>
  <c r="L198" i="46" s="1"/>
  <c r="L144" i="46"/>
  <c r="L62" i="21"/>
  <c r="L96" i="21" s="1"/>
  <c r="L77" i="21"/>
  <c r="L111" i="21" s="1"/>
  <c r="M89" i="46"/>
  <c r="M163" i="46" s="1"/>
  <c r="M116" i="46"/>
  <c r="M140" i="46"/>
  <c r="M214" i="46" s="1"/>
  <c r="M53" i="21"/>
  <c r="N98" i="46"/>
  <c r="N172" i="46" s="1"/>
  <c r="N112" i="46"/>
  <c r="N186" i="46" s="1"/>
  <c r="N124" i="46"/>
  <c r="N198" i="46" s="1"/>
  <c r="N138" i="46"/>
  <c r="N212" i="46" s="1"/>
  <c r="N152" i="46"/>
  <c r="N226" i="46" s="1"/>
  <c r="N56" i="21"/>
  <c r="N90" i="21" s="1"/>
  <c r="N67" i="21"/>
  <c r="O91" i="46"/>
  <c r="O165" i="46" s="1"/>
  <c r="O111" i="46"/>
  <c r="O185" i="46" s="1"/>
  <c r="O131" i="46"/>
  <c r="O205" i="46" s="1"/>
  <c r="O151" i="46"/>
  <c r="O56" i="21"/>
  <c r="O90" i="21" s="1"/>
  <c r="O61" i="21"/>
  <c r="O95" i="21" s="1"/>
  <c r="P95" i="46"/>
  <c r="P102" i="46"/>
  <c r="P109" i="46"/>
  <c r="P117" i="46"/>
  <c r="P191" i="46" s="1"/>
  <c r="P124" i="46"/>
  <c r="P198" i="46" s="1"/>
  <c r="P131" i="46"/>
  <c r="P205" i="46" s="1"/>
  <c r="P139" i="46"/>
  <c r="P213" i="46" s="1"/>
  <c r="P146" i="46"/>
  <c r="P220" i="46" s="1"/>
  <c r="P153" i="46"/>
  <c r="P227" i="46" s="1"/>
  <c r="P63" i="21"/>
  <c r="P97" i="21" s="1"/>
  <c r="P69" i="21"/>
  <c r="P103" i="21" s="1"/>
  <c r="P74" i="21"/>
  <c r="K95" i="46"/>
  <c r="K133" i="46"/>
  <c r="K207" i="46" s="1"/>
  <c r="K154" i="46"/>
  <c r="K228" i="46" s="1"/>
  <c r="K53" i="21"/>
  <c r="K61" i="21"/>
  <c r="K95" i="21" s="1"/>
  <c r="L91" i="46"/>
  <c r="L165" i="46" s="1"/>
  <c r="L112" i="46"/>
  <c r="L186" i="46" s="1"/>
  <c r="L131" i="46"/>
  <c r="L205" i="46" s="1"/>
  <c r="L152" i="46"/>
  <c r="L226" i="46" s="1"/>
  <c r="L55" i="21"/>
  <c r="L89" i="21" s="1"/>
  <c r="M90" i="46"/>
  <c r="M164" i="46" s="1"/>
  <c r="M105" i="46"/>
  <c r="M179" i="46" s="1"/>
  <c r="M118" i="46"/>
  <c r="M192" i="46" s="1"/>
  <c r="M130" i="46"/>
  <c r="M145" i="46"/>
  <c r="M219" i="46" s="1"/>
  <c r="M56" i="21"/>
  <c r="M90" i="21" s="1"/>
  <c r="M75" i="21"/>
  <c r="M109" i="21" s="1"/>
  <c r="N90" i="46"/>
  <c r="N164" i="46" s="1"/>
  <c r="N102" i="46"/>
  <c r="N130" i="46"/>
  <c r="N153" i="46"/>
  <c r="N227" i="46" s="1"/>
  <c r="N61" i="21"/>
  <c r="N95" i="21" s="1"/>
  <c r="N70" i="21"/>
  <c r="N104" i="21" s="1"/>
  <c r="O104" i="46"/>
  <c r="O178" i="46" s="1"/>
  <c r="O123" i="46"/>
  <c r="O133" i="46"/>
  <c r="O207" i="46" s="1"/>
  <c r="O144" i="46"/>
  <c r="O153" i="46"/>
  <c r="O227" i="46" s="1"/>
  <c r="O62" i="21"/>
  <c r="O96" i="21" s="1"/>
  <c r="O67" i="21"/>
  <c r="O74" i="21"/>
  <c r="P89" i="46"/>
  <c r="P163" i="46" s="1"/>
  <c r="P96" i="46"/>
  <c r="P170" i="46" s="1"/>
  <c r="P103" i="46"/>
  <c r="P177" i="46" s="1"/>
  <c r="P111" i="46"/>
  <c r="P185" i="46" s="1"/>
  <c r="P118" i="46"/>
  <c r="P192" i="46" s="1"/>
  <c r="P125" i="46"/>
  <c r="P199" i="46" s="1"/>
  <c r="P133" i="46"/>
  <c r="P207" i="46" s="1"/>
  <c r="P140" i="46"/>
  <c r="P214" i="46" s="1"/>
  <c r="P147" i="46"/>
  <c r="P221" i="46" s="1"/>
  <c r="P53" i="21"/>
  <c r="P70" i="21"/>
  <c r="P104" i="21" s="1"/>
  <c r="P75" i="21"/>
  <c r="P109" i="21" s="1"/>
  <c r="Q91" i="46"/>
  <c r="Q165" i="46" s="1"/>
  <c r="Q98" i="46"/>
  <c r="Q172" i="46" s="1"/>
  <c r="Q105" i="46"/>
  <c r="Q179" i="46" s="1"/>
  <c r="Q137" i="46"/>
  <c r="Q144" i="46"/>
  <c r="Q151" i="46"/>
  <c r="Q56" i="21"/>
  <c r="Q90" i="21" s="1"/>
  <c r="Q62" i="21"/>
  <c r="Q96" i="21" s="1"/>
  <c r="Q68" i="21"/>
  <c r="Q102" i="21" s="1"/>
  <c r="Q77" i="21"/>
  <c r="Q111" i="21" s="1"/>
  <c r="R89" i="46"/>
  <c r="R163" i="46" s="1"/>
  <c r="R95" i="46"/>
  <c r="R105" i="46"/>
  <c r="R179" i="46" s="1"/>
  <c r="R111" i="46"/>
  <c r="R185" i="46" s="1"/>
  <c r="R117" i="46"/>
  <c r="R191" i="46" s="1"/>
  <c r="R123" i="46"/>
  <c r="R133" i="46"/>
  <c r="R207" i="46" s="1"/>
  <c r="R139" i="46"/>
  <c r="R213" i="46" s="1"/>
  <c r="R145" i="46"/>
  <c r="R219" i="46" s="1"/>
  <c r="R151" i="46"/>
  <c r="R53" i="21"/>
  <c r="R63" i="21"/>
  <c r="R97" i="21" s="1"/>
  <c r="R69" i="21"/>
  <c r="R103" i="21" s="1"/>
  <c r="R74" i="21"/>
  <c r="S91" i="46"/>
  <c r="S165" i="46" s="1"/>
  <c r="S97" i="46"/>
  <c r="S171" i="46" s="1"/>
  <c r="S103" i="46"/>
  <c r="S177" i="46" s="1"/>
  <c r="S109" i="46"/>
  <c r="S119" i="46"/>
  <c r="S193" i="46" s="1"/>
  <c r="S125" i="46"/>
  <c r="S199" i="46" s="1"/>
  <c r="S131" i="46"/>
  <c r="S205" i="46" s="1"/>
  <c r="S137" i="46"/>
  <c r="S147" i="46"/>
  <c r="S221" i="46" s="1"/>
  <c r="S153" i="46"/>
  <c r="S227" i="46" s="1"/>
  <c r="S55" i="21"/>
  <c r="S89" i="21" s="1"/>
  <c r="S61" i="21"/>
  <c r="S95" i="21" s="1"/>
  <c r="S67" i="21"/>
  <c r="S76" i="21"/>
  <c r="S110" i="21" s="1"/>
  <c r="T75" i="21"/>
  <c r="T109" i="21" s="1"/>
  <c r="U74" i="21"/>
  <c r="V77" i="21"/>
  <c r="V111" i="21" s="1"/>
  <c r="W76" i="21"/>
  <c r="W110" i="21" s="1"/>
  <c r="X75" i="21"/>
  <c r="X109" i="21" s="1"/>
  <c r="Y74" i="21"/>
  <c r="Z77" i="21"/>
  <c r="Z111" i="21" s="1"/>
  <c r="AA76" i="21"/>
  <c r="AA110" i="21" s="1"/>
  <c r="AB75" i="21"/>
  <c r="AB109" i="21" s="1"/>
  <c r="AC74" i="21"/>
  <c r="AD77" i="21"/>
  <c r="AD111" i="21" s="1"/>
  <c r="AE76" i="21"/>
  <c r="AE110" i="21" s="1"/>
  <c r="AF75" i="21"/>
  <c r="AF109" i="21" s="1"/>
  <c r="AG74" i="21"/>
  <c r="T67" i="21"/>
  <c r="U69" i="21"/>
  <c r="U103" i="21" s="1"/>
  <c r="V67" i="21"/>
  <c r="W69" i="21"/>
  <c r="W103" i="21" s="1"/>
  <c r="X67" i="21"/>
  <c r="Y69" i="21"/>
  <c r="Y103" i="21" s="1"/>
  <c r="Z67" i="21"/>
  <c r="AA69" i="21"/>
  <c r="AA103" i="21" s="1"/>
  <c r="AB67" i="21"/>
  <c r="AC69" i="21"/>
  <c r="AC103" i="21" s="1"/>
  <c r="AD67" i="21"/>
  <c r="AE69" i="21"/>
  <c r="AE103" i="21" s="1"/>
  <c r="AF67" i="21"/>
  <c r="AG69" i="21"/>
  <c r="AG103" i="21" s="1"/>
  <c r="T60" i="21"/>
  <c r="U60" i="21"/>
  <c r="V60" i="21"/>
  <c r="W60" i="21"/>
  <c r="X60" i="21"/>
  <c r="Y60" i="21"/>
  <c r="Z60" i="21"/>
  <c r="AA60" i="21"/>
  <c r="J77" i="21"/>
  <c r="K117" i="46"/>
  <c r="K191" i="46" s="1"/>
  <c r="L61" i="21"/>
  <c r="L95" i="21" s="1"/>
  <c r="L68" i="21"/>
  <c r="L102" i="21" s="1"/>
  <c r="M98" i="46"/>
  <c r="M172" i="46" s="1"/>
  <c r="M126" i="46"/>
  <c r="M200" i="46" s="1"/>
  <c r="M151" i="46"/>
  <c r="M63" i="21"/>
  <c r="M97" i="21" s="1"/>
  <c r="M77" i="21"/>
  <c r="M111" i="21" s="1"/>
  <c r="N104" i="46"/>
  <c r="N178" i="46" s="1"/>
  <c r="N131" i="46"/>
  <c r="N205" i="46" s="1"/>
  <c r="O97" i="46"/>
  <c r="O171" i="46" s="1"/>
  <c r="O116" i="46"/>
  <c r="O137" i="46"/>
  <c r="O76" i="21"/>
  <c r="O110" i="21" s="1"/>
  <c r="P90" i="46"/>
  <c r="P164" i="46" s="1"/>
  <c r="P105" i="46"/>
  <c r="P179" i="46" s="1"/>
  <c r="P119" i="46"/>
  <c r="P193" i="46" s="1"/>
  <c r="P151" i="46"/>
  <c r="P55" i="21"/>
  <c r="P89" i="21" s="1"/>
  <c r="P67" i="21"/>
  <c r="Q88" i="46"/>
  <c r="Q97" i="46"/>
  <c r="Q171" i="46" s="1"/>
  <c r="Q109" i="46"/>
  <c r="Q117" i="46"/>
  <c r="Q191" i="46" s="1"/>
  <c r="Q126" i="46"/>
  <c r="Q200" i="46" s="1"/>
  <c r="Q138" i="46"/>
  <c r="Q212" i="46" s="1"/>
  <c r="Q147" i="46"/>
  <c r="Q221" i="46" s="1"/>
  <c r="Q61" i="21"/>
  <c r="Q95" i="21" s="1"/>
  <c r="Q74" i="21"/>
  <c r="R91" i="46"/>
  <c r="R165" i="46" s="1"/>
  <c r="R98" i="46"/>
  <c r="R172" i="46" s="1"/>
  <c r="R130" i="46"/>
  <c r="R137" i="46"/>
  <c r="R144" i="46"/>
  <c r="R152" i="46"/>
  <c r="R226" i="46" s="1"/>
  <c r="R55" i="21"/>
  <c r="R89" i="21" s="1"/>
  <c r="R61" i="21"/>
  <c r="R95" i="21" s="1"/>
  <c r="R67" i="21"/>
  <c r="R77" i="21"/>
  <c r="R111" i="21" s="1"/>
  <c r="S88" i="46"/>
  <c r="S95" i="46"/>
  <c r="S102" i="46"/>
  <c r="S110" i="46"/>
  <c r="S184" i="46" s="1"/>
  <c r="S117" i="46"/>
  <c r="S191" i="46" s="1"/>
  <c r="S124" i="46"/>
  <c r="S198" i="46" s="1"/>
  <c r="S132" i="46"/>
  <c r="S206" i="46" s="1"/>
  <c r="S139" i="46"/>
  <c r="S213" i="46" s="1"/>
  <c r="S146" i="46"/>
  <c r="S220" i="46" s="1"/>
  <c r="S154" i="46"/>
  <c r="S228" i="46" s="1"/>
  <c r="S54" i="21"/>
  <c r="S88" i="21" s="1"/>
  <c r="S60" i="21"/>
  <c r="S77" i="21"/>
  <c r="S111" i="21" s="1"/>
  <c r="U77" i="21"/>
  <c r="U111" i="21" s="1"/>
  <c r="V76" i="21"/>
  <c r="V110" i="21" s="1"/>
  <c r="W75" i="21"/>
  <c r="W109" i="21" s="1"/>
  <c r="X74" i="21"/>
  <c r="AA77" i="21"/>
  <c r="AA111" i="21" s="1"/>
  <c r="AB76" i="21"/>
  <c r="AB110" i="21" s="1"/>
  <c r="AC75" i="21"/>
  <c r="AC109" i="21" s="1"/>
  <c r="AD74" i="21"/>
  <c r="AF77" i="21"/>
  <c r="AF111" i="21" s="1"/>
  <c r="AG76" i="21"/>
  <c r="AG110" i="21" s="1"/>
  <c r="T70" i="21"/>
  <c r="T104" i="21" s="1"/>
  <c r="U70" i="21"/>
  <c r="U104" i="21" s="1"/>
  <c r="X68" i="21"/>
  <c r="X102" i="21" s="1"/>
  <c r="Y67" i="21"/>
  <c r="Z69" i="21"/>
  <c r="Z103" i="21" s="1"/>
  <c r="AA68" i="21"/>
  <c r="AA102" i="21" s="1"/>
  <c r="AB70" i="21"/>
  <c r="AB104" i="21" s="1"/>
  <c r="AC70" i="21"/>
  <c r="AC104" i="21" s="1"/>
  <c r="AF68" i="21"/>
  <c r="AF102" i="21" s="1"/>
  <c r="AG67" i="21"/>
  <c r="T62" i="21"/>
  <c r="T96" i="21" s="1"/>
  <c r="U63" i="21"/>
  <c r="U97" i="21" s="1"/>
  <c r="W61" i="21"/>
  <c r="W95" i="21" s="1"/>
  <c r="X62" i="21"/>
  <c r="X96" i="21" s="1"/>
  <c r="Y63" i="21"/>
  <c r="Y97" i="21" s="1"/>
  <c r="AA61" i="21"/>
  <c r="AA95" i="21" s="1"/>
  <c r="AB63" i="21"/>
  <c r="AB97" i="21" s="1"/>
  <c r="AC63" i="21"/>
  <c r="AC97" i="21" s="1"/>
  <c r="AD63" i="21"/>
  <c r="AD97" i="21" s="1"/>
  <c r="AE63" i="21"/>
  <c r="AE97" i="21" s="1"/>
  <c r="AF63" i="21"/>
  <c r="AF97" i="21" s="1"/>
  <c r="AG63" i="21"/>
  <c r="AG97" i="21" s="1"/>
  <c r="T56" i="21"/>
  <c r="T90" i="21" s="1"/>
  <c r="U56" i="21"/>
  <c r="U90" i="21" s="1"/>
  <c r="V56" i="21"/>
  <c r="V90" i="21" s="1"/>
  <c r="W56" i="21"/>
  <c r="W90" i="21" s="1"/>
  <c r="X56" i="21"/>
  <c r="X90" i="21" s="1"/>
  <c r="Y56" i="21"/>
  <c r="Y90" i="21" s="1"/>
  <c r="Z56" i="21"/>
  <c r="Z90" i="21" s="1"/>
  <c r="AA56" i="21"/>
  <c r="AA90" i="21" s="1"/>
  <c r="AB56" i="21"/>
  <c r="AB90" i="21" s="1"/>
  <c r="AC56" i="21"/>
  <c r="AC90" i="21" s="1"/>
  <c r="AD56" i="21"/>
  <c r="AD90" i="21" s="1"/>
  <c r="AE56" i="21"/>
  <c r="AE90" i="21" s="1"/>
  <c r="AF56" i="21"/>
  <c r="AF90" i="21" s="1"/>
  <c r="AG56" i="21"/>
  <c r="AG90" i="21" s="1"/>
  <c r="T90" i="46"/>
  <c r="T164" i="46" s="1"/>
  <c r="T96" i="46"/>
  <c r="T170" i="46" s="1"/>
  <c r="T102" i="46"/>
  <c r="T112" i="46"/>
  <c r="T186" i="46" s="1"/>
  <c r="T118" i="46"/>
  <c r="T192" i="46" s="1"/>
  <c r="T124" i="46"/>
  <c r="T198" i="46" s="1"/>
  <c r="T130" i="46"/>
  <c r="T140" i="46"/>
  <c r="T214" i="46" s="1"/>
  <c r="T146" i="46"/>
  <c r="T220" i="46" s="1"/>
  <c r="T152" i="46"/>
  <c r="T226" i="46" s="1"/>
  <c r="U88" i="46"/>
  <c r="U98" i="46"/>
  <c r="U172" i="46" s="1"/>
  <c r="U104" i="46"/>
  <c r="U178" i="46" s="1"/>
  <c r="U110" i="46"/>
  <c r="U184" i="46" s="1"/>
  <c r="U116" i="46"/>
  <c r="U126" i="46"/>
  <c r="U200" i="46" s="1"/>
  <c r="U132" i="46"/>
  <c r="U206" i="46" s="1"/>
  <c r="U138" i="46"/>
  <c r="U212" i="46" s="1"/>
  <c r="U144" i="46"/>
  <c r="U154" i="46"/>
  <c r="U228" i="46" s="1"/>
  <c r="V90" i="46"/>
  <c r="V164" i="46" s="1"/>
  <c r="V96" i="46"/>
  <c r="V170" i="46" s="1"/>
  <c r="V102" i="46"/>
  <c r="V112" i="46"/>
  <c r="V186" i="46" s="1"/>
  <c r="V118" i="46"/>
  <c r="V192" i="46" s="1"/>
  <c r="V124" i="46"/>
  <c r="V198" i="46" s="1"/>
  <c r="V130" i="46"/>
  <c r="V140" i="46"/>
  <c r="V214" i="46" s="1"/>
  <c r="V146" i="46"/>
  <c r="V220" i="46" s="1"/>
  <c r="V152" i="46"/>
  <c r="V226" i="46" s="1"/>
  <c r="W88" i="46"/>
  <c r="W98" i="46"/>
  <c r="W172" i="46" s="1"/>
  <c r="W104" i="46"/>
  <c r="W178" i="46" s="1"/>
  <c r="W110" i="46"/>
  <c r="W184" i="46" s="1"/>
  <c r="W116" i="46"/>
  <c r="W126" i="46"/>
  <c r="W200" i="46" s="1"/>
  <c r="W132" i="46"/>
  <c r="W206" i="46" s="1"/>
  <c r="W138" i="46"/>
  <c r="W212" i="46" s="1"/>
  <c r="W144" i="46"/>
  <c r="W154" i="46"/>
  <c r="W228" i="46" s="1"/>
  <c r="X90" i="46"/>
  <c r="X164" i="46" s="1"/>
  <c r="X96" i="46"/>
  <c r="X170" i="46" s="1"/>
  <c r="X102" i="46"/>
  <c r="X112" i="46"/>
  <c r="X186" i="46" s="1"/>
  <c r="X118" i="46"/>
  <c r="X192" i="46" s="1"/>
  <c r="X124" i="46"/>
  <c r="X198" i="46" s="1"/>
  <c r="X130" i="46"/>
  <c r="X140" i="46"/>
  <c r="X214" i="46" s="1"/>
  <c r="X146" i="46"/>
  <c r="X220" i="46" s="1"/>
  <c r="X152" i="46"/>
  <c r="X226" i="46" s="1"/>
  <c r="Y88" i="46"/>
  <c r="Y98" i="46"/>
  <c r="Y172" i="46" s="1"/>
  <c r="Y104" i="46"/>
  <c r="Y178" i="46" s="1"/>
  <c r="Y110" i="46"/>
  <c r="Y184" i="46" s="1"/>
  <c r="Y116" i="46"/>
  <c r="Y126" i="46"/>
  <c r="Y200" i="46" s="1"/>
  <c r="Y132" i="46"/>
  <c r="Y206" i="46" s="1"/>
  <c r="Y138" i="46"/>
  <c r="Y212" i="46" s="1"/>
  <c r="Y144" i="46"/>
  <c r="Y154" i="46"/>
  <c r="Y228" i="46" s="1"/>
  <c r="Z90" i="46"/>
  <c r="Z164" i="46" s="1"/>
  <c r="Z96" i="46"/>
  <c r="Z170" i="46" s="1"/>
  <c r="Z102" i="46"/>
  <c r="Z112" i="46"/>
  <c r="Z186" i="46" s="1"/>
  <c r="Z118" i="46"/>
  <c r="Z192" i="46" s="1"/>
  <c r="Z124" i="46"/>
  <c r="Z198" i="46" s="1"/>
  <c r="Z130" i="46"/>
  <c r="Z140" i="46"/>
  <c r="Z214" i="46" s="1"/>
  <c r="Z146" i="46"/>
  <c r="Z220" i="46" s="1"/>
  <c r="Z152" i="46"/>
  <c r="Z226" i="46" s="1"/>
  <c r="AA88" i="46"/>
  <c r="AA98" i="46"/>
  <c r="AA172" i="46" s="1"/>
  <c r="AA104" i="46"/>
  <c r="AA178" i="46" s="1"/>
  <c r="AA110" i="46"/>
  <c r="AA184" i="46" s="1"/>
  <c r="AA116" i="46"/>
  <c r="AA126" i="46"/>
  <c r="AA200" i="46" s="1"/>
  <c r="AA132" i="46"/>
  <c r="AA206" i="46" s="1"/>
  <c r="AA138" i="46"/>
  <c r="AA212" i="46" s="1"/>
  <c r="AA144" i="46"/>
  <c r="AA154" i="46"/>
  <c r="AA228" i="46" s="1"/>
  <c r="AB90" i="46"/>
  <c r="AB164" i="46" s="1"/>
  <c r="AB96" i="46"/>
  <c r="AB170" i="46" s="1"/>
  <c r="AB102" i="46"/>
  <c r="AB112" i="46"/>
  <c r="AB186" i="46" s="1"/>
  <c r="AB118" i="46"/>
  <c r="AB192" i="46" s="1"/>
  <c r="AB124" i="46"/>
  <c r="AB198" i="46" s="1"/>
  <c r="AB130" i="46"/>
  <c r="AB140" i="46"/>
  <c r="AB214" i="46" s="1"/>
  <c r="AB146" i="46"/>
  <c r="AB220" i="46" s="1"/>
  <c r="AB152" i="46"/>
  <c r="AB226" i="46" s="1"/>
  <c r="AC88" i="46"/>
  <c r="AC98" i="46"/>
  <c r="AC172" i="46" s="1"/>
  <c r="AC104" i="46"/>
  <c r="AC178" i="46" s="1"/>
  <c r="AC110" i="46"/>
  <c r="AC184" i="46" s="1"/>
  <c r="AC116" i="46"/>
  <c r="AC126" i="46"/>
  <c r="AC200" i="46" s="1"/>
  <c r="AC132" i="46"/>
  <c r="AC206" i="46" s="1"/>
  <c r="AC138" i="46"/>
  <c r="AC212" i="46" s="1"/>
  <c r="AC144" i="46"/>
  <c r="AC154" i="46"/>
  <c r="AC228" i="46" s="1"/>
  <c r="AD90" i="46"/>
  <c r="AD164" i="46" s="1"/>
  <c r="AD96" i="46"/>
  <c r="AD170" i="46" s="1"/>
  <c r="AD102" i="46"/>
  <c r="AD112" i="46"/>
  <c r="AD186" i="46" s="1"/>
  <c r="AD118" i="46"/>
  <c r="AD192" i="46" s="1"/>
  <c r="AD124" i="46"/>
  <c r="AD198" i="46" s="1"/>
  <c r="AD130" i="46"/>
  <c r="AD140" i="46"/>
  <c r="AD214" i="46" s="1"/>
  <c r="AD146" i="46"/>
  <c r="AD220" i="46" s="1"/>
  <c r="AD152" i="46"/>
  <c r="AD226" i="46" s="1"/>
  <c r="AE88" i="46"/>
  <c r="AE98" i="46"/>
  <c r="AE172" i="46" s="1"/>
  <c r="AE104" i="46"/>
  <c r="AE178" i="46" s="1"/>
  <c r="AE110" i="46"/>
  <c r="AE184" i="46" s="1"/>
  <c r="AE116" i="46"/>
  <c r="AE126" i="46"/>
  <c r="AE200" i="46" s="1"/>
  <c r="AE132" i="46"/>
  <c r="AE206" i="46" s="1"/>
  <c r="AE138" i="46"/>
  <c r="AE212" i="46" s="1"/>
  <c r="AE144" i="46"/>
  <c r="AE154" i="46"/>
  <c r="AE228" i="46" s="1"/>
  <c r="AF90" i="46"/>
  <c r="AF164" i="46" s="1"/>
  <c r="AF96" i="46"/>
  <c r="AF170" i="46" s="1"/>
  <c r="AF102" i="46"/>
  <c r="AF112" i="46"/>
  <c r="AF186" i="46" s="1"/>
  <c r="AF118" i="46"/>
  <c r="AF192" i="46" s="1"/>
  <c r="AF124" i="46"/>
  <c r="AF198" i="46" s="1"/>
  <c r="AF130" i="46"/>
  <c r="AF140" i="46"/>
  <c r="AF214" i="46" s="1"/>
  <c r="AF146" i="46"/>
  <c r="AF220" i="46" s="1"/>
  <c r="AF152" i="46"/>
  <c r="AF226" i="46" s="1"/>
  <c r="AG88" i="46"/>
  <c r="AG98" i="46"/>
  <c r="AG172" i="46" s="1"/>
  <c r="AG104" i="46"/>
  <c r="AG178" i="46" s="1"/>
  <c r="AG110" i="46"/>
  <c r="AG184" i="46" s="1"/>
  <c r="AG116" i="46"/>
  <c r="AG126" i="46"/>
  <c r="AG200" i="46" s="1"/>
  <c r="AG132" i="46"/>
  <c r="AG206" i="46" s="1"/>
  <c r="AG138" i="46"/>
  <c r="AG212" i="46" s="1"/>
  <c r="AG144" i="46"/>
  <c r="AG154" i="46"/>
  <c r="AG228" i="46" s="1"/>
  <c r="K125" i="46"/>
  <c r="K199" i="46" s="1"/>
  <c r="K55" i="21"/>
  <c r="K89" i="21" s="1"/>
  <c r="L75" i="21"/>
  <c r="L109" i="21" s="1"/>
  <c r="N109" i="46"/>
  <c r="O98" i="46"/>
  <c r="O172" i="46" s="1"/>
  <c r="O119" i="46"/>
  <c r="O193" i="46" s="1"/>
  <c r="O138" i="46"/>
  <c r="O212" i="46" s="1"/>
  <c r="O55" i="21"/>
  <c r="O89" i="21" s="1"/>
  <c r="O77" i="21"/>
  <c r="O111" i="21" s="1"/>
  <c r="P91" i="46"/>
  <c r="P165" i="46" s="1"/>
  <c r="P123" i="46"/>
  <c r="P137" i="46"/>
  <c r="P152" i="46"/>
  <c r="P226" i="46" s="1"/>
  <c r="P60" i="21"/>
  <c r="Q89" i="46"/>
  <c r="Q163" i="46" s="1"/>
  <c r="Q110" i="46"/>
  <c r="Q184" i="46" s="1"/>
  <c r="Q119" i="46"/>
  <c r="Q193" i="46" s="1"/>
  <c r="Q131" i="46"/>
  <c r="Q205" i="46" s="1"/>
  <c r="Q139" i="46"/>
  <c r="Q213" i="46" s="1"/>
  <c r="Q63" i="21"/>
  <c r="Q97" i="21" s="1"/>
  <c r="Q67" i="21"/>
  <c r="Q76" i="21"/>
  <c r="Q110" i="21" s="1"/>
  <c r="R102" i="46"/>
  <c r="R109" i="46"/>
  <c r="R116" i="46"/>
  <c r="R124" i="46"/>
  <c r="R198" i="46" s="1"/>
  <c r="R131" i="46"/>
  <c r="R205" i="46" s="1"/>
  <c r="R138" i="46"/>
  <c r="R212" i="46" s="1"/>
  <c r="R146" i="46"/>
  <c r="R220" i="46" s="1"/>
  <c r="R153" i="46"/>
  <c r="R227" i="46" s="1"/>
  <c r="R56" i="21"/>
  <c r="R90" i="21" s="1"/>
  <c r="R62" i="21"/>
  <c r="R96" i="21" s="1"/>
  <c r="R68" i="21"/>
  <c r="R102" i="21" s="1"/>
  <c r="S89" i="46"/>
  <c r="S163" i="46" s="1"/>
  <c r="S96" i="46"/>
  <c r="S170" i="46" s="1"/>
  <c r="S104" i="46"/>
  <c r="S178" i="46" s="1"/>
  <c r="S111" i="46"/>
  <c r="S185" i="46" s="1"/>
  <c r="S118" i="46"/>
  <c r="S192" i="46" s="1"/>
  <c r="S126" i="46"/>
  <c r="S200" i="46" s="1"/>
  <c r="S133" i="46"/>
  <c r="S207" i="46" s="1"/>
  <c r="S140" i="46"/>
  <c r="S214" i="46" s="1"/>
  <c r="S56" i="21"/>
  <c r="S90" i="21" s="1"/>
  <c r="S62" i="21"/>
  <c r="S96" i="21" s="1"/>
  <c r="S68" i="21"/>
  <c r="S102" i="21" s="1"/>
  <c r="T74" i="21"/>
  <c r="W77" i="21"/>
  <c r="W111" i="21" s="1"/>
  <c r="X76" i="21"/>
  <c r="X110" i="21" s="1"/>
  <c r="Y75" i="21"/>
  <c r="Y109" i="21" s="1"/>
  <c r="Z74" i="21"/>
  <c r="AB77" i="21"/>
  <c r="AB111" i="21" s="1"/>
  <c r="AC76" i="21"/>
  <c r="AC110" i="21" s="1"/>
  <c r="AD75" i="21"/>
  <c r="AD109" i="21" s="1"/>
  <c r="AE74" i="21"/>
  <c r="AG77" i="21"/>
  <c r="AG111" i="21" s="1"/>
  <c r="V68" i="21"/>
  <c r="V102" i="21" s="1"/>
  <c r="W67" i="21"/>
  <c r="X69" i="21"/>
  <c r="X103" i="21" s="1"/>
  <c r="Y68" i="21"/>
  <c r="Y102" i="21" s="1"/>
  <c r="Z70" i="21"/>
  <c r="Z104" i="21" s="1"/>
  <c r="AA70" i="21"/>
  <c r="AA104" i="21" s="1"/>
  <c r="AD68" i="21"/>
  <c r="AD102" i="21" s="1"/>
  <c r="AE67" i="21"/>
  <c r="AF69" i="21"/>
  <c r="AF103" i="21" s="1"/>
  <c r="AG68" i="21"/>
  <c r="AG102" i="21" s="1"/>
  <c r="T63" i="21"/>
  <c r="T97" i="21" s="1"/>
  <c r="V61" i="21"/>
  <c r="V95" i="21" s="1"/>
  <c r="W62" i="21"/>
  <c r="W96" i="21" s="1"/>
  <c r="X63" i="21"/>
  <c r="X97" i="21" s="1"/>
  <c r="Z61" i="21"/>
  <c r="Z95" i="21" s="1"/>
  <c r="AA62" i="21"/>
  <c r="AA96" i="21" s="1"/>
  <c r="AB60" i="21"/>
  <c r="AC60" i="21"/>
  <c r="AD60" i="21"/>
  <c r="AE60" i="21"/>
  <c r="AF60" i="21"/>
  <c r="AG60" i="21"/>
  <c r="T53" i="21"/>
  <c r="U53" i="21"/>
  <c r="V53" i="21"/>
  <c r="W53" i="21"/>
  <c r="X53" i="21"/>
  <c r="Y53" i="21"/>
  <c r="Z53" i="21"/>
  <c r="AA53" i="21"/>
  <c r="AB53" i="21"/>
  <c r="AC53" i="21"/>
  <c r="AD53" i="21"/>
  <c r="AE53" i="21"/>
  <c r="AF53" i="21"/>
  <c r="AG53" i="21"/>
  <c r="T91" i="46"/>
  <c r="T165" i="46" s="1"/>
  <c r="T97" i="46"/>
  <c r="T171" i="46" s="1"/>
  <c r="T103" i="46"/>
  <c r="T177" i="46" s="1"/>
  <c r="T109" i="46"/>
  <c r="T119" i="46"/>
  <c r="T193" i="46" s="1"/>
  <c r="T125" i="46"/>
  <c r="T199" i="46" s="1"/>
  <c r="T131" i="46"/>
  <c r="T205" i="46" s="1"/>
  <c r="T137" i="46"/>
  <c r="T147" i="46"/>
  <c r="T221" i="46" s="1"/>
  <c r="T153" i="46"/>
  <c r="T227" i="46" s="1"/>
  <c r="U89" i="46"/>
  <c r="U163" i="46" s="1"/>
  <c r="U95" i="46"/>
  <c r="U105" i="46"/>
  <c r="U179" i="46" s="1"/>
  <c r="U111" i="46"/>
  <c r="U185" i="46" s="1"/>
  <c r="U117" i="46"/>
  <c r="U191" i="46" s="1"/>
  <c r="U123" i="46"/>
  <c r="U133" i="46"/>
  <c r="U207" i="46" s="1"/>
  <c r="U139" i="46"/>
  <c r="U213" i="46" s="1"/>
  <c r="U145" i="46"/>
  <c r="U219" i="46" s="1"/>
  <c r="U151" i="46"/>
  <c r="V91" i="46"/>
  <c r="V165" i="46" s="1"/>
  <c r="V97" i="46"/>
  <c r="V171" i="46" s="1"/>
  <c r="V103" i="46"/>
  <c r="V177" i="46" s="1"/>
  <c r="V109" i="46"/>
  <c r="V119" i="46"/>
  <c r="V193" i="46" s="1"/>
  <c r="V125" i="46"/>
  <c r="V199" i="46" s="1"/>
  <c r="V131" i="46"/>
  <c r="V205" i="46" s="1"/>
  <c r="V137" i="46"/>
  <c r="V147" i="46"/>
  <c r="V221" i="46" s="1"/>
  <c r="V153" i="46"/>
  <c r="V227" i="46" s="1"/>
  <c r="W89" i="46"/>
  <c r="W163" i="46" s="1"/>
  <c r="W95" i="46"/>
  <c r="W105" i="46"/>
  <c r="W179" i="46" s="1"/>
  <c r="W111" i="46"/>
  <c r="W185" i="46" s="1"/>
  <c r="W117" i="46"/>
  <c r="W191" i="46" s="1"/>
  <c r="W123" i="46"/>
  <c r="W133" i="46"/>
  <c r="W207" i="46" s="1"/>
  <c r="W139" i="46"/>
  <c r="W213" i="46" s="1"/>
  <c r="W145" i="46"/>
  <c r="W219" i="46" s="1"/>
  <c r="W151" i="46"/>
  <c r="X91" i="46"/>
  <c r="X165" i="46" s="1"/>
  <c r="X97" i="46"/>
  <c r="X171" i="46" s="1"/>
  <c r="X103" i="46"/>
  <c r="X177" i="46" s="1"/>
  <c r="X109" i="46"/>
  <c r="X119" i="46"/>
  <c r="X193" i="46" s="1"/>
  <c r="X125" i="46"/>
  <c r="X199" i="46" s="1"/>
  <c r="X131" i="46"/>
  <c r="X205" i="46" s="1"/>
  <c r="X137" i="46"/>
  <c r="X147" i="46"/>
  <c r="X221" i="46" s="1"/>
  <c r="X153" i="46"/>
  <c r="X227" i="46" s="1"/>
  <c r="Y89" i="46"/>
  <c r="Y163" i="46" s="1"/>
  <c r="Y95" i="46"/>
  <c r="Y105" i="46"/>
  <c r="Y179" i="46" s="1"/>
  <c r="Y111" i="46"/>
  <c r="Y185" i="46" s="1"/>
  <c r="Y117" i="46"/>
  <c r="Y191" i="46" s="1"/>
  <c r="Y123" i="46"/>
  <c r="Y133" i="46"/>
  <c r="Y207" i="46" s="1"/>
  <c r="Y139" i="46"/>
  <c r="Y213" i="46" s="1"/>
  <c r="Y145" i="46"/>
  <c r="Y219" i="46" s="1"/>
  <c r="Y151" i="46"/>
  <c r="Z91" i="46"/>
  <c r="Z165" i="46" s="1"/>
  <c r="Z97" i="46"/>
  <c r="Z171" i="46" s="1"/>
  <c r="Z103" i="46"/>
  <c r="Z177" i="46" s="1"/>
  <c r="Z109" i="46"/>
  <c r="Z119" i="46"/>
  <c r="Z193" i="46" s="1"/>
  <c r="Z125" i="46"/>
  <c r="Z199" i="46" s="1"/>
  <c r="Z131" i="46"/>
  <c r="Z205" i="46" s="1"/>
  <c r="Z137" i="46"/>
  <c r="Z147" i="46"/>
  <c r="Z221" i="46" s="1"/>
  <c r="Z153" i="46"/>
  <c r="Z227" i="46" s="1"/>
  <c r="AA89" i="46"/>
  <c r="AA163" i="46" s="1"/>
  <c r="AA95" i="46"/>
  <c r="AA105" i="46"/>
  <c r="AA179" i="46" s="1"/>
  <c r="AA111" i="46"/>
  <c r="AA185" i="46" s="1"/>
  <c r="AA117" i="46"/>
  <c r="AA191" i="46" s="1"/>
  <c r="AA123" i="46"/>
  <c r="AA133" i="46"/>
  <c r="AA207" i="46" s="1"/>
  <c r="AA139" i="46"/>
  <c r="AA213" i="46" s="1"/>
  <c r="AA145" i="46"/>
  <c r="AA219" i="46" s="1"/>
  <c r="AA151" i="46"/>
  <c r="AB91" i="46"/>
  <c r="AB165" i="46" s="1"/>
  <c r="AB97" i="46"/>
  <c r="AB171" i="46" s="1"/>
  <c r="AB103" i="46"/>
  <c r="AB177" i="46" s="1"/>
  <c r="AB109" i="46"/>
  <c r="AB119" i="46"/>
  <c r="AB193" i="46" s="1"/>
  <c r="AB125" i="46"/>
  <c r="AB199" i="46" s="1"/>
  <c r="AB131" i="46"/>
  <c r="AB205" i="46" s="1"/>
  <c r="AB137" i="46"/>
  <c r="AB147" i="46"/>
  <c r="AB221" i="46" s="1"/>
  <c r="AB153" i="46"/>
  <c r="AB227" i="46" s="1"/>
  <c r="AC89" i="46"/>
  <c r="AC163" i="46" s="1"/>
  <c r="AC95" i="46"/>
  <c r="AC105" i="46"/>
  <c r="AC179" i="46" s="1"/>
  <c r="AC111" i="46"/>
  <c r="AC185" i="46" s="1"/>
  <c r="AC117" i="46"/>
  <c r="AC191" i="46" s="1"/>
  <c r="AC123" i="46"/>
  <c r="AC133" i="46"/>
  <c r="AC207" i="46" s="1"/>
  <c r="AC139" i="46"/>
  <c r="AC213" i="46" s="1"/>
  <c r="AC145" i="46"/>
  <c r="AC219" i="46" s="1"/>
  <c r="AC151" i="46"/>
  <c r="AD91" i="46"/>
  <c r="AD165" i="46" s="1"/>
  <c r="AD97" i="46"/>
  <c r="AD171" i="46" s="1"/>
  <c r="AD103" i="46"/>
  <c r="AD177" i="46" s="1"/>
  <c r="AD109" i="46"/>
  <c r="AD119" i="46"/>
  <c r="AD193" i="46" s="1"/>
  <c r="AD125" i="46"/>
  <c r="AD199" i="46" s="1"/>
  <c r="AD131" i="46"/>
  <c r="AD205" i="46" s="1"/>
  <c r="AD137" i="46"/>
  <c r="AD147" i="46"/>
  <c r="AD221" i="46" s="1"/>
  <c r="AD153" i="46"/>
  <c r="AD227" i="46" s="1"/>
  <c r="AE89" i="46"/>
  <c r="AE163" i="46" s="1"/>
  <c r="AE95" i="46"/>
  <c r="AE105" i="46"/>
  <c r="AE179" i="46" s="1"/>
  <c r="AE111" i="46"/>
  <c r="AE185" i="46" s="1"/>
  <c r="AE117" i="46"/>
  <c r="AE191" i="46" s="1"/>
  <c r="AE123" i="46"/>
  <c r="AE133" i="46"/>
  <c r="AE207" i="46" s="1"/>
  <c r="AE139" i="46"/>
  <c r="AE213" i="46" s="1"/>
  <c r="AE145" i="46"/>
  <c r="AE219" i="46" s="1"/>
  <c r="AE151" i="46"/>
  <c r="AF91" i="46"/>
  <c r="AF165" i="46" s="1"/>
  <c r="AF97" i="46"/>
  <c r="AF171" i="46" s="1"/>
  <c r="AF103" i="46"/>
  <c r="AF177" i="46" s="1"/>
  <c r="AF109" i="46"/>
  <c r="AF119" i="46"/>
  <c r="AF193" i="46" s="1"/>
  <c r="AF125" i="46"/>
  <c r="AF199" i="46" s="1"/>
  <c r="AF131" i="46"/>
  <c r="AF205" i="46" s="1"/>
  <c r="AF137" i="46"/>
  <c r="AF147" i="46"/>
  <c r="AF221" i="46" s="1"/>
  <c r="AF153" i="46"/>
  <c r="AF227" i="46" s="1"/>
  <c r="AG89" i="46"/>
  <c r="AG163" i="46" s="1"/>
  <c r="AG95" i="46"/>
  <c r="AG105" i="46"/>
  <c r="AG179" i="46" s="1"/>
  <c r="AG111" i="46"/>
  <c r="AG185" i="46" s="1"/>
  <c r="AG117" i="46"/>
  <c r="AG191" i="46" s="1"/>
  <c r="AG123" i="46"/>
  <c r="AG133" i="46"/>
  <c r="AG207" i="46" s="1"/>
  <c r="AG139" i="46"/>
  <c r="AG213" i="46" s="1"/>
  <c r="AG145" i="46"/>
  <c r="AG219" i="46" s="1"/>
  <c r="AG151" i="46"/>
  <c r="K97" i="46"/>
  <c r="K171" i="46" s="1"/>
  <c r="L56" i="21"/>
  <c r="L90" i="21" s="1"/>
  <c r="M111" i="46"/>
  <c r="M185" i="46" s="1"/>
  <c r="M69" i="21"/>
  <c r="M103" i="21" s="1"/>
  <c r="N91" i="46"/>
  <c r="N165" i="46" s="1"/>
  <c r="N144" i="46"/>
  <c r="N55" i="21"/>
  <c r="N89" i="21" s="1"/>
  <c r="N62" i="21"/>
  <c r="N96" i="21" s="1"/>
  <c r="O126" i="46"/>
  <c r="O200" i="46" s="1"/>
  <c r="O68" i="21"/>
  <c r="O102" i="21" s="1"/>
  <c r="P112" i="46"/>
  <c r="P186" i="46" s="1"/>
  <c r="P54" i="21"/>
  <c r="P88" i="21" s="1"/>
  <c r="Q103" i="46"/>
  <c r="Q177" i="46" s="1"/>
  <c r="Q123" i="46"/>
  <c r="Q53" i="21"/>
  <c r="R97" i="46"/>
  <c r="R171" i="46" s="1"/>
  <c r="R112" i="46"/>
  <c r="R186" i="46" s="1"/>
  <c r="R126" i="46"/>
  <c r="R200" i="46" s="1"/>
  <c r="R70" i="21"/>
  <c r="R104" i="21" s="1"/>
  <c r="S116" i="46"/>
  <c r="S130" i="46"/>
  <c r="S145" i="46"/>
  <c r="S219" i="46" s="1"/>
  <c r="S53" i="21"/>
  <c r="S74" i="21"/>
  <c r="U75" i="21"/>
  <c r="U109" i="21" s="1"/>
  <c r="V75" i="21"/>
  <c r="V109" i="21" s="1"/>
  <c r="X77" i="21"/>
  <c r="X111" i="21" s="1"/>
  <c r="Z75" i="21"/>
  <c r="Z109" i="21" s="1"/>
  <c r="AA75" i="21"/>
  <c r="AA109" i="21" s="1"/>
  <c r="AC77" i="21"/>
  <c r="AC111" i="21" s="1"/>
  <c r="AE77" i="21"/>
  <c r="AE111" i="21" s="1"/>
  <c r="W70" i="21"/>
  <c r="W104" i="21" s="1"/>
  <c r="AB68" i="21"/>
  <c r="AB102" i="21" s="1"/>
  <c r="AC68" i="21"/>
  <c r="AC102" i="21" s="1"/>
  <c r="AD69" i="21"/>
  <c r="AD103" i="21" s="1"/>
  <c r="T61" i="21"/>
  <c r="T95" i="21" s="1"/>
  <c r="V63" i="21"/>
  <c r="V97" i="21" s="1"/>
  <c r="W63" i="21"/>
  <c r="W97" i="21" s="1"/>
  <c r="X61" i="21"/>
  <c r="X95" i="21" s="1"/>
  <c r="Z63" i="21"/>
  <c r="Z97" i="21" s="1"/>
  <c r="AA63" i="21"/>
  <c r="AA97" i="21" s="1"/>
  <c r="AC61" i="21"/>
  <c r="AC95" i="21" s="1"/>
  <c r="AD62" i="21"/>
  <c r="AD96" i="21" s="1"/>
  <c r="AG61" i="21"/>
  <c r="AG95" i="21" s="1"/>
  <c r="T55" i="21"/>
  <c r="T89" i="21" s="1"/>
  <c r="W54" i="21"/>
  <c r="W88" i="21" s="1"/>
  <c r="X55" i="21"/>
  <c r="X89" i="21" s="1"/>
  <c r="AA54" i="21"/>
  <c r="AA88" i="21" s="1"/>
  <c r="AB55" i="21"/>
  <c r="AB89" i="21" s="1"/>
  <c r="AE54" i="21"/>
  <c r="AE88" i="21" s="1"/>
  <c r="AF55" i="21"/>
  <c r="AF89" i="21" s="1"/>
  <c r="T104" i="46"/>
  <c r="T178" i="46" s="1"/>
  <c r="T116" i="46"/>
  <c r="T126" i="46"/>
  <c r="T200" i="46" s="1"/>
  <c r="T138" i="46"/>
  <c r="T212" i="46" s="1"/>
  <c r="U96" i="46"/>
  <c r="U170" i="46" s="1"/>
  <c r="U118" i="46"/>
  <c r="U192" i="46" s="1"/>
  <c r="U130" i="46"/>
  <c r="U140" i="46"/>
  <c r="U214" i="46" s="1"/>
  <c r="U152" i="46"/>
  <c r="U226" i="46" s="1"/>
  <c r="V95" i="46"/>
  <c r="V105" i="46"/>
  <c r="V179" i="46" s="1"/>
  <c r="V117" i="46"/>
  <c r="V191" i="46" s="1"/>
  <c r="V139" i="46"/>
  <c r="V213" i="46" s="1"/>
  <c r="V151" i="46"/>
  <c r="W97" i="46"/>
  <c r="W171" i="46" s="1"/>
  <c r="W109" i="46"/>
  <c r="W119" i="46"/>
  <c r="W193" i="46" s="1"/>
  <c r="W131" i="46"/>
  <c r="W205" i="46" s="1"/>
  <c r="W153" i="46"/>
  <c r="W227" i="46" s="1"/>
  <c r="X88" i="46"/>
  <c r="X98" i="46"/>
  <c r="X172" i="46" s="1"/>
  <c r="X110" i="46"/>
  <c r="X184" i="46" s="1"/>
  <c r="X132" i="46"/>
  <c r="X206" i="46" s="1"/>
  <c r="X144" i="46"/>
  <c r="X154" i="46"/>
  <c r="X228" i="46" s="1"/>
  <c r="Y90" i="46"/>
  <c r="Y164" i="46" s="1"/>
  <c r="Y102" i="46"/>
  <c r="Y112" i="46"/>
  <c r="Y186" i="46" s="1"/>
  <c r="Y124" i="46"/>
  <c r="Y198" i="46" s="1"/>
  <c r="Y146" i="46"/>
  <c r="Y220" i="46" s="1"/>
  <c r="Z89" i="46"/>
  <c r="Z163" i="46" s="1"/>
  <c r="Z111" i="46"/>
  <c r="Z185" i="46" s="1"/>
  <c r="Z123" i="46"/>
  <c r="Z133" i="46"/>
  <c r="Z207" i="46" s="1"/>
  <c r="Z145" i="46"/>
  <c r="Z219" i="46" s="1"/>
  <c r="AA91" i="46"/>
  <c r="AA165" i="46" s="1"/>
  <c r="AA103" i="46"/>
  <c r="AA177" i="46" s="1"/>
  <c r="AA125" i="46"/>
  <c r="AA199" i="46" s="1"/>
  <c r="AA137" i="46"/>
  <c r="AA147" i="46"/>
  <c r="AA221" i="46" s="1"/>
  <c r="AB104" i="46"/>
  <c r="AB178" i="46" s="1"/>
  <c r="AB116" i="46"/>
  <c r="AB126" i="46"/>
  <c r="AB200" i="46" s="1"/>
  <c r="AB138" i="46"/>
  <c r="AB212" i="46" s="1"/>
  <c r="AC96" i="46"/>
  <c r="AC170" i="46" s="1"/>
  <c r="AC118" i="46"/>
  <c r="AC192" i="46" s="1"/>
  <c r="AC130" i="46"/>
  <c r="AC140" i="46"/>
  <c r="AC214" i="46" s="1"/>
  <c r="AC152" i="46"/>
  <c r="AC226" i="46" s="1"/>
  <c r="AD95" i="46"/>
  <c r="AD105" i="46"/>
  <c r="AD179" i="46" s="1"/>
  <c r="AD117" i="46"/>
  <c r="AD191" i="46" s="1"/>
  <c r="AD139" i="46"/>
  <c r="AD213" i="46" s="1"/>
  <c r="AD151" i="46"/>
  <c r="AE97" i="46"/>
  <c r="AE171" i="46" s="1"/>
  <c r="AE109" i="46"/>
  <c r="AE119" i="46"/>
  <c r="AE193" i="46" s="1"/>
  <c r="AE131" i="46"/>
  <c r="AE205" i="46" s="1"/>
  <c r="AE153" i="46"/>
  <c r="AE227" i="46" s="1"/>
  <c r="AF88" i="46"/>
  <c r="AF98" i="46"/>
  <c r="AF172" i="46" s="1"/>
  <c r="AF110" i="46"/>
  <c r="AF184" i="46" s="1"/>
  <c r="AF132" i="46"/>
  <c r="AF206" i="46" s="1"/>
  <c r="AF144" i="46"/>
  <c r="AF154" i="46"/>
  <c r="AF228" i="46" s="1"/>
  <c r="AG90" i="46"/>
  <c r="AG164" i="46" s="1"/>
  <c r="AG102" i="46"/>
  <c r="AG112" i="46"/>
  <c r="AG186" i="46" s="1"/>
  <c r="AG124" i="46"/>
  <c r="AG198" i="46" s="1"/>
  <c r="AG146" i="46"/>
  <c r="AG220" i="46" s="1"/>
  <c r="K104" i="46"/>
  <c r="K178" i="46" s="1"/>
  <c r="L153" i="46"/>
  <c r="L227" i="46" s="1"/>
  <c r="N75" i="21"/>
  <c r="N109" i="21" s="1"/>
  <c r="O89" i="46"/>
  <c r="O163" i="46" s="1"/>
  <c r="O69" i="21"/>
  <c r="O103" i="21" s="1"/>
  <c r="P145" i="46"/>
  <c r="P219" i="46" s="1"/>
  <c r="Q104" i="46"/>
  <c r="Q178" i="46" s="1"/>
  <c r="Q125" i="46"/>
  <c r="Q199" i="46" s="1"/>
  <c r="Q145" i="46"/>
  <c r="Q219" i="46" s="1"/>
  <c r="Q55" i="21"/>
  <c r="Q89" i="21" s="1"/>
  <c r="R88" i="46"/>
  <c r="R103" i="46"/>
  <c r="R177" i="46" s="1"/>
  <c r="R118" i="46"/>
  <c r="R192" i="46" s="1"/>
  <c r="R132" i="46"/>
  <c r="R206" i="46" s="1"/>
  <c r="R147" i="46"/>
  <c r="R221" i="46" s="1"/>
  <c r="R60" i="21"/>
  <c r="S90" i="46"/>
  <c r="S164" i="46" s="1"/>
  <c r="S105" i="46"/>
  <c r="S179" i="46" s="1"/>
  <c r="S151" i="46"/>
  <c r="S69" i="21"/>
  <c r="S103" i="21" s="1"/>
  <c r="S75" i="21"/>
  <c r="S109" i="21" s="1"/>
  <c r="T76" i="21"/>
  <c r="T110" i="21" s="1"/>
  <c r="U76" i="21"/>
  <c r="U110" i="21" s="1"/>
  <c r="Z76" i="21"/>
  <c r="Z110" i="21" s="1"/>
  <c r="AD76" i="21"/>
  <c r="AD110" i="21" s="1"/>
  <c r="AG75" i="21"/>
  <c r="AG109" i="21" s="1"/>
  <c r="U67" i="21"/>
  <c r="X70" i="21"/>
  <c r="X104" i="21" s="1"/>
  <c r="AB69" i="21"/>
  <c r="AB103" i="21" s="1"/>
  <c r="AD70" i="21"/>
  <c r="AD104" i="21" s="1"/>
  <c r="AE68" i="21"/>
  <c r="AE102" i="21" s="1"/>
  <c r="AG70" i="21"/>
  <c r="AG104" i="21" s="1"/>
  <c r="U61" i="21"/>
  <c r="U95" i="21" s="1"/>
  <c r="Y61" i="21"/>
  <c r="Y95" i="21" s="1"/>
  <c r="AB61" i="21"/>
  <c r="AB95" i="21" s="1"/>
  <c r="AC62" i="21"/>
  <c r="AC96" i="21" s="1"/>
  <c r="AF61" i="21"/>
  <c r="AF95" i="21" s="1"/>
  <c r="AG62" i="21"/>
  <c r="AG96" i="21" s="1"/>
  <c r="V54" i="21"/>
  <c r="V88" i="21" s="1"/>
  <c r="W55" i="21"/>
  <c r="W89" i="21" s="1"/>
  <c r="Z54" i="21"/>
  <c r="Z88" i="21" s="1"/>
  <c r="AA55" i="21"/>
  <c r="AA89" i="21" s="1"/>
  <c r="AD54" i="21"/>
  <c r="AD88" i="21" s="1"/>
  <c r="AE55" i="21"/>
  <c r="AE89" i="21" s="1"/>
  <c r="T95" i="46"/>
  <c r="T105" i="46"/>
  <c r="T179" i="46" s="1"/>
  <c r="T117" i="46"/>
  <c r="T191" i="46" s="1"/>
  <c r="T139" i="46"/>
  <c r="T213" i="46" s="1"/>
  <c r="T151" i="46"/>
  <c r="U97" i="46"/>
  <c r="U171" i="46" s="1"/>
  <c r="U109" i="46"/>
  <c r="U119" i="46"/>
  <c r="U193" i="46" s="1"/>
  <c r="U131" i="46"/>
  <c r="U205" i="46" s="1"/>
  <c r="U153" i="46"/>
  <c r="U227" i="46" s="1"/>
  <c r="V88" i="46"/>
  <c r="V98" i="46"/>
  <c r="V172" i="46" s="1"/>
  <c r="V110" i="46"/>
  <c r="V184" i="46" s="1"/>
  <c r="V132" i="46"/>
  <c r="V206" i="46" s="1"/>
  <c r="V144" i="46"/>
  <c r="V154" i="46"/>
  <c r="V228" i="46" s="1"/>
  <c r="W90" i="46"/>
  <c r="W164" i="46" s="1"/>
  <c r="W102" i="46"/>
  <c r="W112" i="46"/>
  <c r="W186" i="46" s="1"/>
  <c r="W124" i="46"/>
  <c r="W198" i="46" s="1"/>
  <c r="W146" i="46"/>
  <c r="W220" i="46" s="1"/>
  <c r="X89" i="46"/>
  <c r="X163" i="46" s="1"/>
  <c r="X111" i="46"/>
  <c r="X185" i="46" s="1"/>
  <c r="X123" i="46"/>
  <c r="X133" i="46"/>
  <c r="X207" i="46" s="1"/>
  <c r="X145" i="46"/>
  <c r="X219" i="46" s="1"/>
  <c r="Y91" i="46"/>
  <c r="Y165" i="46" s="1"/>
  <c r="Y103" i="46"/>
  <c r="Y177" i="46" s="1"/>
  <c r="Y125" i="46"/>
  <c r="Y199" i="46" s="1"/>
  <c r="Y137" i="46"/>
  <c r="Y147" i="46"/>
  <c r="Y221" i="46" s="1"/>
  <c r="Z104" i="46"/>
  <c r="Z178" i="46" s="1"/>
  <c r="Z116" i="46"/>
  <c r="Z126" i="46"/>
  <c r="Z200" i="46" s="1"/>
  <c r="Z138" i="46"/>
  <c r="Z212" i="46" s="1"/>
  <c r="AA96" i="46"/>
  <c r="AA170" i="46" s="1"/>
  <c r="AA118" i="46"/>
  <c r="AA192" i="46" s="1"/>
  <c r="AA130" i="46"/>
  <c r="AA140" i="46"/>
  <c r="AA214" i="46" s="1"/>
  <c r="AA152" i="46"/>
  <c r="AA226" i="46" s="1"/>
  <c r="AB95" i="46"/>
  <c r="AB105" i="46"/>
  <c r="AB179" i="46" s="1"/>
  <c r="AB117" i="46"/>
  <c r="AB191" i="46" s="1"/>
  <c r="AB139" i="46"/>
  <c r="AB213" i="46" s="1"/>
  <c r="AB151" i="46"/>
  <c r="AC97" i="46"/>
  <c r="AC171" i="46" s="1"/>
  <c r="AC109" i="46"/>
  <c r="AC119" i="46"/>
  <c r="AC193" i="46" s="1"/>
  <c r="AC131" i="46"/>
  <c r="AC205" i="46" s="1"/>
  <c r="AC153" i="46"/>
  <c r="AC227" i="46" s="1"/>
  <c r="AD88" i="46"/>
  <c r="AD98" i="46"/>
  <c r="AD172" i="46" s="1"/>
  <c r="AD110" i="46"/>
  <c r="AD184" i="46" s="1"/>
  <c r="AD132" i="46"/>
  <c r="AD206" i="46" s="1"/>
  <c r="AD144" i="46"/>
  <c r="AD154" i="46"/>
  <c r="AD228" i="46" s="1"/>
  <c r="AE90" i="46"/>
  <c r="AE164" i="46" s="1"/>
  <c r="AE102" i="46"/>
  <c r="AE112" i="46"/>
  <c r="AE186" i="46" s="1"/>
  <c r="AE124" i="46"/>
  <c r="AE198" i="46" s="1"/>
  <c r="AE146" i="46"/>
  <c r="AE220" i="46" s="1"/>
  <c r="AF89" i="46"/>
  <c r="AF163" i="46" s="1"/>
  <c r="AF111" i="46"/>
  <c r="AF185" i="46" s="1"/>
  <c r="AF123" i="46"/>
  <c r="AF133" i="46"/>
  <c r="AF207" i="46" s="1"/>
  <c r="AF145" i="46"/>
  <c r="AF219" i="46" s="1"/>
  <c r="AG91" i="46"/>
  <c r="AG165" i="46" s="1"/>
  <c r="AG103" i="46"/>
  <c r="AG177" i="46" s="1"/>
  <c r="AG125" i="46"/>
  <c r="AG199" i="46" s="1"/>
  <c r="AG137" i="46"/>
  <c r="AG147" i="46"/>
  <c r="AG221" i="46" s="1"/>
  <c r="K137" i="46"/>
  <c r="L102" i="46"/>
  <c r="M138" i="46"/>
  <c r="M212" i="46" s="1"/>
  <c r="M60" i="21"/>
  <c r="N119" i="46"/>
  <c r="N193" i="46" s="1"/>
  <c r="O105" i="46"/>
  <c r="O179" i="46" s="1"/>
  <c r="O145" i="46"/>
  <c r="O219" i="46" s="1"/>
  <c r="O63" i="21"/>
  <c r="O97" i="21" s="1"/>
  <c r="P97" i="46"/>
  <c r="P171" i="46" s="1"/>
  <c r="Q111" i="46"/>
  <c r="Q185" i="46" s="1"/>
  <c r="Q132" i="46"/>
  <c r="Q206" i="46" s="1"/>
  <c r="Q153" i="46"/>
  <c r="Q227" i="46" s="1"/>
  <c r="N54" i="21"/>
  <c r="N88" i="21" s="1"/>
  <c r="P61" i="21"/>
  <c r="P95" i="21" s="1"/>
  <c r="Q133" i="46"/>
  <c r="Q207" i="46" s="1"/>
  <c r="Q69" i="21"/>
  <c r="Q103" i="21" s="1"/>
  <c r="R90" i="46"/>
  <c r="R164" i="46" s="1"/>
  <c r="R119" i="46"/>
  <c r="R193" i="46" s="1"/>
  <c r="R75" i="21"/>
  <c r="R109" i="21" s="1"/>
  <c r="S112" i="46"/>
  <c r="S186" i="46" s="1"/>
  <c r="S144" i="46"/>
  <c r="V74" i="21"/>
  <c r="AF76" i="21"/>
  <c r="AF110" i="21" s="1"/>
  <c r="V70" i="21"/>
  <c r="V104" i="21" s="1"/>
  <c r="Y70" i="21"/>
  <c r="Y104" i="21" s="1"/>
  <c r="Z68" i="21"/>
  <c r="Z102" i="21" s="1"/>
  <c r="AC67" i="21"/>
  <c r="AE70" i="21"/>
  <c r="AE104" i="21" s="1"/>
  <c r="AB62" i="21"/>
  <c r="AB96" i="21" s="1"/>
  <c r="AE61" i="21"/>
  <c r="AE95" i="21" s="1"/>
  <c r="AF62" i="21"/>
  <c r="AF96" i="21" s="1"/>
  <c r="U54" i="21"/>
  <c r="U88" i="21" s="1"/>
  <c r="V55" i="21"/>
  <c r="V89" i="21" s="1"/>
  <c r="Y54" i="21"/>
  <c r="Y88" i="21" s="1"/>
  <c r="Z55" i="21"/>
  <c r="Z89" i="21" s="1"/>
  <c r="AC54" i="21"/>
  <c r="AC88" i="21" s="1"/>
  <c r="AD55" i="21"/>
  <c r="AD89" i="21" s="1"/>
  <c r="AG54" i="21"/>
  <c r="AG88" i="21" s="1"/>
  <c r="T123" i="46"/>
  <c r="T145" i="46"/>
  <c r="T219" i="46" s="1"/>
  <c r="U102" i="46"/>
  <c r="U124" i="46"/>
  <c r="U198" i="46" s="1"/>
  <c r="U146" i="46"/>
  <c r="U220" i="46" s="1"/>
  <c r="V116" i="46"/>
  <c r="V138" i="46"/>
  <c r="V212" i="46" s="1"/>
  <c r="W91" i="46"/>
  <c r="W165" i="46" s="1"/>
  <c r="W137" i="46"/>
  <c r="X116" i="46"/>
  <c r="X138" i="46"/>
  <c r="X212" i="46" s="1"/>
  <c r="Y96" i="46"/>
  <c r="Y170" i="46" s="1"/>
  <c r="Y118" i="46"/>
  <c r="Y192" i="46" s="1"/>
  <c r="Y140" i="46"/>
  <c r="Y214" i="46" s="1"/>
  <c r="Z95" i="46"/>
  <c r="Z117" i="46"/>
  <c r="Z191" i="46" s="1"/>
  <c r="M96" i="46"/>
  <c r="M170" i="46" s="1"/>
  <c r="O109" i="46"/>
  <c r="P76" i="21"/>
  <c r="P110" i="21" s="1"/>
  <c r="Q116" i="46"/>
  <c r="R110" i="46"/>
  <c r="R184" i="46" s="1"/>
  <c r="R140" i="46"/>
  <c r="R214" i="46" s="1"/>
  <c r="S138" i="46"/>
  <c r="S212" i="46" s="1"/>
  <c r="T77" i="21"/>
  <c r="T111" i="21" s="1"/>
  <c r="W74" i="21"/>
  <c r="Y77" i="21"/>
  <c r="Y111" i="21" s="1"/>
  <c r="AA74" i="21"/>
  <c r="AE75" i="21"/>
  <c r="AE109" i="21" s="1"/>
  <c r="AF74" i="21"/>
  <c r="V69" i="21"/>
  <c r="V103" i="21" s="1"/>
  <c r="V62" i="21"/>
  <c r="V96" i="21" s="1"/>
  <c r="Z62" i="21"/>
  <c r="Z96" i="21" s="1"/>
  <c r="R104" i="46"/>
  <c r="R178" i="46" s="1"/>
  <c r="S70" i="21"/>
  <c r="S104" i="21" s="1"/>
  <c r="Y76" i="21"/>
  <c r="Y110" i="21" s="1"/>
  <c r="AB74" i="21"/>
  <c r="U68" i="21"/>
  <c r="U102" i="21" s="1"/>
  <c r="Y62" i="21"/>
  <c r="Y96" i="21" s="1"/>
  <c r="T98" i="46"/>
  <c r="T172" i="46" s="1"/>
  <c r="T132" i="46"/>
  <c r="T206" i="46" s="1"/>
  <c r="U91" i="46"/>
  <c r="U165" i="46" s="1"/>
  <c r="U125" i="46"/>
  <c r="U199" i="46" s="1"/>
  <c r="V89" i="46"/>
  <c r="V163" i="46" s="1"/>
  <c r="V123" i="46"/>
  <c r="W118" i="46"/>
  <c r="W192" i="46" s="1"/>
  <c r="W147" i="46"/>
  <c r="W221" i="46" s="1"/>
  <c r="X117" i="46"/>
  <c r="X191" i="46" s="1"/>
  <c r="Y119" i="46"/>
  <c r="Y193" i="46" s="1"/>
  <c r="Y152" i="46"/>
  <c r="Y226" i="46" s="1"/>
  <c r="Z88" i="46"/>
  <c r="Z144" i="46"/>
  <c r="AA102" i="46"/>
  <c r="AA124" i="46"/>
  <c r="AA198" i="46" s="1"/>
  <c r="AA146" i="46"/>
  <c r="AA220" i="46" s="1"/>
  <c r="AB98" i="46"/>
  <c r="AB172" i="46" s="1"/>
  <c r="AB144" i="46"/>
  <c r="AC91" i="46"/>
  <c r="AC165" i="46" s="1"/>
  <c r="AC137" i="46"/>
  <c r="AD89" i="46"/>
  <c r="AD163" i="46" s="1"/>
  <c r="AD111" i="46"/>
  <c r="AD185" i="46" s="1"/>
  <c r="AD133" i="46"/>
  <c r="AD207" i="46" s="1"/>
  <c r="AE130" i="46"/>
  <c r="AE152" i="46"/>
  <c r="AE226" i="46" s="1"/>
  <c r="AF105" i="46"/>
  <c r="AF179" i="46" s="1"/>
  <c r="AF151" i="46"/>
  <c r="AG109" i="46"/>
  <c r="AG131" i="46"/>
  <c r="AG205" i="46" s="1"/>
  <c r="AG153" i="46"/>
  <c r="AG227" i="46" s="1"/>
  <c r="K144" i="46"/>
  <c r="Q154" i="46"/>
  <c r="Q228" i="46" s="1"/>
  <c r="R96" i="46"/>
  <c r="R170" i="46" s="1"/>
  <c r="R154" i="46"/>
  <c r="R228" i="46" s="1"/>
  <c r="R76" i="21"/>
  <c r="R110" i="21" s="1"/>
  <c r="S123" i="46"/>
  <c r="S63" i="21"/>
  <c r="S97" i="21" s="1"/>
  <c r="W68" i="21"/>
  <c r="W102" i="21" s="1"/>
  <c r="T89" i="46"/>
  <c r="T163" i="46" s="1"/>
  <c r="T154" i="46"/>
  <c r="T228" i="46" s="1"/>
  <c r="U90" i="46"/>
  <c r="U164" i="46" s="1"/>
  <c r="U147" i="46"/>
  <c r="U221" i="46" s="1"/>
  <c r="V111" i="46"/>
  <c r="V185" i="46" s="1"/>
  <c r="V145" i="46"/>
  <c r="V219" i="46" s="1"/>
  <c r="W140" i="46"/>
  <c r="W214" i="46" s="1"/>
  <c r="X105" i="46"/>
  <c r="X179" i="46" s="1"/>
  <c r="X139" i="46"/>
  <c r="X213" i="46" s="1"/>
  <c r="Y109" i="46"/>
  <c r="Z110" i="46"/>
  <c r="Z184" i="46" s="1"/>
  <c r="Z139" i="46"/>
  <c r="Z213" i="46" s="1"/>
  <c r="AA97" i="46"/>
  <c r="AA171" i="46" s="1"/>
  <c r="AA119" i="46"/>
  <c r="AA193" i="46" s="1"/>
  <c r="AB89" i="46"/>
  <c r="AB163" i="46" s="1"/>
  <c r="AB111" i="46"/>
  <c r="AB185" i="46" s="1"/>
  <c r="AB133" i="46"/>
  <c r="AB207" i="46" s="1"/>
  <c r="AC90" i="46"/>
  <c r="AC164" i="46" s="1"/>
  <c r="AC112" i="46"/>
  <c r="AC186" i="46" s="1"/>
  <c r="AD104" i="46"/>
  <c r="AD178" i="46" s="1"/>
  <c r="AD126" i="46"/>
  <c r="AD200" i="46" s="1"/>
  <c r="AE103" i="46"/>
  <c r="AE177" i="46" s="1"/>
  <c r="AE125" i="46"/>
  <c r="AE199" i="46" s="1"/>
  <c r="AE147" i="46"/>
  <c r="AE221" i="46" s="1"/>
  <c r="AF104" i="46"/>
  <c r="AF178" i="46" s="1"/>
  <c r="AF126" i="46"/>
  <c r="AF200" i="46" s="1"/>
  <c r="AG130" i="46"/>
  <c r="AG152" i="46"/>
  <c r="AG226" i="46" s="1"/>
  <c r="S98" i="46"/>
  <c r="S172" i="46" s="1"/>
  <c r="AF70" i="21"/>
  <c r="AF104" i="21" s="1"/>
  <c r="U62" i="21"/>
  <c r="U96" i="21" s="1"/>
  <c r="U55" i="21"/>
  <c r="U89" i="21" s="1"/>
  <c r="AC55" i="21"/>
  <c r="AC89" i="21" s="1"/>
  <c r="T110" i="46"/>
  <c r="T184" i="46" s="1"/>
  <c r="U103" i="46"/>
  <c r="U177" i="46" s="1"/>
  <c r="V133" i="46"/>
  <c r="V207" i="46" s="1"/>
  <c r="W125" i="46"/>
  <c r="W199" i="46" s="1"/>
  <c r="X104" i="46"/>
  <c r="X178" i="46" s="1"/>
  <c r="Y97" i="46"/>
  <c r="Y171" i="46" s="1"/>
  <c r="Y153" i="46"/>
  <c r="Y227" i="46" s="1"/>
  <c r="Z132" i="46"/>
  <c r="Z206" i="46" s="1"/>
  <c r="AA90" i="46"/>
  <c r="AA164" i="46" s="1"/>
  <c r="AB88" i="46"/>
  <c r="AB132" i="46"/>
  <c r="AB206" i="46" s="1"/>
  <c r="AC125" i="46"/>
  <c r="AC199" i="46" s="1"/>
  <c r="AD116" i="46"/>
  <c r="AE96" i="46"/>
  <c r="AE170" i="46" s="1"/>
  <c r="AE140" i="46"/>
  <c r="AE214" i="46" s="1"/>
  <c r="AF138" i="46"/>
  <c r="AF212" i="46" s="1"/>
  <c r="AG119" i="46"/>
  <c r="AG193" i="46" s="1"/>
  <c r="T69" i="21"/>
  <c r="T103" i="21" s="1"/>
  <c r="T54" i="21"/>
  <c r="T88" i="21" s="1"/>
  <c r="AB54" i="21"/>
  <c r="AB88" i="21" s="1"/>
  <c r="T88" i="46"/>
  <c r="T144" i="46"/>
  <c r="U137" i="46"/>
  <c r="V126" i="46"/>
  <c r="V200" i="46" s="1"/>
  <c r="W103" i="46"/>
  <c r="W177" i="46" s="1"/>
  <c r="X95" i="46"/>
  <c r="X151" i="46"/>
  <c r="Y131" i="46"/>
  <c r="Y205" i="46" s="1"/>
  <c r="AA131" i="46"/>
  <c r="AA205" i="46" s="1"/>
  <c r="AB123" i="46"/>
  <c r="AC124" i="46"/>
  <c r="AC198" i="46" s="1"/>
  <c r="AD145" i="46"/>
  <c r="AD219" i="46" s="1"/>
  <c r="AE91" i="46"/>
  <c r="AE165" i="46" s="1"/>
  <c r="AE137" i="46"/>
  <c r="AF117" i="46"/>
  <c r="AF191" i="46" s="1"/>
  <c r="AG118" i="46"/>
  <c r="AG192" i="46" s="1"/>
  <c r="L67" i="21"/>
  <c r="P130" i="46"/>
  <c r="R125" i="46"/>
  <c r="R199" i="46" s="1"/>
  <c r="S152" i="46"/>
  <c r="S226" i="46" s="1"/>
  <c r="T68" i="21"/>
  <c r="T102" i="21" s="1"/>
  <c r="AA67" i="21"/>
  <c r="AE62" i="21"/>
  <c r="AE96" i="21" s="1"/>
  <c r="AG55" i="21"/>
  <c r="AG89" i="21" s="1"/>
  <c r="U112" i="46"/>
  <c r="U186" i="46" s="1"/>
  <c r="V104" i="46"/>
  <c r="V178" i="46" s="1"/>
  <c r="W152" i="46"/>
  <c r="W226" i="46" s="1"/>
  <c r="Z105" i="46"/>
  <c r="Z179" i="46" s="1"/>
  <c r="AA109" i="46"/>
  <c r="AB154" i="46"/>
  <c r="AB228" i="46" s="1"/>
  <c r="AC146" i="46"/>
  <c r="AC220" i="46" s="1"/>
  <c r="AD123" i="46"/>
  <c r="AG140" i="46"/>
  <c r="AG214" i="46" s="1"/>
  <c r="R54" i="21"/>
  <c r="R88" i="21" s="1"/>
  <c r="X54" i="21"/>
  <c r="X88" i="21" s="1"/>
  <c r="T111" i="46"/>
  <c r="T185" i="46" s="1"/>
  <c r="X126" i="46"/>
  <c r="X200" i="46" s="1"/>
  <c r="Y130" i="46"/>
  <c r="Z151" i="46"/>
  <c r="AA112" i="46"/>
  <c r="AA186" i="46" s="1"/>
  <c r="AC147" i="46"/>
  <c r="AC221" i="46" s="1"/>
  <c r="AD138" i="46"/>
  <c r="AD212" i="46" s="1"/>
  <c r="AE118" i="46"/>
  <c r="AE192" i="46" s="1"/>
  <c r="AF95" i="46"/>
  <c r="J102" i="46"/>
  <c r="Y55" i="21"/>
  <c r="Y89" i="21" s="1"/>
  <c r="T133" i="46"/>
  <c r="T207" i="46" s="1"/>
  <c r="W96" i="46"/>
  <c r="W170" i="46" s="1"/>
  <c r="Z154" i="46"/>
  <c r="Z228" i="46" s="1"/>
  <c r="AA153" i="46"/>
  <c r="AA227" i="46" s="1"/>
  <c r="AB110" i="46"/>
  <c r="AB184" i="46" s="1"/>
  <c r="AC102" i="46"/>
  <c r="AF116" i="46"/>
  <c r="AG96" i="46"/>
  <c r="AG170" i="46" s="1"/>
  <c r="Q95" i="46"/>
  <c r="AD61" i="21"/>
  <c r="AD95" i="21" s="1"/>
  <c r="AF54" i="21"/>
  <c r="AF88" i="21" s="1"/>
  <c r="W130" i="46"/>
  <c r="Z98" i="46"/>
  <c r="Z172" i="46" s="1"/>
  <c r="AB145" i="46"/>
  <c r="AB219" i="46" s="1"/>
  <c r="AC103" i="46"/>
  <c r="AC177" i="46" s="1"/>
  <c r="AF139" i="46"/>
  <c r="AF213" i="46" s="1"/>
  <c r="AG97" i="46"/>
  <c r="AG171" i="46" s="1"/>
  <c r="J53" i="21"/>
  <c r="J132" i="46"/>
  <c r="J103" i="46"/>
  <c r="J70" i="21"/>
  <c r="J145" i="46"/>
  <c r="J117" i="46"/>
  <c r="J89" i="46"/>
  <c r="Q83" i="6"/>
  <c r="J121" i="23"/>
  <c r="I107" i="23"/>
  <c r="T81" i="6"/>
  <c r="K49" i="47"/>
  <c r="K50" i="47" s="1"/>
  <c r="U56" i="47" s="1"/>
  <c r="J49" i="47"/>
  <c r="J50" i="47" s="1"/>
  <c r="J56" i="47" s="1"/>
  <c r="AF112" i="23"/>
  <c r="AE114" i="23"/>
  <c r="AA114" i="23"/>
  <c r="W114" i="23"/>
  <c r="S114" i="23"/>
  <c r="O114" i="23"/>
  <c r="K114" i="23"/>
  <c r="J114" i="23"/>
  <c r="T86" i="6"/>
  <c r="AD86" i="6"/>
  <c r="AA86" i="6"/>
  <c r="I120" i="21"/>
  <c r="L103" i="22"/>
  <c r="L104" i="22"/>
  <c r="L105" i="22" s="1"/>
  <c r="N182" i="22"/>
  <c r="M18" i="22"/>
  <c r="P77" i="22"/>
  <c r="W35" i="6"/>
  <c r="V35" i="6"/>
  <c r="T35" i="6"/>
  <c r="Y40" i="6"/>
  <c r="X40" i="6"/>
  <c r="V40" i="6"/>
  <c r="O44" i="6"/>
  <c r="R44" i="6"/>
  <c r="J31" i="25"/>
  <c r="S40" i="6"/>
  <c r="T23" i="25"/>
  <c r="T76" i="26" s="1"/>
  <c r="P36" i="6"/>
  <c r="Q36" i="6"/>
  <c r="R36" i="6"/>
  <c r="AC41" i="6"/>
  <c r="AE41" i="6"/>
  <c r="O41" i="6"/>
  <c r="AC17" i="47"/>
  <c r="AG37" i="6"/>
  <c r="AF37" i="6"/>
  <c r="AE37" i="6"/>
  <c r="L135" i="22"/>
  <c r="K152" i="22"/>
  <c r="V87" i="6"/>
  <c r="X87" i="6"/>
  <c r="W87" i="6"/>
  <c r="Y87" i="6"/>
  <c r="J69" i="21"/>
  <c r="J126" i="46"/>
  <c r="J75" i="21"/>
  <c r="J154" i="46"/>
  <c r="J125" i="46"/>
  <c r="J96" i="46"/>
  <c r="J63" i="21"/>
  <c r="J139" i="46"/>
  <c r="J111" i="46"/>
  <c r="AG83" i="6"/>
  <c r="R83" i="6"/>
  <c r="S83" i="6"/>
  <c r="T83" i="6"/>
  <c r="AE81" i="6"/>
  <c r="W81" i="6"/>
  <c r="AF81" i="6"/>
  <c r="AG81" i="6"/>
  <c r="K116" i="23"/>
  <c r="AD114" i="23"/>
  <c r="Z114" i="23"/>
  <c r="V114" i="23"/>
  <c r="R114" i="23"/>
  <c r="N114" i="23"/>
  <c r="J119" i="23"/>
  <c r="N86" i="6"/>
  <c r="Y86" i="6"/>
  <c r="X86" i="6"/>
  <c r="U86" i="6"/>
  <c r="V86" i="6"/>
  <c r="W86" i="6"/>
  <c r="I309" i="46"/>
  <c r="K86" i="6" s="1"/>
  <c r="I65" i="22"/>
  <c r="K53" i="22"/>
  <c r="AF35" i="6"/>
  <c r="N35" i="6"/>
  <c r="U35" i="6"/>
  <c r="P40" i="6"/>
  <c r="O40" i="6"/>
  <c r="AG40" i="6"/>
  <c r="R40" i="6"/>
  <c r="Q44" i="6"/>
  <c r="AE44" i="6"/>
  <c r="Y44" i="6"/>
  <c r="AA44" i="6"/>
  <c r="AD44" i="6"/>
  <c r="K145" i="25"/>
  <c r="J141" i="26"/>
  <c r="P39" i="6"/>
  <c r="N39" i="6"/>
  <c r="AB43" i="6"/>
  <c r="AG43" i="6"/>
  <c r="Q43" i="6"/>
  <c r="O92" i="25"/>
  <c r="O93" i="25" s="1"/>
  <c r="X23" i="25"/>
  <c r="X76" i="26" s="1"/>
  <c r="T36" i="6"/>
  <c r="AB36" i="6"/>
  <c r="X36" i="6"/>
  <c r="U41" i="6"/>
  <c r="T41" i="6"/>
  <c r="AF41" i="6"/>
  <c r="X41" i="6"/>
  <c r="AA41" i="6"/>
  <c r="AG36" i="6"/>
  <c r="M37" i="6"/>
  <c r="T37" i="6"/>
  <c r="AA37" i="6"/>
  <c r="G251" i="1"/>
  <c r="F251" i="1"/>
  <c r="F262" i="1" s="1"/>
  <c r="H262" i="1" s="1"/>
  <c r="I62" i="26"/>
  <c r="W11" i="38"/>
  <c r="Y11" i="38"/>
  <c r="X11" i="38"/>
  <c r="Z11" i="38"/>
  <c r="K119" i="26"/>
  <c r="L320" i="1"/>
  <c r="L323" i="1" s="1"/>
  <c r="U87" i="6"/>
  <c r="R87" i="6"/>
  <c r="S87" i="6"/>
  <c r="T87" i="6"/>
  <c r="J55" i="21"/>
  <c r="J116" i="46"/>
  <c r="J67" i="21"/>
  <c r="J147" i="46"/>
  <c r="J118" i="46"/>
  <c r="J88" i="46"/>
  <c r="J56" i="21"/>
  <c r="J133" i="46"/>
  <c r="J105" i="46"/>
  <c r="AB83" i="6"/>
  <c r="AC83" i="6"/>
  <c r="AE83" i="6"/>
  <c r="AD83" i="6"/>
  <c r="AF83" i="6"/>
  <c r="P83" i="6"/>
  <c r="AF56" i="47"/>
  <c r="AC114" i="23"/>
  <c r="Y114" i="23"/>
  <c r="Q114" i="23"/>
  <c r="J117" i="23"/>
  <c r="I91" i="23"/>
  <c r="I147" i="21"/>
  <c r="AB86" i="6"/>
  <c r="Q86" i="6"/>
  <c r="P86" i="6"/>
  <c r="S86" i="6"/>
  <c r="Q23" i="25"/>
  <c r="Q76" i="26" s="1"/>
  <c r="T25" i="38" s="1"/>
  <c r="X35" i="6"/>
  <c r="AD35" i="6"/>
  <c r="AE35" i="6"/>
  <c r="AG35" i="6"/>
  <c r="AC40" i="6"/>
  <c r="I90" i="24"/>
  <c r="K40" i="6" s="1"/>
  <c r="AA40" i="6"/>
  <c r="AB40" i="6"/>
  <c r="AD40" i="6"/>
  <c r="N40" i="6"/>
  <c r="AC44" i="6"/>
  <c r="W44" i="6"/>
  <c r="S44" i="6"/>
  <c r="T44" i="6"/>
  <c r="U44" i="6"/>
  <c r="Z44" i="6"/>
  <c r="L92" i="25"/>
  <c r="L93" i="25" s="1"/>
  <c r="R39" i="6"/>
  <c r="Q39" i="6"/>
  <c r="W43" i="6"/>
  <c r="L67" i="6"/>
  <c r="AG23" i="25"/>
  <c r="AG76" i="26" s="1"/>
  <c r="AB17" i="47"/>
  <c r="Y36" i="6"/>
  <c r="U36" i="6"/>
  <c r="S36" i="6"/>
  <c r="Z36" i="6"/>
  <c r="AD41" i="6"/>
  <c r="AG41" i="6"/>
  <c r="Z41" i="6"/>
  <c r="Y41" i="6"/>
  <c r="R41" i="6"/>
  <c r="W41" i="6"/>
  <c r="U23" i="25"/>
  <c r="U76" i="26" s="1"/>
  <c r="Z37" i="6"/>
  <c r="AB37" i="6"/>
  <c r="Q37" i="6"/>
  <c r="N37" i="6"/>
  <c r="M51" i="22"/>
  <c r="C50" i="21"/>
  <c r="C84" i="21"/>
  <c r="C160" i="21"/>
  <c r="C117" i="21"/>
  <c r="C41" i="39"/>
  <c r="C277" i="1"/>
  <c r="M126" i="26"/>
  <c r="N314" i="1"/>
  <c r="N317" i="1" s="1"/>
  <c r="K27" i="35"/>
  <c r="K36" i="35" s="1"/>
  <c r="K41" i="35" s="1"/>
  <c r="K46" i="35" s="1"/>
  <c r="K48" i="35" s="1"/>
  <c r="K28" i="35"/>
  <c r="J27" i="35"/>
  <c r="J28" i="35"/>
  <c r="L27" i="35"/>
  <c r="L36" i="35" s="1"/>
  <c r="L41" i="35" s="1"/>
  <c r="L46" i="35" s="1"/>
  <c r="L48" i="35" s="1"/>
  <c r="J84" i="26"/>
  <c r="AA37" i="35" l="1"/>
  <c r="Q66" i="36" s="1"/>
  <c r="N44" i="6"/>
  <c r="K23" i="25"/>
  <c r="K76" i="26" s="1"/>
  <c r="N25" i="38" s="1"/>
  <c r="X45" i="21"/>
  <c r="K35" i="22"/>
  <c r="P56" i="47"/>
  <c r="P70" i="47" s="1"/>
  <c r="P34" i="25" s="1"/>
  <c r="P85" i="26" s="1"/>
  <c r="S34" i="38" s="1"/>
  <c r="J24" i="6"/>
  <c r="N38" i="6"/>
  <c r="W23" i="25"/>
  <c r="W76" i="26" s="1"/>
  <c r="Z35" i="6"/>
  <c r="V37" i="35"/>
  <c r="L66" i="36" s="1"/>
  <c r="Y35" i="6"/>
  <c r="M45" i="21"/>
  <c r="L308" i="1"/>
  <c r="L311" i="1" s="1"/>
  <c r="K130" i="26"/>
  <c r="AD23" i="25"/>
  <c r="AD76" i="26" s="1"/>
  <c r="AD17" i="47"/>
  <c r="O15" i="26"/>
  <c r="R14" i="35" s="1"/>
  <c r="O88" i="24"/>
  <c r="O38" i="6" s="1"/>
  <c r="O307" i="46"/>
  <c r="O84" i="6" s="1"/>
  <c r="O151" i="23"/>
  <c r="O152" i="23" s="1"/>
  <c r="O83" i="23"/>
  <c r="O115" i="23" s="1"/>
  <c r="Q56" i="47"/>
  <c r="Q70" i="47" s="1"/>
  <c r="Q34" i="25" s="1"/>
  <c r="Q85" i="26" s="1"/>
  <c r="T34" i="38" s="1"/>
  <c r="Y12" i="35"/>
  <c r="O18" i="6"/>
  <c r="I313" i="46"/>
  <c r="J90" i="6" s="1"/>
  <c r="Q45" i="21"/>
  <c r="N45" i="21"/>
  <c r="T45" i="21"/>
  <c r="N51" i="47"/>
  <c r="N49" i="47"/>
  <c r="N50" i="47" s="1"/>
  <c r="N35" i="47"/>
  <c r="N36" i="47" s="1"/>
  <c r="N25" i="6"/>
  <c r="O25" i="6" s="1"/>
  <c r="Q69" i="36"/>
  <c r="J93" i="25"/>
  <c r="K95" i="25" s="1"/>
  <c r="K110" i="25" s="1"/>
  <c r="O17" i="47"/>
  <c r="O83" i="6"/>
  <c r="M83" i="6"/>
  <c r="J57" i="38"/>
  <c r="V89" i="6"/>
  <c r="B182" i="46"/>
  <c r="B108" i="46"/>
  <c r="B41" i="46"/>
  <c r="I95" i="23"/>
  <c r="AB45" i="21"/>
  <c r="Y45" i="21"/>
  <c r="J78" i="21"/>
  <c r="J150" i="21" s="1"/>
  <c r="AE43" i="6"/>
  <c r="W13" i="35"/>
  <c r="I24" i="6"/>
  <c r="O43" i="6"/>
  <c r="Q89" i="6"/>
  <c r="M44" i="6"/>
  <c r="J191" i="23"/>
  <c r="J192" i="23" s="1"/>
  <c r="J312" i="46"/>
  <c r="J93" i="24"/>
  <c r="J103" i="23"/>
  <c r="J120" i="23" s="1"/>
  <c r="J20" i="26"/>
  <c r="M19" i="35" s="1"/>
  <c r="AC43" i="6"/>
  <c r="R35" i="6"/>
  <c r="X37" i="6"/>
  <c r="T43" i="6"/>
  <c r="I85" i="24"/>
  <c r="K35" i="6" s="1"/>
  <c r="I20" i="6"/>
  <c r="AD89" i="6"/>
  <c r="V91" i="25"/>
  <c r="V94" i="25" s="1"/>
  <c r="V92" i="25"/>
  <c r="V93" i="25" s="1"/>
  <c r="K137" i="22"/>
  <c r="L136" i="22" s="1"/>
  <c r="L154" i="22" s="1"/>
  <c r="T89" i="6"/>
  <c r="AD36" i="6"/>
  <c r="I90" i="25"/>
  <c r="AC36" i="6"/>
  <c r="AF43" i="6"/>
  <c r="I79" i="23"/>
  <c r="AG89" i="6"/>
  <c r="W89" i="6"/>
  <c r="W92" i="25"/>
  <c r="W93" i="25" s="1"/>
  <c r="R92" i="25"/>
  <c r="R93" i="25" s="1"/>
  <c r="P92" i="25"/>
  <c r="P93" i="25" s="1"/>
  <c r="Z93" i="25"/>
  <c r="Q92" i="25"/>
  <c r="Q93" i="25" s="1"/>
  <c r="I86" i="24"/>
  <c r="U93" i="25"/>
  <c r="V37" i="6"/>
  <c r="V43" i="6"/>
  <c r="P35" i="6"/>
  <c r="P43" i="6"/>
  <c r="Z43" i="6"/>
  <c r="X92" i="25"/>
  <c r="X93" i="25" s="1"/>
  <c r="S93" i="25"/>
  <c r="AC93" i="25"/>
  <c r="AB92" i="25"/>
  <c r="AB93" i="25" s="1"/>
  <c r="AG126" i="6"/>
  <c r="AG18" i="25" s="1"/>
  <c r="AG71" i="26" s="1"/>
  <c r="AG178" i="6"/>
  <c r="X13" i="35"/>
  <c r="O276" i="36"/>
  <c r="AF182" i="6"/>
  <c r="V13" i="35"/>
  <c r="AE126" i="6"/>
  <c r="AE18" i="25" s="1"/>
  <c r="AE71" i="26" s="1"/>
  <c r="AF122" i="6"/>
  <c r="AA28" i="38"/>
  <c r="K128" i="25"/>
  <c r="K129" i="25"/>
  <c r="AA29" i="38"/>
  <c r="K138" i="25"/>
  <c r="K139" i="25"/>
  <c r="AA41" i="38"/>
  <c r="K118" i="25"/>
  <c r="K119" i="25"/>
  <c r="L172" i="22"/>
  <c r="L175" i="22" s="1"/>
  <c r="K131" i="26"/>
  <c r="Z17" i="47"/>
  <c r="Z23" i="25"/>
  <c r="Z76" i="26" s="1"/>
  <c r="Y13" i="38"/>
  <c r="L275" i="36"/>
  <c r="L276" i="36" s="1"/>
  <c r="W13" i="38"/>
  <c r="Z13" i="38"/>
  <c r="X13" i="38"/>
  <c r="M13" i="38"/>
  <c r="V13" i="38" s="1"/>
  <c r="I64" i="26"/>
  <c r="AE23" i="25"/>
  <c r="AE76" i="26" s="1"/>
  <c r="N27" i="38"/>
  <c r="V27" i="38" s="1"/>
  <c r="Z27" i="38"/>
  <c r="W27" i="38"/>
  <c r="X27" i="38"/>
  <c r="Y27" i="38"/>
  <c r="I78" i="26"/>
  <c r="P17" i="47"/>
  <c r="V23" i="25"/>
  <c r="V76" i="26" s="1"/>
  <c r="V17" i="47"/>
  <c r="M39" i="35"/>
  <c r="V39" i="35" s="1"/>
  <c r="L68" i="36" s="1"/>
  <c r="I40" i="26"/>
  <c r="Z39" i="35"/>
  <c r="W39" i="35"/>
  <c r="X39" i="35"/>
  <c r="Y39" i="35"/>
  <c r="K19" i="22"/>
  <c r="K20" i="22" s="1"/>
  <c r="L79" i="22"/>
  <c r="K122" i="22"/>
  <c r="AA26" i="38"/>
  <c r="K120" i="22"/>
  <c r="J114" i="26"/>
  <c r="J116" i="26" s="1"/>
  <c r="AA34" i="35"/>
  <c r="AD13" i="44"/>
  <c r="AD131" i="6"/>
  <c r="X83" i="6"/>
  <c r="Z89" i="6"/>
  <c r="X89" i="6"/>
  <c r="U89" i="6"/>
  <c r="R89" i="6"/>
  <c r="O89" i="6"/>
  <c r="AF89" i="6"/>
  <c r="S45" i="21"/>
  <c r="AA45" i="21"/>
  <c r="AB89" i="6"/>
  <c r="AX417" i="36"/>
  <c r="AX422" i="36" s="1"/>
  <c r="J44" i="21"/>
  <c r="AY417" i="36"/>
  <c r="AY422" i="36" s="1"/>
  <c r="I304" i="46"/>
  <c r="J81" i="6" s="1"/>
  <c r="I306" i="46"/>
  <c r="J83" i="6" s="1"/>
  <c r="S81" i="6"/>
  <c r="U83" i="6"/>
  <c r="AA89" i="6"/>
  <c r="V81" i="6"/>
  <c r="Q81" i="6"/>
  <c r="W83" i="6"/>
  <c r="AC89" i="6"/>
  <c r="P81" i="6"/>
  <c r="K137" i="23"/>
  <c r="K140" i="23" s="1"/>
  <c r="K141" i="23" s="1"/>
  <c r="L139" i="23" s="1"/>
  <c r="I135" i="23"/>
  <c r="I74" i="21"/>
  <c r="J36" i="6"/>
  <c r="K36" i="6"/>
  <c r="L36" i="6"/>
  <c r="W307" i="46"/>
  <c r="W151" i="23"/>
  <c r="W152" i="23" s="1"/>
  <c r="W18" i="6"/>
  <c r="W15" i="26"/>
  <c r="W88" i="24"/>
  <c r="W83" i="23"/>
  <c r="W115" i="23" s="1"/>
  <c r="L109" i="36"/>
  <c r="J16" i="6"/>
  <c r="K16" i="6"/>
  <c r="X18" i="6"/>
  <c r="X151" i="23"/>
  <c r="X152" i="23" s="1"/>
  <c r="X307" i="46"/>
  <c r="X15" i="26"/>
  <c r="Y18" i="6"/>
  <c r="X88" i="24"/>
  <c r="X83" i="23"/>
  <c r="I12" i="26"/>
  <c r="J66" i="23"/>
  <c r="I66" i="23" s="1"/>
  <c r="I40" i="23"/>
  <c r="X17" i="35"/>
  <c r="M17" i="35"/>
  <c r="V17" i="35" s="1"/>
  <c r="I18" i="26"/>
  <c r="W17" i="35"/>
  <c r="Y17" i="35"/>
  <c r="Z17" i="35"/>
  <c r="I127" i="23"/>
  <c r="S11" i="35"/>
  <c r="Y89" i="6"/>
  <c r="I71" i="23"/>
  <c r="I14" i="26"/>
  <c r="V74" i="24"/>
  <c r="W15" i="24"/>
  <c r="J21" i="6"/>
  <c r="P18" i="6"/>
  <c r="P15" i="26"/>
  <c r="S14" i="35" s="1"/>
  <c r="P307" i="46"/>
  <c r="P151" i="23"/>
  <c r="P152" i="23" s="1"/>
  <c r="Q18" i="6"/>
  <c r="P88" i="24"/>
  <c r="P83" i="23"/>
  <c r="AC82" i="6"/>
  <c r="AD82" i="6"/>
  <c r="Y11" i="35"/>
  <c r="AF36" i="6"/>
  <c r="AA20" i="35"/>
  <c r="I143" i="23"/>
  <c r="J176" i="23"/>
  <c r="J177" i="23" s="1"/>
  <c r="J180" i="23" s="1"/>
  <c r="I175" i="23"/>
  <c r="X12" i="35"/>
  <c r="J15" i="26"/>
  <c r="I73" i="24"/>
  <c r="K18" i="6" s="1"/>
  <c r="J83" i="23"/>
  <c r="J151" i="23"/>
  <c r="AY447" i="36"/>
  <c r="AX447" i="36"/>
  <c r="L112" i="36" s="1"/>
  <c r="J80" i="24"/>
  <c r="J88" i="24"/>
  <c r="J307" i="46"/>
  <c r="AA18" i="6"/>
  <c r="I305" i="46"/>
  <c r="J82" i="6" s="1"/>
  <c r="Q35" i="6"/>
  <c r="U43" i="6"/>
  <c r="I75" i="23"/>
  <c r="I87" i="24"/>
  <c r="Y43" i="6"/>
  <c r="AA81" i="6"/>
  <c r="P89" i="6"/>
  <c r="AE89" i="6"/>
  <c r="K191" i="23"/>
  <c r="K20" i="26"/>
  <c r="K312" i="46"/>
  <c r="K314" i="46" s="1"/>
  <c r="K95" i="6" s="1"/>
  <c r="AX452" i="36"/>
  <c r="L117" i="36" s="1"/>
  <c r="K103" i="23"/>
  <c r="I78" i="24"/>
  <c r="AY452" i="36"/>
  <c r="Q117" i="36" s="1"/>
  <c r="K93" i="24"/>
  <c r="Z13" i="35"/>
  <c r="AG82" i="6"/>
  <c r="AF82" i="6"/>
  <c r="AE82" i="6"/>
  <c r="L17" i="6"/>
  <c r="K17" i="6"/>
  <c r="J17" i="6"/>
  <c r="L325" i="46"/>
  <c r="L30" i="6"/>
  <c r="L36" i="44"/>
  <c r="L148" i="6" s="1"/>
  <c r="L173" i="6" s="1"/>
  <c r="L82" i="24"/>
  <c r="L39" i="26" s="1"/>
  <c r="O38" i="35" s="1"/>
  <c r="AE307" i="46"/>
  <c r="AE15" i="26"/>
  <c r="AE151" i="23"/>
  <c r="AE152" i="23" s="1"/>
  <c r="AE18" i="6"/>
  <c r="AF18" i="6"/>
  <c r="AG18" i="6"/>
  <c r="AE88" i="24"/>
  <c r="AE83" i="23"/>
  <c r="AE115" i="23" s="1"/>
  <c r="M77" i="24"/>
  <c r="M21" i="24"/>
  <c r="N18" i="24"/>
  <c r="J161" i="23"/>
  <c r="J164" i="23" s="1"/>
  <c r="J165" i="23" s="1"/>
  <c r="K163" i="23" s="1"/>
  <c r="K161" i="23" s="1"/>
  <c r="K164" i="23" s="1"/>
  <c r="X11" i="35"/>
  <c r="Z11" i="35"/>
  <c r="L16" i="6"/>
  <c r="R11" i="35"/>
  <c r="Z307" i="46"/>
  <c r="Z15" i="26"/>
  <c r="Z151" i="23"/>
  <c r="Z152" i="23" s="1"/>
  <c r="Z18" i="6"/>
  <c r="Z88" i="24"/>
  <c r="Z83" i="23"/>
  <c r="V307" i="46"/>
  <c r="V151" i="23"/>
  <c r="V152" i="23" s="1"/>
  <c r="V18" i="6"/>
  <c r="V15" i="26"/>
  <c r="V88" i="24"/>
  <c r="V83" i="23"/>
  <c r="M23" i="6"/>
  <c r="I13" i="26"/>
  <c r="W12" i="35"/>
  <c r="R18" i="6"/>
  <c r="R151" i="23"/>
  <c r="R152" i="23" s="1"/>
  <c r="R307" i="46"/>
  <c r="R15" i="26"/>
  <c r="R83" i="23"/>
  <c r="R88" i="24"/>
  <c r="S18" i="6"/>
  <c r="M82" i="6"/>
  <c r="AD307" i="46"/>
  <c r="AD151" i="23"/>
  <c r="AD152" i="23" s="1"/>
  <c r="AD18" i="6"/>
  <c r="AD15" i="26"/>
  <c r="AD88" i="24"/>
  <c r="AD83" i="23"/>
  <c r="N84" i="6"/>
  <c r="W37" i="6"/>
  <c r="J40" i="6"/>
  <c r="AB81" i="6"/>
  <c r="R81" i="6"/>
  <c r="N36" i="6"/>
  <c r="L40" i="6"/>
  <c r="J86" i="6"/>
  <c r="AD81" i="6"/>
  <c r="I91" i="24"/>
  <c r="J41" i="6" s="1"/>
  <c r="I310" i="46"/>
  <c r="R43" i="6"/>
  <c r="U18" i="6"/>
  <c r="Y13" i="35"/>
  <c r="L90" i="6"/>
  <c r="T18" i="6"/>
  <c r="U308" i="46"/>
  <c r="U19" i="6"/>
  <c r="U159" i="23"/>
  <c r="U160" i="23" s="1"/>
  <c r="U16" i="26"/>
  <c r="U87" i="23"/>
  <c r="U89" i="24"/>
  <c r="L15" i="6"/>
  <c r="K15" i="6"/>
  <c r="J15" i="6"/>
  <c r="K21" i="6"/>
  <c r="N23" i="6"/>
  <c r="L19" i="26"/>
  <c r="O18" i="35" s="1"/>
  <c r="O21" i="35" s="1"/>
  <c r="L99" i="23"/>
  <c r="L109" i="23" s="1"/>
  <c r="L183" i="23"/>
  <c r="L92" i="24"/>
  <c r="L311" i="46"/>
  <c r="W11" i="35"/>
  <c r="N82" i="6"/>
  <c r="AA16" i="35"/>
  <c r="I65" i="24"/>
  <c r="Z12" i="35"/>
  <c r="V12" i="35"/>
  <c r="K80" i="24"/>
  <c r="AB18" i="6"/>
  <c r="K90" i="6"/>
  <c r="O82" i="6"/>
  <c r="J151" i="21"/>
  <c r="O314" i="1"/>
  <c r="O317" i="1" s="1"/>
  <c r="N126" i="26"/>
  <c r="N51" i="22"/>
  <c r="J179" i="46"/>
  <c r="I179" i="46" s="1"/>
  <c r="I105" i="46"/>
  <c r="L52" i="22"/>
  <c r="J97" i="21"/>
  <c r="I97" i="21" s="1"/>
  <c r="I63" i="21"/>
  <c r="K83" i="6"/>
  <c r="Y56" i="47"/>
  <c r="J207" i="46"/>
  <c r="I207" i="46" s="1"/>
  <c r="I133" i="46"/>
  <c r="J221" i="46"/>
  <c r="I221" i="46" s="1"/>
  <c r="I147" i="46"/>
  <c r="AA11" i="38"/>
  <c r="M78" i="22"/>
  <c r="M79" i="22" s="1"/>
  <c r="J170" i="46"/>
  <c r="I170" i="46" s="1"/>
  <c r="I96" i="46"/>
  <c r="J200" i="46"/>
  <c r="I200" i="46" s="1"/>
  <c r="I126" i="46"/>
  <c r="K44" i="6"/>
  <c r="N23" i="25"/>
  <c r="N76" i="26" s="1"/>
  <c r="Q25" i="38" s="1"/>
  <c r="N17" i="47"/>
  <c r="I113" i="23"/>
  <c r="L56" i="47"/>
  <c r="L70" i="47" s="1"/>
  <c r="L34" i="25" s="1"/>
  <c r="L85" i="26" s="1"/>
  <c r="O34" i="38" s="1"/>
  <c r="M56" i="47"/>
  <c r="M70" i="47" s="1"/>
  <c r="M34" i="25" s="1"/>
  <c r="M85" i="26" s="1"/>
  <c r="P34" i="38" s="1"/>
  <c r="X56" i="47"/>
  <c r="J219" i="46"/>
  <c r="I219" i="46" s="1"/>
  <c r="I145" i="46"/>
  <c r="J87" i="21"/>
  <c r="J57" i="21"/>
  <c r="I53" i="21"/>
  <c r="AC176" i="46"/>
  <c r="AC180" i="46" s="1"/>
  <c r="AC106" i="46"/>
  <c r="AF169" i="46"/>
  <c r="AF173" i="46" s="1"/>
  <c r="AF99" i="46"/>
  <c r="AD127" i="46"/>
  <c r="AD197" i="46"/>
  <c r="AD201" i="46" s="1"/>
  <c r="K148" i="46"/>
  <c r="K218" i="46"/>
  <c r="K222" i="46" s="1"/>
  <c r="AF225" i="46"/>
  <c r="AF229" i="46" s="1"/>
  <c r="AF155" i="46"/>
  <c r="AF108" i="21"/>
  <c r="AF112" i="21" s="1"/>
  <c r="AF78" i="21"/>
  <c r="W108" i="21"/>
  <c r="W112" i="21" s="1"/>
  <c r="W78" i="21"/>
  <c r="W141" i="46"/>
  <c r="W211" i="46"/>
  <c r="W215" i="46" s="1"/>
  <c r="T197" i="46"/>
  <c r="T201" i="46" s="1"/>
  <c r="T127" i="46"/>
  <c r="AC71" i="21"/>
  <c r="AC101" i="21"/>
  <c r="AC105" i="21" s="1"/>
  <c r="AG211" i="46"/>
  <c r="AG215" i="46" s="1"/>
  <c r="AG141" i="46"/>
  <c r="AE176" i="46"/>
  <c r="AE180" i="46" s="1"/>
  <c r="AE106" i="46"/>
  <c r="AA204" i="46"/>
  <c r="AA208" i="46" s="1"/>
  <c r="AA134" i="46"/>
  <c r="Y211" i="46"/>
  <c r="Y215" i="46" s="1"/>
  <c r="Y141" i="46"/>
  <c r="W176" i="46"/>
  <c r="W180" i="46" s="1"/>
  <c r="W106" i="46"/>
  <c r="AF218" i="46"/>
  <c r="AF222" i="46" s="1"/>
  <c r="AF148" i="46"/>
  <c r="AF162" i="46"/>
  <c r="AF166" i="46" s="1"/>
  <c r="AF92" i="46"/>
  <c r="AE183" i="46"/>
  <c r="AE187" i="46" s="1"/>
  <c r="AE113" i="46"/>
  <c r="X218" i="46"/>
  <c r="X222" i="46" s="1"/>
  <c r="X148" i="46"/>
  <c r="X162" i="46"/>
  <c r="X166" i="46" s="1"/>
  <c r="X92" i="46"/>
  <c r="W183" i="46"/>
  <c r="W187" i="46" s="1"/>
  <c r="W113" i="46"/>
  <c r="S57" i="21"/>
  <c r="S87" i="21"/>
  <c r="S91" i="21" s="1"/>
  <c r="Q87" i="21"/>
  <c r="Q91" i="21" s="1"/>
  <c r="Q57" i="21"/>
  <c r="AF57" i="21"/>
  <c r="AF87" i="21"/>
  <c r="AF91" i="21" s="1"/>
  <c r="AB57" i="21"/>
  <c r="AB87" i="21"/>
  <c r="AB91" i="21" s="1"/>
  <c r="X57" i="21"/>
  <c r="X87" i="21"/>
  <c r="X91" i="21" s="1"/>
  <c r="T57" i="21"/>
  <c r="T87" i="21"/>
  <c r="T91" i="21" s="1"/>
  <c r="AD64" i="21"/>
  <c r="AD94" i="21"/>
  <c r="AD98" i="21" s="1"/>
  <c r="AE78" i="21"/>
  <c r="AE108" i="21"/>
  <c r="AE112" i="21" s="1"/>
  <c r="Z78" i="21"/>
  <c r="Z108" i="21"/>
  <c r="Z112" i="21" s="1"/>
  <c r="T108" i="21"/>
  <c r="T112" i="21" s="1"/>
  <c r="T78" i="21"/>
  <c r="R120" i="46"/>
  <c r="R190" i="46"/>
  <c r="R194" i="46" s="1"/>
  <c r="Q101" i="21"/>
  <c r="Q105" i="21" s="1"/>
  <c r="Q71" i="21"/>
  <c r="S94" i="21"/>
  <c r="S98" i="21" s="1"/>
  <c r="S64" i="21"/>
  <c r="Q183" i="46"/>
  <c r="Q187" i="46" s="1"/>
  <c r="Q113" i="46"/>
  <c r="AA64" i="21"/>
  <c r="AA94" i="21"/>
  <c r="AA98" i="21" s="1"/>
  <c r="W64" i="21"/>
  <c r="W94" i="21"/>
  <c r="W98" i="21" s="1"/>
  <c r="Q155" i="46"/>
  <c r="Q225" i="46"/>
  <c r="Q229" i="46" s="1"/>
  <c r="P57" i="21"/>
  <c r="P87" i="21"/>
  <c r="P91" i="21" s="1"/>
  <c r="O197" i="46"/>
  <c r="O201" i="46" s="1"/>
  <c r="O127" i="46"/>
  <c r="K99" i="46"/>
  <c r="K169" i="46"/>
  <c r="K173" i="46" s="1"/>
  <c r="P169" i="46"/>
  <c r="P173" i="46" s="1"/>
  <c r="P99" i="46"/>
  <c r="M190" i="46"/>
  <c r="M194" i="46" s="1"/>
  <c r="M120" i="46"/>
  <c r="L218" i="46"/>
  <c r="L222" i="46" s="1"/>
  <c r="L148" i="46"/>
  <c r="O87" i="21"/>
  <c r="O91" i="21" s="1"/>
  <c r="O57" i="21"/>
  <c r="N190" i="46"/>
  <c r="N194" i="46" s="1"/>
  <c r="N120" i="46"/>
  <c r="K225" i="46"/>
  <c r="K229" i="46" s="1"/>
  <c r="K155" i="46"/>
  <c r="L190" i="46"/>
  <c r="L194" i="46" s="1"/>
  <c r="L120" i="46"/>
  <c r="J102" i="21"/>
  <c r="I102" i="21" s="1"/>
  <c r="I68" i="21"/>
  <c r="J218" i="46"/>
  <c r="J148" i="46"/>
  <c r="I144" i="46"/>
  <c r="M176" i="46"/>
  <c r="M180" i="46" s="1"/>
  <c r="M106" i="46"/>
  <c r="L94" i="21"/>
  <c r="L98" i="21" s="1"/>
  <c r="L64" i="21"/>
  <c r="J178" i="46"/>
  <c r="I178" i="46" s="1"/>
  <c r="I104" i="46"/>
  <c r="J226" i="46"/>
  <c r="I226" i="46" s="1"/>
  <c r="I152" i="46"/>
  <c r="J172" i="46"/>
  <c r="I172" i="46" s="1"/>
  <c r="I98" i="46"/>
  <c r="AD56" i="47"/>
  <c r="I95" i="46"/>
  <c r="J155" i="46"/>
  <c r="I184" i="46"/>
  <c r="I96" i="21"/>
  <c r="I220" i="46"/>
  <c r="L137" i="22"/>
  <c r="I117" i="23"/>
  <c r="J169" i="23"/>
  <c r="J172" i="23" s="1"/>
  <c r="R56" i="47"/>
  <c r="R70" i="47" s="1"/>
  <c r="R34" i="25" s="1"/>
  <c r="R85" i="26" s="1"/>
  <c r="U34" i="38" s="1"/>
  <c r="J90" i="21"/>
  <c r="I90" i="21" s="1"/>
  <c r="I56" i="21"/>
  <c r="J101" i="21"/>
  <c r="J71" i="21"/>
  <c r="I67" i="21"/>
  <c r="M40" i="35"/>
  <c r="L119" i="26"/>
  <c r="M320" i="1"/>
  <c r="M323" i="1" s="1"/>
  <c r="K149" i="25"/>
  <c r="K147" i="25"/>
  <c r="O56" i="47"/>
  <c r="O70" i="47" s="1"/>
  <c r="O34" i="25" s="1"/>
  <c r="O85" i="26" s="1"/>
  <c r="R34" i="38" s="1"/>
  <c r="J185" i="46"/>
  <c r="I185" i="46" s="1"/>
  <c r="I111" i="46"/>
  <c r="J199" i="46"/>
  <c r="I199" i="46" s="1"/>
  <c r="I125" i="46"/>
  <c r="J103" i="21"/>
  <c r="I103" i="21" s="1"/>
  <c r="I69" i="21"/>
  <c r="K155" i="22"/>
  <c r="J83" i="26"/>
  <c r="I114" i="23"/>
  <c r="J145" i="23"/>
  <c r="J148" i="23" s="1"/>
  <c r="I112" i="23"/>
  <c r="Z56" i="47"/>
  <c r="J104" i="21"/>
  <c r="I104" i="21" s="1"/>
  <c r="I70" i="21"/>
  <c r="Q169" i="46"/>
  <c r="Q173" i="46" s="1"/>
  <c r="Q99" i="46"/>
  <c r="Z155" i="46"/>
  <c r="Z225" i="46"/>
  <c r="Z229" i="46" s="1"/>
  <c r="X225" i="46"/>
  <c r="X229" i="46" s="1"/>
  <c r="X155" i="46"/>
  <c r="U211" i="46"/>
  <c r="U215" i="46" s="1"/>
  <c r="U141" i="46"/>
  <c r="AB218" i="46"/>
  <c r="AB222" i="46" s="1"/>
  <c r="AB148" i="46"/>
  <c r="AA176" i="46"/>
  <c r="AA180" i="46" s="1"/>
  <c r="AA106" i="46"/>
  <c r="V127" i="46"/>
  <c r="V197" i="46"/>
  <c r="V201" i="46" s="1"/>
  <c r="AB108" i="21"/>
  <c r="AB112" i="21" s="1"/>
  <c r="AB78" i="21"/>
  <c r="Q120" i="46"/>
  <c r="Q190" i="46"/>
  <c r="Q194" i="46" s="1"/>
  <c r="V78" i="21"/>
  <c r="V108" i="21"/>
  <c r="V112" i="21" s="1"/>
  <c r="L176" i="46"/>
  <c r="L180" i="46" s="1"/>
  <c r="L106" i="46"/>
  <c r="AB155" i="46"/>
  <c r="AB225" i="46"/>
  <c r="AB229" i="46" s="1"/>
  <c r="AB169" i="46"/>
  <c r="AB173" i="46" s="1"/>
  <c r="AB99" i="46"/>
  <c r="Z190" i="46"/>
  <c r="Z194" i="46" s="1"/>
  <c r="Z120" i="46"/>
  <c r="T155" i="46"/>
  <c r="T225" i="46"/>
  <c r="T229" i="46" s="1"/>
  <c r="T99" i="46"/>
  <c r="T169" i="46"/>
  <c r="T173" i="46" s="1"/>
  <c r="AG176" i="46"/>
  <c r="AG180" i="46" s="1"/>
  <c r="AG106" i="46"/>
  <c r="AC204" i="46"/>
  <c r="AC208" i="46" s="1"/>
  <c r="AC134" i="46"/>
  <c r="AA211" i="46"/>
  <c r="AA215" i="46" s="1"/>
  <c r="AA141" i="46"/>
  <c r="Y176" i="46"/>
  <c r="Y180" i="46" s="1"/>
  <c r="Y106" i="46"/>
  <c r="U204" i="46"/>
  <c r="U208" i="46" s="1"/>
  <c r="U134" i="46"/>
  <c r="Q127" i="46"/>
  <c r="Q197" i="46"/>
  <c r="Q201" i="46" s="1"/>
  <c r="N218" i="46"/>
  <c r="N222" i="46" s="1"/>
  <c r="N148" i="46"/>
  <c r="AE57" i="21"/>
  <c r="AE87" i="21"/>
  <c r="AE91" i="21" s="1"/>
  <c r="AA57" i="21"/>
  <c r="AA87" i="21"/>
  <c r="AA91" i="21" s="1"/>
  <c r="W57" i="21"/>
  <c r="W87" i="21"/>
  <c r="W91" i="21" s="1"/>
  <c r="AG64" i="21"/>
  <c r="AG94" i="21"/>
  <c r="AG98" i="21" s="1"/>
  <c r="AC64" i="21"/>
  <c r="AC94" i="21"/>
  <c r="AC98" i="21" s="1"/>
  <c r="W71" i="21"/>
  <c r="W101" i="21"/>
  <c r="W105" i="21" s="1"/>
  <c r="R113" i="46"/>
  <c r="R183" i="46"/>
  <c r="R187" i="46" s="1"/>
  <c r="P211" i="46"/>
  <c r="P215" i="46" s="1"/>
  <c r="P141" i="46"/>
  <c r="N183" i="46"/>
  <c r="N187" i="46" s="1"/>
  <c r="N113" i="46"/>
  <c r="Y101" i="21"/>
  <c r="Y105" i="21" s="1"/>
  <c r="Y71" i="21"/>
  <c r="S176" i="46"/>
  <c r="S180" i="46" s="1"/>
  <c r="S106" i="46"/>
  <c r="R101" i="21"/>
  <c r="R105" i="21" s="1"/>
  <c r="R71" i="21"/>
  <c r="R148" i="46"/>
  <c r="R218" i="46"/>
  <c r="R222" i="46" s="1"/>
  <c r="P225" i="46"/>
  <c r="P229" i="46" s="1"/>
  <c r="P155" i="46"/>
  <c r="M225" i="46"/>
  <c r="M229" i="46" s="1"/>
  <c r="M155" i="46"/>
  <c r="Z64" i="21"/>
  <c r="Z94" i="21"/>
  <c r="Z98" i="21" s="1"/>
  <c r="V64" i="21"/>
  <c r="V94" i="21"/>
  <c r="V98" i="21" s="1"/>
  <c r="AF71" i="21"/>
  <c r="AF101" i="21"/>
  <c r="AF105" i="21" s="1"/>
  <c r="AB71" i="21"/>
  <c r="AB101" i="21"/>
  <c r="AB105" i="21" s="1"/>
  <c r="X71" i="21"/>
  <c r="X101" i="21"/>
  <c r="X105" i="21" s="1"/>
  <c r="T71" i="21"/>
  <c r="T101" i="21"/>
  <c r="T105" i="21" s="1"/>
  <c r="S71" i="21"/>
  <c r="S101" i="21"/>
  <c r="S105" i="21" s="1"/>
  <c r="R57" i="21"/>
  <c r="R87" i="21"/>
  <c r="R91" i="21" s="1"/>
  <c r="Q148" i="46"/>
  <c r="Q218" i="46"/>
  <c r="Q222" i="46" s="1"/>
  <c r="N204" i="46"/>
  <c r="N208" i="46" s="1"/>
  <c r="N134" i="46"/>
  <c r="K87" i="21"/>
  <c r="K91" i="21" s="1"/>
  <c r="K57" i="21"/>
  <c r="P108" i="21"/>
  <c r="P112" i="21" s="1"/>
  <c r="P78" i="21"/>
  <c r="O99" i="46"/>
  <c r="O169" i="46"/>
  <c r="O173" i="46" s="1"/>
  <c r="M218" i="46"/>
  <c r="M222" i="46" s="1"/>
  <c r="M148" i="46"/>
  <c r="L204" i="46"/>
  <c r="L208" i="46" s="1"/>
  <c r="L134" i="46"/>
  <c r="J227" i="46"/>
  <c r="I227" i="46" s="1"/>
  <c r="I153" i="46"/>
  <c r="J204" i="46"/>
  <c r="J134" i="46"/>
  <c r="I130" i="46"/>
  <c r="N162" i="46"/>
  <c r="N166" i="46" s="1"/>
  <c r="N92" i="46"/>
  <c r="M99" i="46"/>
  <c r="M169" i="46"/>
  <c r="M173" i="46" s="1"/>
  <c r="K127" i="46"/>
  <c r="K197" i="46"/>
  <c r="K201" i="46" s="1"/>
  <c r="J164" i="46"/>
  <c r="I164" i="46" s="1"/>
  <c r="I90" i="46"/>
  <c r="N57" i="21"/>
  <c r="N87" i="21"/>
  <c r="N91" i="21" s="1"/>
  <c r="M71" i="21"/>
  <c r="M101" i="21"/>
  <c r="M105" i="21" s="1"/>
  <c r="L57" i="21"/>
  <c r="L87" i="21"/>
  <c r="L91" i="21" s="1"/>
  <c r="J212" i="46"/>
  <c r="I212" i="46" s="1"/>
  <c r="I138" i="46"/>
  <c r="I137" i="46"/>
  <c r="AA56" i="47"/>
  <c r="J127" i="46"/>
  <c r="I76" i="21"/>
  <c r="I140" i="46"/>
  <c r="I97" i="46"/>
  <c r="M67" i="6"/>
  <c r="L91" i="25"/>
  <c r="K56" i="47"/>
  <c r="K70" i="47" s="1"/>
  <c r="K34" i="25" s="1"/>
  <c r="K85" i="26" s="1"/>
  <c r="N34" i="38" s="1"/>
  <c r="J162" i="46"/>
  <c r="J92" i="46"/>
  <c r="I88" i="46"/>
  <c r="J190" i="46"/>
  <c r="J120" i="46"/>
  <c r="I116" i="46"/>
  <c r="L86" i="6"/>
  <c r="I86" i="6" s="1"/>
  <c r="V56" i="47"/>
  <c r="L83" i="6"/>
  <c r="J213" i="46"/>
  <c r="I213" i="46" s="1"/>
  <c r="I139" i="46"/>
  <c r="J228" i="46"/>
  <c r="I228" i="46" s="1"/>
  <c r="I154" i="46"/>
  <c r="J44" i="6"/>
  <c r="N18" i="22"/>
  <c r="M103" i="22"/>
  <c r="M104" i="22"/>
  <c r="I121" i="23"/>
  <c r="J201" i="23"/>
  <c r="J204" i="23" s="1"/>
  <c r="J163" i="46"/>
  <c r="I163" i="46" s="1"/>
  <c r="I89" i="46"/>
  <c r="J177" i="46"/>
  <c r="I177" i="46" s="1"/>
  <c r="I103" i="46"/>
  <c r="W204" i="46"/>
  <c r="W208" i="46" s="1"/>
  <c r="W134" i="46"/>
  <c r="Y204" i="46"/>
  <c r="Y208" i="46" s="1"/>
  <c r="Y134" i="46"/>
  <c r="AA101" i="21"/>
  <c r="AA105" i="21" s="1"/>
  <c r="AA71" i="21"/>
  <c r="P204" i="46"/>
  <c r="P208" i="46" s="1"/>
  <c r="P134" i="46"/>
  <c r="AE141" i="46"/>
  <c r="AE211" i="46"/>
  <c r="AE215" i="46" s="1"/>
  <c r="AB197" i="46"/>
  <c r="AB201" i="46" s="1"/>
  <c r="AB127" i="46"/>
  <c r="X169" i="46"/>
  <c r="X173" i="46" s="1"/>
  <c r="X99" i="46"/>
  <c r="T218" i="46"/>
  <c r="T222" i="46" s="1"/>
  <c r="T148" i="46"/>
  <c r="AB162" i="46"/>
  <c r="AB166" i="46" s="1"/>
  <c r="AB92" i="46"/>
  <c r="AG204" i="46"/>
  <c r="AG208" i="46" s="1"/>
  <c r="AG134" i="46"/>
  <c r="Z218" i="46"/>
  <c r="Z222" i="46" s="1"/>
  <c r="Z148" i="46"/>
  <c r="AA78" i="21"/>
  <c r="AA108" i="21"/>
  <c r="AA112" i="21" s="1"/>
  <c r="Z99" i="46"/>
  <c r="Z169" i="46"/>
  <c r="Z173" i="46" s="1"/>
  <c r="U176" i="46"/>
  <c r="U180" i="46" s="1"/>
  <c r="U106" i="46"/>
  <c r="S218" i="46"/>
  <c r="S222" i="46" s="1"/>
  <c r="S148" i="46"/>
  <c r="K211" i="46"/>
  <c r="K215" i="46" s="1"/>
  <c r="K141" i="46"/>
  <c r="AF127" i="46"/>
  <c r="AF197" i="46"/>
  <c r="AF201" i="46" s="1"/>
  <c r="X197" i="46"/>
  <c r="X201" i="46" s="1"/>
  <c r="X127" i="46"/>
  <c r="R94" i="21"/>
  <c r="R98" i="21" s="1"/>
  <c r="R64" i="21"/>
  <c r="AD225" i="46"/>
  <c r="AD229" i="46" s="1"/>
  <c r="AD155" i="46"/>
  <c r="AD169" i="46"/>
  <c r="AD173" i="46" s="1"/>
  <c r="AD99" i="46"/>
  <c r="AB190" i="46"/>
  <c r="AB194" i="46" s="1"/>
  <c r="AB120" i="46"/>
  <c r="V225" i="46"/>
  <c r="V229" i="46" s="1"/>
  <c r="V155" i="46"/>
  <c r="V169" i="46"/>
  <c r="V173" i="46" s="1"/>
  <c r="V99" i="46"/>
  <c r="T190" i="46"/>
  <c r="T194" i="46" s="1"/>
  <c r="T120" i="46"/>
  <c r="S204" i="46"/>
  <c r="S208" i="46" s="1"/>
  <c r="S134" i="46"/>
  <c r="AD57" i="21"/>
  <c r="AD87" i="21"/>
  <c r="AD91" i="21" s="1"/>
  <c r="Z57" i="21"/>
  <c r="Z87" i="21"/>
  <c r="Z91" i="21" s="1"/>
  <c r="V57" i="21"/>
  <c r="V87" i="21"/>
  <c r="V91" i="21" s="1"/>
  <c r="AF64" i="21"/>
  <c r="AF94" i="21"/>
  <c r="AF98" i="21" s="1"/>
  <c r="AB64" i="21"/>
  <c r="AB94" i="21"/>
  <c r="AB98" i="21" s="1"/>
  <c r="R176" i="46"/>
  <c r="R180" i="46" s="1"/>
  <c r="R106" i="46"/>
  <c r="P197" i="46"/>
  <c r="P201" i="46" s="1"/>
  <c r="P127" i="46"/>
  <c r="AG148" i="46"/>
  <c r="AG218" i="46"/>
  <c r="AG222" i="46" s="1"/>
  <c r="AG120" i="46"/>
  <c r="AG190" i="46"/>
  <c r="AG194" i="46" s="1"/>
  <c r="AG92" i="46"/>
  <c r="AG162" i="46"/>
  <c r="AG166" i="46" s="1"/>
  <c r="AF134" i="46"/>
  <c r="AF204" i="46"/>
  <c r="AF208" i="46" s="1"/>
  <c r="AF106" i="46"/>
  <c r="AF176" i="46"/>
  <c r="AF180" i="46" s="1"/>
  <c r="AE148" i="46"/>
  <c r="AE218" i="46"/>
  <c r="AE222" i="46" s="1"/>
  <c r="AE120" i="46"/>
  <c r="AE190" i="46"/>
  <c r="AE194" i="46" s="1"/>
  <c r="AE92" i="46"/>
  <c r="AE162" i="46"/>
  <c r="AE166" i="46" s="1"/>
  <c r="AD134" i="46"/>
  <c r="AD204" i="46"/>
  <c r="AD208" i="46" s="1"/>
  <c r="AD106" i="46"/>
  <c r="AD176" i="46"/>
  <c r="AD180" i="46" s="1"/>
  <c r="AC148" i="46"/>
  <c r="AC218" i="46"/>
  <c r="AC222" i="46" s="1"/>
  <c r="AC120" i="46"/>
  <c r="AC190" i="46"/>
  <c r="AC194" i="46" s="1"/>
  <c r="AC92" i="46"/>
  <c r="AC162" i="46"/>
  <c r="AC166" i="46" s="1"/>
  <c r="AB134" i="46"/>
  <c r="AB204" i="46"/>
  <c r="AB208" i="46" s="1"/>
  <c r="AB106" i="46"/>
  <c r="AB176" i="46"/>
  <c r="AB180" i="46" s="1"/>
  <c r="AA148" i="46"/>
  <c r="AA218" i="46"/>
  <c r="AA222" i="46" s="1"/>
  <c r="AA120" i="46"/>
  <c r="AA190" i="46"/>
  <c r="AA194" i="46" s="1"/>
  <c r="AA92" i="46"/>
  <c r="AA162" i="46"/>
  <c r="AA166" i="46" s="1"/>
  <c r="Z134" i="46"/>
  <c r="Z204" i="46"/>
  <c r="Z208" i="46" s="1"/>
  <c r="Z106" i="46"/>
  <c r="Z176" i="46"/>
  <c r="Z180" i="46" s="1"/>
  <c r="Y148" i="46"/>
  <c r="Y218" i="46"/>
  <c r="Y222" i="46" s="1"/>
  <c r="Y120" i="46"/>
  <c r="Y190" i="46"/>
  <c r="Y194" i="46" s="1"/>
  <c r="Y92" i="46"/>
  <c r="Y162" i="46"/>
  <c r="Y166" i="46" s="1"/>
  <c r="X134" i="46"/>
  <c r="X204" i="46"/>
  <c r="X208" i="46" s="1"/>
  <c r="X106" i="46"/>
  <c r="X176" i="46"/>
  <c r="X180" i="46" s="1"/>
  <c r="W148" i="46"/>
  <c r="W218" i="46"/>
  <c r="W222" i="46" s="1"/>
  <c r="W120" i="46"/>
  <c r="W190" i="46"/>
  <c r="W194" i="46" s="1"/>
  <c r="W92" i="46"/>
  <c r="W162" i="46"/>
  <c r="W166" i="46" s="1"/>
  <c r="V134" i="46"/>
  <c r="V204" i="46"/>
  <c r="V208" i="46" s="1"/>
  <c r="V106" i="46"/>
  <c r="V176" i="46"/>
  <c r="V180" i="46" s="1"/>
  <c r="U148" i="46"/>
  <c r="U218" i="46"/>
  <c r="U222" i="46" s="1"/>
  <c r="U120" i="46"/>
  <c r="U190" i="46"/>
  <c r="U194" i="46" s="1"/>
  <c r="U92" i="46"/>
  <c r="U162" i="46"/>
  <c r="U166" i="46" s="1"/>
  <c r="T134" i="46"/>
  <c r="T204" i="46"/>
  <c r="T208" i="46" s="1"/>
  <c r="T106" i="46"/>
  <c r="T176" i="46"/>
  <c r="T180" i="46" s="1"/>
  <c r="S99" i="46"/>
  <c r="S169" i="46"/>
  <c r="S173" i="46" s="1"/>
  <c r="R141" i="46"/>
  <c r="R211" i="46"/>
  <c r="R215" i="46" s="1"/>
  <c r="Q108" i="21"/>
  <c r="Q112" i="21" s="1"/>
  <c r="Q78" i="21"/>
  <c r="Q162" i="46"/>
  <c r="Q166" i="46" s="1"/>
  <c r="Q92" i="46"/>
  <c r="O211" i="46"/>
  <c r="O215" i="46" s="1"/>
  <c r="O141" i="46"/>
  <c r="Y64" i="21"/>
  <c r="Y94" i="21"/>
  <c r="Y98" i="21" s="1"/>
  <c r="U64" i="21"/>
  <c r="U94" i="21"/>
  <c r="U98" i="21" s="1"/>
  <c r="AG78" i="21"/>
  <c r="AG108" i="21"/>
  <c r="AG112" i="21" s="1"/>
  <c r="AC78" i="21"/>
  <c r="AC108" i="21"/>
  <c r="AC112" i="21" s="1"/>
  <c r="Y78" i="21"/>
  <c r="Y108" i="21"/>
  <c r="Y112" i="21" s="1"/>
  <c r="U78" i="21"/>
  <c r="U108" i="21"/>
  <c r="U112" i="21" s="1"/>
  <c r="S141" i="46"/>
  <c r="S211" i="46"/>
  <c r="S215" i="46" s="1"/>
  <c r="S113" i="46"/>
  <c r="S183" i="46"/>
  <c r="S187" i="46" s="1"/>
  <c r="R78" i="21"/>
  <c r="R108" i="21"/>
  <c r="R112" i="21" s="1"/>
  <c r="R155" i="46"/>
  <c r="R225" i="46"/>
  <c r="R229" i="46" s="1"/>
  <c r="R127" i="46"/>
  <c r="R197" i="46"/>
  <c r="R201" i="46" s="1"/>
  <c r="R99" i="46"/>
  <c r="R169" i="46"/>
  <c r="R173" i="46" s="1"/>
  <c r="Q211" i="46"/>
  <c r="Q215" i="46" s="1"/>
  <c r="Q141" i="46"/>
  <c r="O108" i="21"/>
  <c r="O112" i="21" s="1"/>
  <c r="O78" i="21"/>
  <c r="O218" i="46"/>
  <c r="O222" i="46" s="1"/>
  <c r="O148" i="46"/>
  <c r="N176" i="46"/>
  <c r="N180" i="46" s="1"/>
  <c r="N106" i="46"/>
  <c r="P183" i="46"/>
  <c r="P187" i="46" s="1"/>
  <c r="P113" i="46"/>
  <c r="M87" i="21"/>
  <c r="M91" i="21" s="1"/>
  <c r="M57" i="21"/>
  <c r="O92" i="46"/>
  <c r="O162" i="46"/>
  <c r="O166" i="46" s="1"/>
  <c r="N211" i="46"/>
  <c r="N215" i="46" s="1"/>
  <c r="N141" i="46"/>
  <c r="M78" i="21"/>
  <c r="M108" i="21"/>
  <c r="M112" i="21" s="1"/>
  <c r="L211" i="46"/>
  <c r="L215" i="46" s="1"/>
  <c r="L141" i="46"/>
  <c r="J193" i="46"/>
  <c r="I193" i="46" s="1"/>
  <c r="I119" i="46"/>
  <c r="J183" i="46"/>
  <c r="J113" i="46"/>
  <c r="I109" i="46"/>
  <c r="Q64" i="21"/>
  <c r="Q94" i="21"/>
  <c r="Q98" i="21" s="1"/>
  <c r="O64" i="21"/>
  <c r="O94" i="21"/>
  <c r="O98" i="21" s="1"/>
  <c r="M162" i="46"/>
  <c r="M166" i="46" s="1"/>
  <c r="M92" i="46"/>
  <c r="L162" i="46"/>
  <c r="L166" i="46" s="1"/>
  <c r="L92" i="46"/>
  <c r="K120" i="46"/>
  <c r="K190" i="46"/>
  <c r="K194" i="46" s="1"/>
  <c r="N78" i="21"/>
  <c r="N108" i="21"/>
  <c r="N112" i="21" s="1"/>
  <c r="N155" i="46"/>
  <c r="N225" i="46"/>
  <c r="N229" i="46" s="1"/>
  <c r="N127" i="46"/>
  <c r="N197" i="46"/>
  <c r="N201" i="46" s="1"/>
  <c r="N99" i="46"/>
  <c r="N169" i="46"/>
  <c r="N173" i="46" s="1"/>
  <c r="M141" i="46"/>
  <c r="M211" i="46"/>
  <c r="M215" i="46" s="1"/>
  <c r="M113" i="46"/>
  <c r="M183" i="46"/>
  <c r="M187" i="46" s="1"/>
  <c r="L78" i="21"/>
  <c r="L108" i="21"/>
  <c r="L112" i="21" s="1"/>
  <c r="L155" i="46"/>
  <c r="L225" i="46"/>
  <c r="L229" i="46" s="1"/>
  <c r="L127" i="46"/>
  <c r="L197" i="46"/>
  <c r="L201" i="46" s="1"/>
  <c r="L99" i="46"/>
  <c r="L169" i="46"/>
  <c r="L173" i="46" s="1"/>
  <c r="K64" i="21"/>
  <c r="K94" i="21"/>
  <c r="K98" i="21" s="1"/>
  <c r="J64" i="21"/>
  <c r="J94" i="21"/>
  <c r="I60" i="21"/>
  <c r="J198" i="46"/>
  <c r="I198" i="46" s="1"/>
  <c r="I124" i="46"/>
  <c r="J141" i="46"/>
  <c r="AE56" i="47"/>
  <c r="J99" i="46"/>
  <c r="I151" i="46"/>
  <c r="I110" i="21"/>
  <c r="I214" i="46"/>
  <c r="I171" i="46"/>
  <c r="J192" i="46"/>
  <c r="I192" i="46" s="1"/>
  <c r="I118" i="46"/>
  <c r="J89" i="21"/>
  <c r="I89" i="21" s="1"/>
  <c r="I55" i="21"/>
  <c r="K57" i="38"/>
  <c r="L55" i="38"/>
  <c r="L56" i="38" s="1"/>
  <c r="J185" i="23"/>
  <c r="J188" i="23" s="1"/>
  <c r="J109" i="21"/>
  <c r="I109" i="21" s="1"/>
  <c r="I75" i="21"/>
  <c r="M136" i="22"/>
  <c r="M135" i="22"/>
  <c r="Q77" i="22"/>
  <c r="J70" i="47"/>
  <c r="J34" i="25" s="1"/>
  <c r="J85" i="26" s="1"/>
  <c r="M34" i="38" s="1"/>
  <c r="S56" i="47"/>
  <c r="AB56" i="47"/>
  <c r="AC56" i="47"/>
  <c r="W56" i="47"/>
  <c r="T56" i="47"/>
  <c r="K129" i="23"/>
  <c r="K132" i="23" s="1"/>
  <c r="J191" i="46"/>
  <c r="I191" i="46" s="1"/>
  <c r="I117" i="46"/>
  <c r="J206" i="46"/>
  <c r="I206" i="46" s="1"/>
  <c r="I132" i="46"/>
  <c r="AF190" i="46"/>
  <c r="AF194" i="46" s="1"/>
  <c r="AF120" i="46"/>
  <c r="J176" i="46"/>
  <c r="J106" i="46"/>
  <c r="I102" i="46"/>
  <c r="AA113" i="46"/>
  <c r="AA183" i="46"/>
  <c r="AA187" i="46" s="1"/>
  <c r="L71" i="21"/>
  <c r="L101" i="21"/>
  <c r="L105" i="21" s="1"/>
  <c r="T162" i="46"/>
  <c r="T166" i="46" s="1"/>
  <c r="T92" i="46"/>
  <c r="AD190" i="46"/>
  <c r="AD194" i="46" s="1"/>
  <c r="AD120" i="46"/>
  <c r="Y183" i="46"/>
  <c r="Y187" i="46" s="1"/>
  <c r="Y113" i="46"/>
  <c r="S197" i="46"/>
  <c r="S201" i="46" s="1"/>
  <c r="S127" i="46"/>
  <c r="AG183" i="46"/>
  <c r="AG187" i="46" s="1"/>
  <c r="AG113" i="46"/>
  <c r="AE204" i="46"/>
  <c r="AE208" i="46" s="1"/>
  <c r="AE134" i="46"/>
  <c r="AC211" i="46"/>
  <c r="AC215" i="46" s="1"/>
  <c r="AC141" i="46"/>
  <c r="Z162" i="46"/>
  <c r="Z166" i="46" s="1"/>
  <c r="Z92" i="46"/>
  <c r="O183" i="46"/>
  <c r="O187" i="46" s="1"/>
  <c r="O113" i="46"/>
  <c r="X190" i="46"/>
  <c r="X194" i="46" s="1"/>
  <c r="X120" i="46"/>
  <c r="V190" i="46"/>
  <c r="V194" i="46" s="1"/>
  <c r="V120" i="46"/>
  <c r="M94" i="21"/>
  <c r="M98" i="21" s="1"/>
  <c r="M64" i="21"/>
  <c r="AD218" i="46"/>
  <c r="AD222" i="46" s="1"/>
  <c r="AD148" i="46"/>
  <c r="AD162" i="46"/>
  <c r="AD166" i="46" s="1"/>
  <c r="AD92" i="46"/>
  <c r="AC113" i="46"/>
  <c r="AC183" i="46"/>
  <c r="AC187" i="46" s="1"/>
  <c r="V218" i="46"/>
  <c r="V222" i="46" s="1"/>
  <c r="V148" i="46"/>
  <c r="V162" i="46"/>
  <c r="V166" i="46" s="1"/>
  <c r="V92" i="46"/>
  <c r="U113" i="46"/>
  <c r="U183" i="46"/>
  <c r="U187" i="46" s="1"/>
  <c r="U71" i="21"/>
  <c r="U101" i="21"/>
  <c r="U105" i="21" s="1"/>
  <c r="S225" i="46"/>
  <c r="S229" i="46" s="1"/>
  <c r="S155" i="46"/>
  <c r="R162" i="46"/>
  <c r="R166" i="46" s="1"/>
  <c r="R92" i="46"/>
  <c r="Z197" i="46"/>
  <c r="Z201" i="46" s="1"/>
  <c r="Z127" i="46"/>
  <c r="S78" i="21"/>
  <c r="S108" i="21"/>
  <c r="S112" i="21" s="1"/>
  <c r="S190" i="46"/>
  <c r="S194" i="46" s="1"/>
  <c r="S120" i="46"/>
  <c r="AG225" i="46"/>
  <c r="AG229" i="46" s="1"/>
  <c r="AG155" i="46"/>
  <c r="AG197" i="46"/>
  <c r="AG201" i="46" s="1"/>
  <c r="AG127" i="46"/>
  <c r="AG169" i="46"/>
  <c r="AG173" i="46" s="1"/>
  <c r="AG99" i="46"/>
  <c r="AF211" i="46"/>
  <c r="AF215" i="46" s="1"/>
  <c r="AF141" i="46"/>
  <c r="AF183" i="46"/>
  <c r="AF187" i="46" s="1"/>
  <c r="AF113" i="46"/>
  <c r="AE225" i="46"/>
  <c r="AE229" i="46" s="1"/>
  <c r="AE155" i="46"/>
  <c r="AE197" i="46"/>
  <c r="AE201" i="46" s="1"/>
  <c r="AE127" i="46"/>
  <c r="AE169" i="46"/>
  <c r="AE173" i="46" s="1"/>
  <c r="AE99" i="46"/>
  <c r="AD211" i="46"/>
  <c r="AD215" i="46" s="1"/>
  <c r="AD141" i="46"/>
  <c r="AD183" i="46"/>
  <c r="AD187" i="46" s="1"/>
  <c r="AD113" i="46"/>
  <c r="AC225" i="46"/>
  <c r="AC229" i="46" s="1"/>
  <c r="AC155" i="46"/>
  <c r="AC197" i="46"/>
  <c r="AC201" i="46" s="1"/>
  <c r="AC127" i="46"/>
  <c r="AC169" i="46"/>
  <c r="AC173" i="46" s="1"/>
  <c r="AC99" i="46"/>
  <c r="AB211" i="46"/>
  <c r="AB215" i="46" s="1"/>
  <c r="AB141" i="46"/>
  <c r="AB183" i="46"/>
  <c r="AB187" i="46" s="1"/>
  <c r="AB113" i="46"/>
  <c r="AA225" i="46"/>
  <c r="AA229" i="46" s="1"/>
  <c r="AA155" i="46"/>
  <c r="AA197" i="46"/>
  <c r="AA201" i="46" s="1"/>
  <c r="AA127" i="46"/>
  <c r="AA169" i="46"/>
  <c r="AA173" i="46" s="1"/>
  <c r="AA99" i="46"/>
  <c r="Z211" i="46"/>
  <c r="Z215" i="46" s="1"/>
  <c r="Z141" i="46"/>
  <c r="Z183" i="46"/>
  <c r="Z187" i="46" s="1"/>
  <c r="Z113" i="46"/>
  <c r="Y225" i="46"/>
  <c r="Y229" i="46" s="1"/>
  <c r="Y155" i="46"/>
  <c r="Y197" i="46"/>
  <c r="Y201" i="46" s="1"/>
  <c r="Y127" i="46"/>
  <c r="Y169" i="46"/>
  <c r="Y173" i="46" s="1"/>
  <c r="Y99" i="46"/>
  <c r="X211" i="46"/>
  <c r="X215" i="46" s="1"/>
  <c r="X141" i="46"/>
  <c r="X183" i="46"/>
  <c r="X187" i="46" s="1"/>
  <c r="X113" i="46"/>
  <c r="W225" i="46"/>
  <c r="W229" i="46" s="1"/>
  <c r="W155" i="46"/>
  <c r="W197" i="46"/>
  <c r="W201" i="46" s="1"/>
  <c r="W127" i="46"/>
  <c r="W169" i="46"/>
  <c r="W173" i="46" s="1"/>
  <c r="W99" i="46"/>
  <c r="V211" i="46"/>
  <c r="V215" i="46" s="1"/>
  <c r="V141" i="46"/>
  <c r="V183" i="46"/>
  <c r="V187" i="46" s="1"/>
  <c r="V113" i="46"/>
  <c r="U225" i="46"/>
  <c r="U229" i="46" s="1"/>
  <c r="U155" i="46"/>
  <c r="U197" i="46"/>
  <c r="U201" i="46" s="1"/>
  <c r="U127" i="46"/>
  <c r="U169" i="46"/>
  <c r="U173" i="46" s="1"/>
  <c r="U99" i="46"/>
  <c r="T211" i="46"/>
  <c r="T215" i="46" s="1"/>
  <c r="T141" i="46"/>
  <c r="T183" i="46"/>
  <c r="T187" i="46" s="1"/>
  <c r="T113" i="46"/>
  <c r="AG57" i="21"/>
  <c r="AG87" i="21"/>
  <c r="AG91" i="21" s="1"/>
  <c r="AC57" i="21"/>
  <c r="AC87" i="21"/>
  <c r="AC91" i="21" s="1"/>
  <c r="Y57" i="21"/>
  <c r="Y87" i="21"/>
  <c r="Y91" i="21" s="1"/>
  <c r="U57" i="21"/>
  <c r="U87" i="21"/>
  <c r="U91" i="21" s="1"/>
  <c r="AE64" i="21"/>
  <c r="AE94" i="21"/>
  <c r="AE98" i="21" s="1"/>
  <c r="AE71" i="21"/>
  <c r="AE101" i="21"/>
  <c r="AE105" i="21" s="1"/>
  <c r="P64" i="21"/>
  <c r="P94" i="21"/>
  <c r="P98" i="21" s="1"/>
  <c r="AG101" i="21"/>
  <c r="AG105" i="21" s="1"/>
  <c r="AG71" i="21"/>
  <c r="AD108" i="21"/>
  <c r="AD112" i="21" s="1"/>
  <c r="AD78" i="21"/>
  <c r="X108" i="21"/>
  <c r="X112" i="21" s="1"/>
  <c r="X78" i="21"/>
  <c r="S162" i="46"/>
  <c r="S166" i="46" s="1"/>
  <c r="S92" i="46"/>
  <c r="R204" i="46"/>
  <c r="R208" i="46" s="1"/>
  <c r="R134" i="46"/>
  <c r="P101" i="21"/>
  <c r="P105" i="21" s="1"/>
  <c r="P71" i="21"/>
  <c r="O120" i="46"/>
  <c r="O190" i="46"/>
  <c r="O194" i="46" s="1"/>
  <c r="J111" i="21"/>
  <c r="I111" i="21" s="1"/>
  <c r="I77" i="21"/>
  <c r="X64" i="21"/>
  <c r="X94" i="21"/>
  <c r="X98" i="21" s="1"/>
  <c r="T64" i="21"/>
  <c r="T94" i="21"/>
  <c r="T98" i="21" s="1"/>
  <c r="AD71" i="21"/>
  <c r="AD101" i="21"/>
  <c r="AD105" i="21" s="1"/>
  <c r="Z71" i="21"/>
  <c r="Z101" i="21"/>
  <c r="Z105" i="21" s="1"/>
  <c r="V71" i="21"/>
  <c r="V101" i="21"/>
  <c r="V105" i="21" s="1"/>
  <c r="O71" i="21"/>
  <c r="O101" i="21"/>
  <c r="O105" i="21" s="1"/>
  <c r="M134" i="46"/>
  <c r="M204" i="46"/>
  <c r="M208" i="46" s="1"/>
  <c r="P106" i="46"/>
  <c r="P176" i="46"/>
  <c r="P180" i="46" s="1"/>
  <c r="O225" i="46"/>
  <c r="O229" i="46" s="1"/>
  <c r="O155" i="46"/>
  <c r="N71" i="21"/>
  <c r="N101" i="21"/>
  <c r="N105" i="21" s="1"/>
  <c r="K108" i="21"/>
  <c r="K112" i="21" s="1"/>
  <c r="K78" i="21"/>
  <c r="K92" i="46"/>
  <c r="K162" i="46"/>
  <c r="K166" i="46" s="1"/>
  <c r="M197" i="46"/>
  <c r="M201" i="46" s="1"/>
  <c r="M127" i="46"/>
  <c r="L183" i="46"/>
  <c r="L187" i="46" s="1"/>
  <c r="L113" i="46"/>
  <c r="K71" i="21"/>
  <c r="K101" i="21"/>
  <c r="K105" i="21" s="1"/>
  <c r="J205" i="46"/>
  <c r="I205" i="46" s="1"/>
  <c r="I131" i="46"/>
  <c r="J95" i="21"/>
  <c r="I95" i="21" s="1"/>
  <c r="I61" i="21"/>
  <c r="J165" i="46"/>
  <c r="I165" i="46" s="1"/>
  <c r="I91" i="46"/>
  <c r="Q134" i="46"/>
  <c r="Q204" i="46"/>
  <c r="Q208" i="46" s="1"/>
  <c r="Q106" i="46"/>
  <c r="Q176" i="46"/>
  <c r="Q180" i="46" s="1"/>
  <c r="P148" i="46"/>
  <c r="P218" i="46"/>
  <c r="P222" i="46" s="1"/>
  <c r="P120" i="46"/>
  <c r="P190" i="46"/>
  <c r="P194" i="46" s="1"/>
  <c r="P92" i="46"/>
  <c r="P162" i="46"/>
  <c r="P166" i="46" s="1"/>
  <c r="O134" i="46"/>
  <c r="O204" i="46"/>
  <c r="O208" i="46" s="1"/>
  <c r="O106" i="46"/>
  <c r="O176" i="46"/>
  <c r="O180" i="46" s="1"/>
  <c r="N94" i="21"/>
  <c r="N98" i="21" s="1"/>
  <c r="N64" i="21"/>
  <c r="K183" i="46"/>
  <c r="K187" i="46" s="1"/>
  <c r="K113" i="46"/>
  <c r="K134" i="46"/>
  <c r="K204" i="46"/>
  <c r="K208" i="46" s="1"/>
  <c r="K106" i="46"/>
  <c r="K176" i="46"/>
  <c r="K180" i="46" s="1"/>
  <c r="J88" i="21"/>
  <c r="I88" i="21" s="1"/>
  <c r="I54" i="21"/>
  <c r="J186" i="46"/>
  <c r="I186" i="46" s="1"/>
  <c r="I112" i="46"/>
  <c r="J23" i="25"/>
  <c r="J17" i="47"/>
  <c r="I182" i="22"/>
  <c r="I118" i="23"/>
  <c r="N56" i="47"/>
  <c r="N70" i="47" s="1"/>
  <c r="N34" i="25" s="1"/>
  <c r="N85" i="26" s="1"/>
  <c r="Q34" i="38" s="1"/>
  <c r="I123" i="46"/>
  <c r="I110" i="46"/>
  <c r="I62" i="21"/>
  <c r="I146" i="46"/>
  <c r="J36" i="35"/>
  <c r="M33" i="38"/>
  <c r="I40" i="6" l="1"/>
  <c r="J193" i="23"/>
  <c r="J196" i="23" s="1"/>
  <c r="L130" i="26"/>
  <c r="M308" i="1"/>
  <c r="M311" i="1" s="1"/>
  <c r="W91" i="25"/>
  <c r="J107" i="25"/>
  <c r="J111" i="25" s="1"/>
  <c r="J112" i="25" s="1"/>
  <c r="J99" i="25" s="1"/>
  <c r="J30" i="25" s="1"/>
  <c r="J95" i="25"/>
  <c r="J110" i="25" s="1"/>
  <c r="P25" i="6"/>
  <c r="Q25" i="6" s="1"/>
  <c r="V11" i="35"/>
  <c r="L81" i="6"/>
  <c r="B48" i="46"/>
  <c r="B189" i="46"/>
  <c r="B115" i="46"/>
  <c r="J152" i="21"/>
  <c r="AA12" i="35"/>
  <c r="L35" i="6"/>
  <c r="AA13" i="35"/>
  <c r="I16" i="6"/>
  <c r="L18" i="6"/>
  <c r="J35" i="6"/>
  <c r="I93" i="25"/>
  <c r="W94" i="25"/>
  <c r="X91" i="25"/>
  <c r="I92" i="25"/>
  <c r="I211" i="46"/>
  <c r="I90" i="6"/>
  <c r="I36" i="6"/>
  <c r="L22" i="26"/>
  <c r="L125" i="25"/>
  <c r="K144" i="26"/>
  <c r="K121" i="25"/>
  <c r="L135" i="25"/>
  <c r="K145" i="26"/>
  <c r="L115" i="25"/>
  <c r="K143" i="26"/>
  <c r="K131" i="25"/>
  <c r="K141" i="25"/>
  <c r="I17" i="47"/>
  <c r="K123" i="22"/>
  <c r="AA13" i="38"/>
  <c r="L19" i="22"/>
  <c r="L37" i="22" s="1"/>
  <c r="M172" i="22"/>
  <c r="M175" i="22" s="1"/>
  <c r="L131" i="26"/>
  <c r="AA27" i="38"/>
  <c r="K37" i="22"/>
  <c r="K38" i="22" s="1"/>
  <c r="K164" i="22"/>
  <c r="K41" i="26" s="1"/>
  <c r="N40" i="35" s="1"/>
  <c r="AA39" i="35"/>
  <c r="Q68" i="36" s="1"/>
  <c r="AE13" i="44"/>
  <c r="AF13" i="44" s="1"/>
  <c r="AG13" i="44" s="1"/>
  <c r="AE131" i="6"/>
  <c r="J45" i="21"/>
  <c r="J231" i="36"/>
  <c r="J232" i="36" s="1"/>
  <c r="L231" i="36"/>
  <c r="K45" i="21"/>
  <c r="K81" i="6"/>
  <c r="I81" i="6" s="1"/>
  <c r="AB231" i="46"/>
  <c r="K114" i="21"/>
  <c r="Y114" i="21"/>
  <c r="AG114" i="21"/>
  <c r="M114" i="21"/>
  <c r="U114" i="21"/>
  <c r="L314" i="46"/>
  <c r="AD84" i="6"/>
  <c r="S38" i="6"/>
  <c r="U38" i="6"/>
  <c r="T38" i="6"/>
  <c r="R38" i="6"/>
  <c r="R84" i="6"/>
  <c r="S84" i="6"/>
  <c r="T84" i="6"/>
  <c r="U84" i="6"/>
  <c r="V115" i="23"/>
  <c r="Z38" i="6"/>
  <c r="L182" i="6"/>
  <c r="L178" i="6"/>
  <c r="J23" i="6"/>
  <c r="L23" i="6"/>
  <c r="K23" i="6"/>
  <c r="P115" i="23"/>
  <c r="P84" i="6"/>
  <c r="Q84" i="6"/>
  <c r="I21" i="6"/>
  <c r="AC38" i="6"/>
  <c r="Y38" i="6"/>
  <c r="X38" i="6"/>
  <c r="X84" i="6"/>
  <c r="Y84" i="6"/>
  <c r="W38" i="6"/>
  <c r="W84" i="6"/>
  <c r="L95" i="24"/>
  <c r="L184" i="23"/>
  <c r="I15" i="6"/>
  <c r="U39" i="6"/>
  <c r="J87" i="6"/>
  <c r="K87" i="6"/>
  <c r="L87" i="6"/>
  <c r="R115" i="23"/>
  <c r="V38" i="6"/>
  <c r="Z84" i="6"/>
  <c r="AA84" i="6"/>
  <c r="AB84" i="6"/>
  <c r="M183" i="23"/>
  <c r="M184" i="23" s="1"/>
  <c r="M19" i="26"/>
  <c r="M92" i="24"/>
  <c r="M311" i="46"/>
  <c r="M22" i="6"/>
  <c r="M26" i="6" s="1"/>
  <c r="M31" i="6" s="1"/>
  <c r="M99" i="23"/>
  <c r="M80" i="24"/>
  <c r="AG84" i="6"/>
  <c r="AE84" i="6"/>
  <c r="AF84" i="6"/>
  <c r="K120" i="23"/>
  <c r="K109" i="23"/>
  <c r="I103" i="23"/>
  <c r="N19" i="35"/>
  <c r="W19" i="35"/>
  <c r="X19" i="35"/>
  <c r="I20" i="26"/>
  <c r="Y19" i="35"/>
  <c r="Z19" i="35"/>
  <c r="AB38" i="6"/>
  <c r="J18" i="6"/>
  <c r="Q112" i="36"/>
  <c r="M14" i="35"/>
  <c r="Y14" i="35"/>
  <c r="Z14" i="35"/>
  <c r="W14" i="35"/>
  <c r="X14" i="35"/>
  <c r="I15" i="26"/>
  <c r="J22" i="26"/>
  <c r="Q38" i="6"/>
  <c r="P38" i="6"/>
  <c r="AA38" i="6"/>
  <c r="I44" i="6"/>
  <c r="AA11" i="35"/>
  <c r="L119" i="23"/>
  <c r="U116" i="23"/>
  <c r="AD115" i="23"/>
  <c r="V84" i="6"/>
  <c r="L82" i="6"/>
  <c r="L111" i="6"/>
  <c r="L117" i="6" s="1"/>
  <c r="L121" i="6"/>
  <c r="N43" i="6"/>
  <c r="M43" i="6"/>
  <c r="I93" i="24"/>
  <c r="J43" i="6" s="1"/>
  <c r="K95" i="24"/>
  <c r="K192" i="23"/>
  <c r="I191" i="23"/>
  <c r="J37" i="6"/>
  <c r="L37" i="6"/>
  <c r="K37" i="6"/>
  <c r="K82" i="6"/>
  <c r="I88" i="24"/>
  <c r="J95" i="24"/>
  <c r="M38" i="6"/>
  <c r="J152" i="23"/>
  <c r="I151" i="23"/>
  <c r="W74" i="24"/>
  <c r="X15" i="24"/>
  <c r="K325" i="46"/>
  <c r="K333" i="46" s="1"/>
  <c r="K36" i="44"/>
  <c r="K148" i="6" s="1"/>
  <c r="K173" i="6" s="1"/>
  <c r="K82" i="24"/>
  <c r="K39" i="26" s="1"/>
  <c r="N38" i="35" s="1"/>
  <c r="K30" i="6"/>
  <c r="U85" i="6"/>
  <c r="L41" i="6"/>
  <c r="K41" i="6"/>
  <c r="AD38" i="6"/>
  <c r="U14" i="35"/>
  <c r="K22" i="26"/>
  <c r="Z115" i="23"/>
  <c r="N77" i="24"/>
  <c r="N21" i="24"/>
  <c r="O18" i="24"/>
  <c r="AG38" i="6"/>
  <c r="AF38" i="6"/>
  <c r="AE38" i="6"/>
  <c r="I17" i="6"/>
  <c r="N89" i="6"/>
  <c r="I312" i="46"/>
  <c r="J314" i="46"/>
  <c r="M84" i="6"/>
  <c r="I307" i="46"/>
  <c r="L84" i="6" s="1"/>
  <c r="J325" i="46"/>
  <c r="J82" i="24"/>
  <c r="J30" i="6"/>
  <c r="J36" i="44"/>
  <c r="J115" i="23"/>
  <c r="J109" i="23"/>
  <c r="I83" i="23"/>
  <c r="M89" i="6"/>
  <c r="V159" i="23"/>
  <c r="V160" i="23" s="1"/>
  <c r="V16" i="26"/>
  <c r="V308" i="46"/>
  <c r="V87" i="23"/>
  <c r="V116" i="23" s="1"/>
  <c r="V19" i="6"/>
  <c r="V89" i="24"/>
  <c r="V39" i="6" s="1"/>
  <c r="AA17" i="35"/>
  <c r="X115" i="23"/>
  <c r="AC84" i="6"/>
  <c r="N78" i="22"/>
  <c r="N133" i="21"/>
  <c r="N132" i="21"/>
  <c r="N134" i="21"/>
  <c r="L250" i="46"/>
  <c r="L252" i="46" s="1"/>
  <c r="L292" i="46" s="1"/>
  <c r="K231" i="46"/>
  <c r="K194" i="6" s="1"/>
  <c r="L195" i="6" s="1"/>
  <c r="L21" i="25" s="1"/>
  <c r="L74" i="26" s="1"/>
  <c r="O23" i="38" s="1"/>
  <c r="P143" i="21"/>
  <c r="P142" i="21"/>
  <c r="P141" i="21"/>
  <c r="S235" i="46"/>
  <c r="S237" i="46" s="1"/>
  <c r="S289" i="46" s="1"/>
  <c r="S157" i="46"/>
  <c r="AD151" i="21"/>
  <c r="AD150" i="21"/>
  <c r="AD152" i="21"/>
  <c r="T270" i="46"/>
  <c r="T272" i="46" s="1"/>
  <c r="T296" i="46" s="1"/>
  <c r="U260" i="46"/>
  <c r="U262" i="46" s="1"/>
  <c r="U294" i="46" s="1"/>
  <c r="V250" i="46"/>
  <c r="V252" i="46" s="1"/>
  <c r="V292" i="46" s="1"/>
  <c r="W240" i="46"/>
  <c r="W242" i="46" s="1"/>
  <c r="W290" i="46" s="1"/>
  <c r="W280" i="46"/>
  <c r="W282" i="46" s="1"/>
  <c r="W298" i="46" s="1"/>
  <c r="X270" i="46"/>
  <c r="X272" i="46" s="1"/>
  <c r="X296" i="46" s="1"/>
  <c r="Y260" i="46"/>
  <c r="Y262" i="46" s="1"/>
  <c r="Y294" i="46" s="1"/>
  <c r="Z250" i="46"/>
  <c r="Z252" i="46" s="1"/>
  <c r="Z292" i="46" s="1"/>
  <c r="AA240" i="46"/>
  <c r="AA242" i="46" s="1"/>
  <c r="AA290" i="46" s="1"/>
  <c r="AA280" i="46"/>
  <c r="AA282" i="46" s="1"/>
  <c r="AA298" i="46" s="1"/>
  <c r="AB270" i="46"/>
  <c r="AB272" i="46" s="1"/>
  <c r="AB296" i="46" s="1"/>
  <c r="AC260" i="46"/>
  <c r="AC262" i="46" s="1"/>
  <c r="AC294" i="46" s="1"/>
  <c r="AD250" i="46"/>
  <c r="AD252" i="46" s="1"/>
  <c r="AD292" i="46" s="1"/>
  <c r="AE240" i="46"/>
  <c r="AE242" i="46" s="1"/>
  <c r="AE290" i="46" s="1"/>
  <c r="AE357" i="46" s="1"/>
  <c r="AE280" i="46"/>
  <c r="AE282" i="46" s="1"/>
  <c r="AE298" i="46" s="1"/>
  <c r="AE365" i="46" s="1"/>
  <c r="AF270" i="46"/>
  <c r="AF272" i="46" s="1"/>
  <c r="AF296" i="46" s="1"/>
  <c r="AG260" i="46"/>
  <c r="AG262" i="46" s="1"/>
  <c r="AG294" i="46" s="1"/>
  <c r="AG361" i="46" s="1"/>
  <c r="S255" i="46"/>
  <c r="S257" i="46" s="1"/>
  <c r="S293" i="46" s="1"/>
  <c r="Z260" i="46"/>
  <c r="Z262" i="46" s="1"/>
  <c r="Z294" i="46" s="1"/>
  <c r="S280" i="46"/>
  <c r="S282" i="46" s="1"/>
  <c r="S298" i="46" s="1"/>
  <c r="V275" i="46"/>
  <c r="V277" i="46" s="1"/>
  <c r="V297" i="46" s="1"/>
  <c r="AD157" i="46"/>
  <c r="AD235" i="46"/>
  <c r="AD237" i="46" s="1"/>
  <c r="AD289" i="46" s="1"/>
  <c r="M134" i="21"/>
  <c r="M132" i="21"/>
  <c r="M133" i="21"/>
  <c r="X255" i="46"/>
  <c r="X257" i="46" s="1"/>
  <c r="X293" i="46" s="1"/>
  <c r="Z157" i="46"/>
  <c r="Z235" i="46"/>
  <c r="Z237" i="46" s="1"/>
  <c r="Z289" i="46" s="1"/>
  <c r="AE265" i="46"/>
  <c r="AE267" i="46" s="1"/>
  <c r="AE295" i="46" s="1"/>
  <c r="AE362" i="46" s="1"/>
  <c r="S260" i="46"/>
  <c r="S262" i="46" s="1"/>
  <c r="S294" i="46" s="1"/>
  <c r="AD255" i="46"/>
  <c r="AD257" i="46" s="1"/>
  <c r="AD293" i="46" s="1"/>
  <c r="V34" i="38"/>
  <c r="R77" i="22"/>
  <c r="M55" i="38"/>
  <c r="L57" i="38"/>
  <c r="J270" i="46"/>
  <c r="I141" i="46"/>
  <c r="J98" i="21"/>
  <c r="I98" i="21" s="1"/>
  <c r="I94" i="21"/>
  <c r="M157" i="46"/>
  <c r="M235" i="46"/>
  <c r="M237" i="46" s="1"/>
  <c r="J187" i="46"/>
  <c r="I187" i="46" s="1"/>
  <c r="I183" i="46"/>
  <c r="R240" i="46"/>
  <c r="R242" i="46" s="1"/>
  <c r="R290" i="46" s="1"/>
  <c r="R280" i="46"/>
  <c r="R282" i="46" s="1"/>
  <c r="R298" i="46" s="1"/>
  <c r="S250" i="46"/>
  <c r="S252" i="46" s="1"/>
  <c r="S292" i="46" s="1"/>
  <c r="U152" i="21"/>
  <c r="U150" i="21"/>
  <c r="U151" i="21"/>
  <c r="AC152" i="21"/>
  <c r="AC151" i="21"/>
  <c r="AC150" i="21"/>
  <c r="U134" i="21"/>
  <c r="U132" i="21"/>
  <c r="U133" i="21"/>
  <c r="S240" i="46"/>
  <c r="S242" i="46" s="1"/>
  <c r="S290" i="46" s="1"/>
  <c r="T265" i="46"/>
  <c r="T267" i="46" s="1"/>
  <c r="T295" i="46" s="1"/>
  <c r="U255" i="46"/>
  <c r="U257" i="46" s="1"/>
  <c r="U293" i="46" s="1"/>
  <c r="V245" i="46"/>
  <c r="V247" i="46" s="1"/>
  <c r="V291" i="46" s="1"/>
  <c r="W157" i="46"/>
  <c r="W235" i="46"/>
  <c r="W237" i="46" s="1"/>
  <c r="W289" i="46" s="1"/>
  <c r="W275" i="46"/>
  <c r="W277" i="46" s="1"/>
  <c r="W297" i="46" s="1"/>
  <c r="X265" i="46"/>
  <c r="X267" i="46" s="1"/>
  <c r="X295" i="46" s="1"/>
  <c r="Y255" i="46"/>
  <c r="Y257" i="46" s="1"/>
  <c r="Y293" i="46" s="1"/>
  <c r="Z245" i="46"/>
  <c r="Z247" i="46" s="1"/>
  <c r="Z291" i="46" s="1"/>
  <c r="AA235" i="46"/>
  <c r="AA237" i="46" s="1"/>
  <c r="AA289" i="46" s="1"/>
  <c r="AA157" i="46"/>
  <c r="AA275" i="46"/>
  <c r="AA277" i="46" s="1"/>
  <c r="AA297" i="46" s="1"/>
  <c r="AB265" i="46"/>
  <c r="AB267" i="46" s="1"/>
  <c r="AB295" i="46" s="1"/>
  <c r="AC255" i="46"/>
  <c r="AC257" i="46" s="1"/>
  <c r="AC293" i="46" s="1"/>
  <c r="AD245" i="46"/>
  <c r="AD247" i="46" s="1"/>
  <c r="AD291" i="46" s="1"/>
  <c r="AE157" i="46"/>
  <c r="AE235" i="46"/>
  <c r="AE237" i="46" s="1"/>
  <c r="AE289" i="46" s="1"/>
  <c r="AE275" i="46"/>
  <c r="AE277" i="46" s="1"/>
  <c r="AE297" i="46" s="1"/>
  <c r="AE364" i="46" s="1"/>
  <c r="AF265" i="46"/>
  <c r="AF267" i="46" s="1"/>
  <c r="AF295" i="46" s="1"/>
  <c r="AF362" i="46" s="1"/>
  <c r="AG255" i="46"/>
  <c r="AG257" i="46" s="1"/>
  <c r="AG293" i="46" s="1"/>
  <c r="AB133" i="21"/>
  <c r="AB134" i="21"/>
  <c r="AB132" i="21"/>
  <c r="V124" i="21"/>
  <c r="V125" i="21"/>
  <c r="V80" i="21"/>
  <c r="V123" i="21"/>
  <c r="AD124" i="21"/>
  <c r="AD125" i="21"/>
  <c r="AD80" i="21"/>
  <c r="AD123" i="21"/>
  <c r="AF260" i="46"/>
  <c r="AF262" i="46" s="1"/>
  <c r="AF294" i="46" s="1"/>
  <c r="AF361" i="46" s="1"/>
  <c r="Z240" i="46"/>
  <c r="Z242" i="46" s="1"/>
  <c r="Z290" i="46" s="1"/>
  <c r="AE270" i="46"/>
  <c r="AE272" i="46" s="1"/>
  <c r="AE296" i="46" s="1"/>
  <c r="J255" i="46"/>
  <c r="I120" i="46"/>
  <c r="J166" i="46"/>
  <c r="I162" i="46"/>
  <c r="L137" i="23"/>
  <c r="L140" i="23" s="1"/>
  <c r="M143" i="21"/>
  <c r="M142" i="21"/>
  <c r="M141" i="21"/>
  <c r="M240" i="46"/>
  <c r="M242" i="46" s="1"/>
  <c r="M290" i="46" s="1"/>
  <c r="J265" i="46"/>
  <c r="I134" i="46"/>
  <c r="L265" i="46"/>
  <c r="L267" i="46" s="1"/>
  <c r="L295" i="46" s="1"/>
  <c r="K123" i="21"/>
  <c r="K124" i="21"/>
  <c r="K125" i="21"/>
  <c r="K80" i="21"/>
  <c r="P280" i="46"/>
  <c r="P282" i="46" s="1"/>
  <c r="P298" i="46" s="1"/>
  <c r="R141" i="21"/>
  <c r="R142" i="21"/>
  <c r="R143" i="21"/>
  <c r="Y141" i="21"/>
  <c r="Y142" i="21"/>
  <c r="Y143" i="21"/>
  <c r="P270" i="46"/>
  <c r="P272" i="46" s="1"/>
  <c r="P296" i="46" s="1"/>
  <c r="AA114" i="21"/>
  <c r="N275" i="46"/>
  <c r="N277" i="46" s="1"/>
  <c r="N297" i="46" s="1"/>
  <c r="U265" i="46"/>
  <c r="U267" i="46" s="1"/>
  <c r="U295" i="46" s="1"/>
  <c r="AA270" i="46"/>
  <c r="AA272" i="46" s="1"/>
  <c r="AA296" i="46" s="1"/>
  <c r="AG245" i="46"/>
  <c r="AG247" i="46" s="1"/>
  <c r="AG291" i="46" s="1"/>
  <c r="AG358" i="46" s="1"/>
  <c r="AB240" i="46"/>
  <c r="AB242" i="46" s="1"/>
  <c r="AB290" i="46" s="1"/>
  <c r="L245" i="46"/>
  <c r="L247" i="46" s="1"/>
  <c r="L291" i="46" s="1"/>
  <c r="AB275" i="46"/>
  <c r="AB277" i="46" s="1"/>
  <c r="AB297" i="46" s="1"/>
  <c r="X280" i="46"/>
  <c r="X282" i="46" s="1"/>
  <c r="X298" i="46" s="1"/>
  <c r="Q240" i="46"/>
  <c r="Q242" i="46" s="1"/>
  <c r="Q290" i="46" s="1"/>
  <c r="K115" i="26"/>
  <c r="L152" i="22"/>
  <c r="L155" i="22" s="1"/>
  <c r="J141" i="21"/>
  <c r="J143" i="21"/>
  <c r="J142" i="21"/>
  <c r="I71" i="21"/>
  <c r="J201" i="46"/>
  <c r="I201" i="46" s="1"/>
  <c r="J275" i="46"/>
  <c r="I148" i="46"/>
  <c r="L255" i="46"/>
  <c r="L257" i="46" s="1"/>
  <c r="L293" i="46" s="1"/>
  <c r="N255" i="46"/>
  <c r="N257" i="46" s="1"/>
  <c r="N293" i="46" s="1"/>
  <c r="L275" i="46"/>
  <c r="L277" i="46" s="1"/>
  <c r="L297" i="46" s="1"/>
  <c r="P240" i="46"/>
  <c r="P242" i="46" s="1"/>
  <c r="P290" i="46" s="1"/>
  <c r="O260" i="46"/>
  <c r="O262" i="46" s="1"/>
  <c r="O294" i="46" s="1"/>
  <c r="S133" i="21"/>
  <c r="S134" i="21"/>
  <c r="S132" i="21"/>
  <c r="X114" i="21"/>
  <c r="AF114" i="21"/>
  <c r="S114" i="21"/>
  <c r="X157" i="46"/>
  <c r="X235" i="46"/>
  <c r="X237" i="46" s="1"/>
  <c r="X289" i="46" s="1"/>
  <c r="AE250" i="46"/>
  <c r="AE252" i="46" s="1"/>
  <c r="AE292" i="46" s="1"/>
  <c r="AE359" i="46" s="1"/>
  <c r="AF275" i="46"/>
  <c r="AF277" i="46" s="1"/>
  <c r="AF297" i="46" s="1"/>
  <c r="AF364" i="46" s="1"/>
  <c r="Y270" i="46"/>
  <c r="Y272" i="46" s="1"/>
  <c r="Y296" i="46"/>
  <c r="AE245" i="46"/>
  <c r="AE247" i="46" s="1"/>
  <c r="AE291" i="46" s="1"/>
  <c r="AE358" i="46" s="1"/>
  <c r="AF150" i="21"/>
  <c r="AF152" i="21"/>
  <c r="AF151" i="21"/>
  <c r="AF240" i="46"/>
  <c r="AF242" i="46" s="1"/>
  <c r="AF290" i="46" s="1"/>
  <c r="AF357" i="46" s="1"/>
  <c r="J153" i="21"/>
  <c r="J76" i="26"/>
  <c r="AC43" i="36"/>
  <c r="I23" i="25"/>
  <c r="J215" i="46"/>
  <c r="I215" i="46" s="1"/>
  <c r="K265" i="46"/>
  <c r="K267" i="46" s="1"/>
  <c r="K295" i="46" s="1"/>
  <c r="O265" i="46"/>
  <c r="O267" i="46" s="1"/>
  <c r="O295" i="46" s="1"/>
  <c r="P255" i="46"/>
  <c r="P257" i="46" s="1"/>
  <c r="P293" i="46" s="1"/>
  <c r="Q245" i="46"/>
  <c r="Q247" i="46" s="1"/>
  <c r="Q291" i="46" s="1"/>
  <c r="K157" i="46"/>
  <c r="K235" i="46"/>
  <c r="K237" i="46" s="1"/>
  <c r="K289" i="46" s="1"/>
  <c r="N141" i="21"/>
  <c r="N142" i="21"/>
  <c r="N143" i="21"/>
  <c r="P245" i="46"/>
  <c r="P247" i="46" s="1"/>
  <c r="P291" i="46" s="1"/>
  <c r="O142" i="21"/>
  <c r="O143" i="21"/>
  <c r="O141" i="21"/>
  <c r="Z143" i="21"/>
  <c r="Z141" i="21"/>
  <c r="Z142" i="21"/>
  <c r="T134" i="21"/>
  <c r="T133" i="21"/>
  <c r="T132" i="21"/>
  <c r="S231" i="46"/>
  <c r="P132" i="21"/>
  <c r="P133" i="21"/>
  <c r="P134" i="21"/>
  <c r="AE133" i="21"/>
  <c r="AE134" i="21"/>
  <c r="AE132" i="21"/>
  <c r="Y124" i="21"/>
  <c r="Y125" i="21"/>
  <c r="Y123" i="21"/>
  <c r="Y80" i="21"/>
  <c r="AG124" i="21"/>
  <c r="AG125" i="21"/>
  <c r="AG123" i="21"/>
  <c r="AG80" i="21"/>
  <c r="U250" i="46"/>
  <c r="U252" i="46" s="1"/>
  <c r="U292" i="46" s="1"/>
  <c r="AD231" i="46"/>
  <c r="Z231" i="46"/>
  <c r="L141" i="21"/>
  <c r="L142" i="21"/>
  <c r="L143" i="21"/>
  <c r="J245" i="46"/>
  <c r="I106" i="46"/>
  <c r="J240" i="46"/>
  <c r="I99" i="46"/>
  <c r="J132" i="21"/>
  <c r="J134" i="21"/>
  <c r="J133" i="21"/>
  <c r="I64" i="21"/>
  <c r="L240" i="46"/>
  <c r="L242" i="46" s="1"/>
  <c r="L290" i="46" s="1"/>
  <c r="L280" i="46"/>
  <c r="L282" i="46" s="1"/>
  <c r="L298" i="46" s="1"/>
  <c r="M250" i="46"/>
  <c r="M252" i="46" s="1"/>
  <c r="M292" i="46" s="1"/>
  <c r="N240" i="46"/>
  <c r="N242" i="46" s="1"/>
  <c r="N290" i="46" s="1"/>
  <c r="N280" i="46"/>
  <c r="N282" i="46" s="1"/>
  <c r="N298" i="46" s="1"/>
  <c r="K255" i="46"/>
  <c r="K257" i="46" s="1"/>
  <c r="K293" i="46" s="1"/>
  <c r="M231" i="46"/>
  <c r="Q134" i="21"/>
  <c r="Q132" i="21"/>
  <c r="Q133" i="21"/>
  <c r="O231" i="46"/>
  <c r="P250" i="46"/>
  <c r="P252" i="46" s="1"/>
  <c r="P292" i="46" s="1"/>
  <c r="O275" i="46"/>
  <c r="O277" i="46" s="1"/>
  <c r="O297" i="46" s="1"/>
  <c r="Q270" i="46"/>
  <c r="Q272" i="46" s="1"/>
  <c r="Q296" i="46" s="1"/>
  <c r="Q157" i="46"/>
  <c r="Q235" i="46"/>
  <c r="Q237" i="46" s="1"/>
  <c r="Q289" i="46" s="1"/>
  <c r="U231" i="46"/>
  <c r="Y231" i="46"/>
  <c r="Y194" i="6" s="1"/>
  <c r="Z195" i="6" s="1"/>
  <c r="Z21" i="25" s="1"/>
  <c r="Z74" i="26" s="1"/>
  <c r="AC231" i="46"/>
  <c r="AG231" i="46"/>
  <c r="R245" i="46"/>
  <c r="R247" i="46" s="1"/>
  <c r="R291" i="46" s="1"/>
  <c r="Z114" i="21"/>
  <c r="S265" i="46"/>
  <c r="S267" i="46" s="1"/>
  <c r="S295" i="46" s="1"/>
  <c r="V240" i="46"/>
  <c r="V242" i="46" s="1"/>
  <c r="V290" i="46" s="1"/>
  <c r="AB255" i="46"/>
  <c r="AB257" i="46" s="1"/>
  <c r="AB293" i="46" s="1"/>
  <c r="AD280" i="46"/>
  <c r="AD282" i="46" s="1"/>
  <c r="AD298" i="46" s="1"/>
  <c r="X260" i="46"/>
  <c r="X262" i="46" s="1"/>
  <c r="X294" i="46" s="1"/>
  <c r="K270" i="46"/>
  <c r="K272" i="46" s="1"/>
  <c r="K296" i="46" s="1"/>
  <c r="U245" i="46"/>
  <c r="U247" i="46" s="1"/>
  <c r="U291" i="46" s="1"/>
  <c r="AG265" i="46"/>
  <c r="AG267" i="46" s="1"/>
  <c r="AG295" i="46" s="1"/>
  <c r="AG362" i="46" s="1"/>
  <c r="T275" i="46"/>
  <c r="T277" i="46" s="1"/>
  <c r="T297" i="46" s="1"/>
  <c r="AB260" i="46"/>
  <c r="AB262" i="46" s="1"/>
  <c r="AB294" i="46" s="1"/>
  <c r="P265" i="46"/>
  <c r="P267" i="46" s="1"/>
  <c r="P295" i="46" s="1"/>
  <c r="Y265" i="46"/>
  <c r="Y267" i="46" s="1"/>
  <c r="Y295" i="46" s="1"/>
  <c r="J205" i="23"/>
  <c r="K203" i="23" s="1"/>
  <c r="N103" i="22"/>
  <c r="J194" i="46"/>
  <c r="I194" i="46" s="1"/>
  <c r="I190" i="46"/>
  <c r="N67" i="6"/>
  <c r="N114" i="21"/>
  <c r="N235" i="46"/>
  <c r="N237" i="46" s="1"/>
  <c r="N289" i="46" s="1"/>
  <c r="N157" i="46"/>
  <c r="O240" i="46"/>
  <c r="O242" i="46" s="1"/>
  <c r="O290" i="46" s="1"/>
  <c r="Q275" i="46"/>
  <c r="Q277" i="46" s="1"/>
  <c r="Q297" i="46" s="1"/>
  <c r="X143" i="21"/>
  <c r="X142" i="21"/>
  <c r="X141" i="21"/>
  <c r="AF143" i="21"/>
  <c r="AF142" i="21"/>
  <c r="AF141" i="21"/>
  <c r="Z134" i="21"/>
  <c r="Z132" i="21"/>
  <c r="Z133" i="21"/>
  <c r="Q255" i="46"/>
  <c r="Q257" i="46" s="1"/>
  <c r="Q293" i="46" s="1"/>
  <c r="V260" i="46"/>
  <c r="V262" i="46" s="1"/>
  <c r="V294" i="46" s="1"/>
  <c r="K165" i="23"/>
  <c r="L163" i="23" s="1"/>
  <c r="M32" i="38"/>
  <c r="J222" i="46"/>
  <c r="I222" i="46" s="1"/>
  <c r="I218" i="46"/>
  <c r="Z151" i="21"/>
  <c r="Z150" i="21"/>
  <c r="Z152" i="21"/>
  <c r="X231" i="46"/>
  <c r="AC141" i="21"/>
  <c r="AC143" i="21"/>
  <c r="AC142" i="21"/>
  <c r="W270" i="46"/>
  <c r="W272" i="46" s="1"/>
  <c r="W296" i="46" s="1"/>
  <c r="J123" i="21"/>
  <c r="J125" i="21"/>
  <c r="J80" i="21"/>
  <c r="J124" i="21"/>
  <c r="I57" i="21"/>
  <c r="I225" i="46"/>
  <c r="K250" i="46"/>
  <c r="K252" i="46" s="1"/>
  <c r="K292" i="46" s="1"/>
  <c r="P231" i="46"/>
  <c r="M260" i="46"/>
  <c r="M262" i="46" s="1"/>
  <c r="M294" i="46" s="1"/>
  <c r="K150" i="21"/>
  <c r="K151" i="21"/>
  <c r="K152" i="21"/>
  <c r="O280" i="46"/>
  <c r="O282" i="46" s="1"/>
  <c r="O298" i="46" s="1"/>
  <c r="R265" i="46"/>
  <c r="R267" i="46" s="1"/>
  <c r="R295" i="46" s="1"/>
  <c r="X151" i="21"/>
  <c r="X152" i="21"/>
  <c r="X150" i="21"/>
  <c r="AG141" i="21"/>
  <c r="AG142" i="21"/>
  <c r="AG143" i="21"/>
  <c r="AC114" i="21"/>
  <c r="T250" i="46"/>
  <c r="T252" i="46" s="1"/>
  <c r="T292" i="46" s="1"/>
  <c r="U240" i="46"/>
  <c r="U242" i="46" s="1"/>
  <c r="U290" i="46" s="1"/>
  <c r="U280" i="46"/>
  <c r="U282" i="46" s="1"/>
  <c r="U298" i="46" s="1"/>
  <c r="V270" i="46"/>
  <c r="V272" i="46" s="1"/>
  <c r="V296" i="46" s="1"/>
  <c r="W260" i="46"/>
  <c r="W262" i="46" s="1"/>
  <c r="W294" i="46" s="1"/>
  <c r="X250" i="46"/>
  <c r="X252" i="46" s="1"/>
  <c r="X292" i="46" s="1"/>
  <c r="Y240" i="46"/>
  <c r="Y242" i="46" s="1"/>
  <c r="Y290" i="46" s="1"/>
  <c r="Y280" i="46"/>
  <c r="Y282" i="46" s="1"/>
  <c r="Y298" i="46" s="1"/>
  <c r="Z270" i="46"/>
  <c r="Z272" i="46" s="1"/>
  <c r="Z296" i="46" s="1"/>
  <c r="AA260" i="46"/>
  <c r="AA262" i="46" s="1"/>
  <c r="AA294" i="46"/>
  <c r="AB250" i="46"/>
  <c r="AB252" i="46" s="1"/>
  <c r="AB292" i="46" s="1"/>
  <c r="AC240" i="46"/>
  <c r="AC242" i="46" s="1"/>
  <c r="AC290" i="46" s="1"/>
  <c r="AC280" i="46"/>
  <c r="AC282" i="46" s="1"/>
  <c r="AC298" i="46" s="1"/>
  <c r="AD270" i="46"/>
  <c r="AD272" i="46" s="1"/>
  <c r="AD296" i="46" s="1"/>
  <c r="AE260" i="46"/>
  <c r="AE262" i="46" s="1"/>
  <c r="AE294" i="46" s="1"/>
  <c r="AE361" i="46" s="1"/>
  <c r="AF250" i="46"/>
  <c r="AF252" i="46" s="1"/>
  <c r="AF292" i="46" s="1"/>
  <c r="AF359" i="46" s="1"/>
  <c r="AG240" i="46"/>
  <c r="AG242" i="46" s="1"/>
  <c r="AG290" i="46" s="1"/>
  <c r="AG357" i="46" s="1"/>
  <c r="AG280" i="46"/>
  <c r="AG282" i="46" s="1"/>
  <c r="AG298" i="46" s="1"/>
  <c r="AG365" i="46" s="1"/>
  <c r="R157" i="46"/>
  <c r="R235" i="46"/>
  <c r="R237" i="46" s="1"/>
  <c r="R289" i="46" s="1"/>
  <c r="V157" i="46"/>
  <c r="V235" i="46"/>
  <c r="V237" i="46" s="1"/>
  <c r="AD275" i="46"/>
  <c r="AD277" i="46" s="1"/>
  <c r="AD297" i="46" s="1"/>
  <c r="V255" i="46"/>
  <c r="V257" i="46" s="1"/>
  <c r="V293" i="46" s="1"/>
  <c r="O250" i="46"/>
  <c r="O252" i="46" s="1"/>
  <c r="O292" i="46" s="1"/>
  <c r="AC270" i="46"/>
  <c r="AC272" i="46" s="1"/>
  <c r="AC296" i="46" s="1"/>
  <c r="AG250" i="46"/>
  <c r="AG252" i="46" s="1"/>
  <c r="AG292" i="46" s="1"/>
  <c r="AG359" i="46" s="1"/>
  <c r="Y250" i="46"/>
  <c r="Y252" i="46" s="1"/>
  <c r="Y292" i="46" s="1"/>
  <c r="T157" i="46"/>
  <c r="T235" i="46"/>
  <c r="T237" i="46" s="1"/>
  <c r="T289" i="46" s="1"/>
  <c r="J180" i="46"/>
  <c r="I180" i="46" s="1"/>
  <c r="I176" i="46"/>
  <c r="K133" i="23"/>
  <c r="L131" i="23" s="1"/>
  <c r="N135" i="22"/>
  <c r="I108" i="21"/>
  <c r="L235" i="46"/>
  <c r="L237" i="46" s="1"/>
  <c r="L289" i="46" s="1"/>
  <c r="L157" i="46"/>
  <c r="M150" i="21"/>
  <c r="M151" i="21"/>
  <c r="M152" i="21"/>
  <c r="O157" i="46"/>
  <c r="O235" i="46"/>
  <c r="O237" i="46" s="1"/>
  <c r="O289" i="46" s="1"/>
  <c r="R260" i="46"/>
  <c r="R262" i="46" s="1"/>
  <c r="R294" i="46" s="1"/>
  <c r="R152" i="21"/>
  <c r="R150" i="21"/>
  <c r="R151" i="21"/>
  <c r="S270" i="46"/>
  <c r="S272" i="46" s="1"/>
  <c r="S296" i="46" s="1"/>
  <c r="Y152" i="21"/>
  <c r="Y150" i="21"/>
  <c r="Y151" i="21"/>
  <c r="AG152" i="21"/>
  <c r="AG150" i="21"/>
  <c r="AG151" i="21"/>
  <c r="Y134" i="21"/>
  <c r="Y132" i="21"/>
  <c r="Y133" i="21"/>
  <c r="Q231" i="46"/>
  <c r="R270" i="46"/>
  <c r="R272" i="46" s="1"/>
  <c r="R296" i="46" s="1"/>
  <c r="T245" i="46"/>
  <c r="T247" i="46" s="1"/>
  <c r="T291" i="46" s="1"/>
  <c r="U235" i="46"/>
  <c r="U237" i="46" s="1"/>
  <c r="U289" i="46" s="1"/>
  <c r="U157" i="46"/>
  <c r="U275" i="46"/>
  <c r="U277" i="46" s="1"/>
  <c r="U297" i="46" s="1"/>
  <c r="V265" i="46"/>
  <c r="V267" i="46" s="1"/>
  <c r="V295" i="46"/>
  <c r="W255" i="46"/>
  <c r="W257" i="46" s="1"/>
  <c r="W293" i="46" s="1"/>
  <c r="X245" i="46"/>
  <c r="X247" i="46" s="1"/>
  <c r="X291" i="46" s="1"/>
  <c r="Y157" i="46"/>
  <c r="Y235" i="46"/>
  <c r="Y237" i="46" s="1"/>
  <c r="Y289" i="46" s="1"/>
  <c r="Y275" i="46"/>
  <c r="Y277" i="46" s="1"/>
  <c r="Y297" i="46" s="1"/>
  <c r="Z265" i="46"/>
  <c r="Z267" i="46" s="1"/>
  <c r="Z295" i="46" s="1"/>
  <c r="AA255" i="46"/>
  <c r="AA257" i="46" s="1"/>
  <c r="AA293" i="46" s="1"/>
  <c r="AB245" i="46"/>
  <c r="AB247" i="46" s="1"/>
  <c r="AB291" i="46" s="1"/>
  <c r="AC235" i="46"/>
  <c r="AC237" i="46" s="1"/>
  <c r="AC157" i="46"/>
  <c r="AC275" i="46"/>
  <c r="AC277" i="46" s="1"/>
  <c r="AC297" i="46" s="1"/>
  <c r="AD265" i="46"/>
  <c r="AD267" i="46" s="1"/>
  <c r="AD295" i="46" s="1"/>
  <c r="AE255" i="46"/>
  <c r="AE257" i="46" s="1"/>
  <c r="AE293" i="46" s="1"/>
  <c r="AF245" i="46"/>
  <c r="AF247" i="46" s="1"/>
  <c r="AF291" i="46" s="1"/>
  <c r="AF358" i="46" s="1"/>
  <c r="AG157" i="46"/>
  <c r="AG235" i="46"/>
  <c r="AG237" i="46" s="1"/>
  <c r="AG289" i="46" s="1"/>
  <c r="AG275" i="46"/>
  <c r="AG277" i="46" s="1"/>
  <c r="AG297" i="46" s="1"/>
  <c r="AG364" i="46" s="1"/>
  <c r="AF133" i="21"/>
  <c r="AF134" i="21"/>
  <c r="AF132" i="21"/>
  <c r="Z124" i="21"/>
  <c r="Z125" i="21"/>
  <c r="Z80" i="21"/>
  <c r="Z123" i="21"/>
  <c r="AA150" i="21"/>
  <c r="AA152" i="21"/>
  <c r="AA151" i="21"/>
  <c r="L94" i="25"/>
  <c r="M91" i="25"/>
  <c r="I169" i="46"/>
  <c r="L125" i="21"/>
  <c r="L123" i="21"/>
  <c r="L124" i="21"/>
  <c r="L80" i="21"/>
  <c r="N125" i="21"/>
  <c r="N123" i="21"/>
  <c r="N80" i="21"/>
  <c r="N124" i="21"/>
  <c r="K260" i="46"/>
  <c r="K262" i="46" s="1"/>
  <c r="K294" i="46" s="1"/>
  <c r="N231" i="46"/>
  <c r="M275" i="46"/>
  <c r="M277" i="46" s="1"/>
  <c r="M297" i="46" s="1"/>
  <c r="P151" i="21"/>
  <c r="P150" i="21"/>
  <c r="P152" i="21"/>
  <c r="N265" i="46"/>
  <c r="N267" i="46" s="1"/>
  <c r="N295" i="46" s="1"/>
  <c r="R114" i="21"/>
  <c r="M280" i="46"/>
  <c r="M282" i="46" s="1"/>
  <c r="M298" i="46" s="1"/>
  <c r="S245" i="46"/>
  <c r="S247" i="46" s="1"/>
  <c r="S291" i="46" s="1"/>
  <c r="N250" i="46"/>
  <c r="N252" i="46" s="1"/>
  <c r="N292" i="46" s="1"/>
  <c r="W114" i="21"/>
  <c r="AE114" i="21"/>
  <c r="Y245" i="46"/>
  <c r="Y247" i="46" s="1"/>
  <c r="Y291" i="46" s="1"/>
  <c r="AC265" i="46"/>
  <c r="AC267" i="46" s="1"/>
  <c r="AC295" i="46" s="1"/>
  <c r="Z255" i="46"/>
  <c r="Z257" i="46" s="1"/>
  <c r="Z293" i="46" s="1"/>
  <c r="AB152" i="21"/>
  <c r="AB150" i="21"/>
  <c r="AB151" i="21"/>
  <c r="AA245" i="46"/>
  <c r="AA247" i="46" s="1"/>
  <c r="AA291" i="46" s="1"/>
  <c r="U270" i="46"/>
  <c r="U272" i="46" s="1"/>
  <c r="U296" i="46" s="1"/>
  <c r="L145" i="25"/>
  <c r="K141" i="26"/>
  <c r="J173" i="23"/>
  <c r="K171" i="23" s="1"/>
  <c r="J280" i="46"/>
  <c r="I155" i="46"/>
  <c r="K280" i="46"/>
  <c r="K282" i="46" s="1"/>
  <c r="K298" i="46" s="1"/>
  <c r="O124" i="21"/>
  <c r="O123" i="21"/>
  <c r="O80" i="21"/>
  <c r="O125" i="21"/>
  <c r="M255" i="46"/>
  <c r="M257" i="46" s="1"/>
  <c r="M293" i="46" s="1"/>
  <c r="P114" i="21"/>
  <c r="Q250" i="46"/>
  <c r="Q252" i="46" s="1"/>
  <c r="Q292" i="46" s="1"/>
  <c r="Q142" i="21"/>
  <c r="Q143" i="21"/>
  <c r="Q141" i="21"/>
  <c r="T150" i="21"/>
  <c r="T151" i="21"/>
  <c r="T152" i="21"/>
  <c r="T114" i="21"/>
  <c r="AB114" i="21"/>
  <c r="AB194" i="6" s="1"/>
  <c r="AC195" i="6" s="1"/>
  <c r="AC21" i="25" s="1"/>
  <c r="AC74" i="26" s="1"/>
  <c r="Q124" i="21"/>
  <c r="Q80" i="21"/>
  <c r="Q125" i="21"/>
  <c r="Q123" i="21"/>
  <c r="W250" i="46"/>
  <c r="W252" i="46" s="1"/>
  <c r="W292" i="46" s="1"/>
  <c r="X275" i="46"/>
  <c r="X277" i="46" s="1"/>
  <c r="X297" i="46" s="1"/>
  <c r="AF157" i="46"/>
  <c r="AF235" i="46"/>
  <c r="AF237" i="46" s="1"/>
  <c r="W245" i="46"/>
  <c r="W247" i="46" s="1"/>
  <c r="W291" i="46" s="1"/>
  <c r="AA265" i="46"/>
  <c r="AA267" i="46" s="1"/>
  <c r="AA295" i="46" s="1"/>
  <c r="AG270" i="46"/>
  <c r="AG272" i="46" s="1"/>
  <c r="AG296" i="46" s="1"/>
  <c r="T260" i="46"/>
  <c r="T262" i="46" s="1"/>
  <c r="T294" i="46" s="1"/>
  <c r="W150" i="21"/>
  <c r="W152" i="21"/>
  <c r="W151" i="21"/>
  <c r="AF280" i="46"/>
  <c r="AF282" i="46" s="1"/>
  <c r="AF298" i="46" s="1"/>
  <c r="AF365" i="46" s="1"/>
  <c r="AC245" i="46"/>
  <c r="AC247" i="46" s="1"/>
  <c r="AC291" i="46" s="1"/>
  <c r="J91" i="21"/>
  <c r="I87" i="21"/>
  <c r="J197" i="23"/>
  <c r="K195" i="23" s="1"/>
  <c r="L122" i="22"/>
  <c r="J260" i="46"/>
  <c r="I127" i="46"/>
  <c r="L114" i="21"/>
  <c r="J208" i="46"/>
  <c r="I208" i="46" s="1"/>
  <c r="I204" i="46"/>
  <c r="S143" i="21"/>
  <c r="S141" i="21"/>
  <c r="S142" i="21"/>
  <c r="W141" i="21"/>
  <c r="W142" i="21"/>
  <c r="W143" i="21"/>
  <c r="AG133" i="21"/>
  <c r="AG134" i="21"/>
  <c r="AG132" i="21"/>
  <c r="AA124" i="21"/>
  <c r="AA125" i="21"/>
  <c r="AA123" i="21"/>
  <c r="AA80" i="21"/>
  <c r="T280" i="46"/>
  <c r="T282" i="46" s="1"/>
  <c r="T298" i="46" s="1"/>
  <c r="J105" i="21"/>
  <c r="I105" i="21" s="1"/>
  <c r="I101" i="21"/>
  <c r="M245" i="46"/>
  <c r="M247" i="46" s="1"/>
  <c r="M291" i="46"/>
  <c r="Q280" i="46"/>
  <c r="Q282" i="46" s="1"/>
  <c r="Q298" i="46" s="1"/>
  <c r="AA133" i="21"/>
  <c r="AA134" i="21"/>
  <c r="AA132" i="21"/>
  <c r="R255" i="46"/>
  <c r="R257" i="46" s="1"/>
  <c r="R293" i="46" s="1"/>
  <c r="AD133" i="21"/>
  <c r="AD134" i="21"/>
  <c r="AD132" i="21"/>
  <c r="X124" i="21"/>
  <c r="X125" i="21"/>
  <c r="X80" i="21"/>
  <c r="X123" i="21"/>
  <c r="AF124" i="21"/>
  <c r="AF125" i="21"/>
  <c r="AF123" i="21"/>
  <c r="AF80" i="21"/>
  <c r="S123" i="21"/>
  <c r="S125" i="21"/>
  <c r="S80" i="21"/>
  <c r="S124" i="21"/>
  <c r="K275" i="46"/>
  <c r="K277" i="46" s="1"/>
  <c r="K297" i="46" s="1"/>
  <c r="J229" i="46"/>
  <c r="I229" i="46" s="1"/>
  <c r="J181" i="23"/>
  <c r="K179" i="23" s="1"/>
  <c r="K245" i="46"/>
  <c r="K247" i="46" s="1"/>
  <c r="K291" i="46" s="1"/>
  <c r="O245" i="46"/>
  <c r="O247" i="46" s="1"/>
  <c r="O291" i="46" s="1"/>
  <c r="P235" i="46"/>
  <c r="P237" i="46" s="1"/>
  <c r="P157" i="46"/>
  <c r="P275" i="46"/>
  <c r="P277" i="46" s="1"/>
  <c r="P297" i="46" s="1"/>
  <c r="Q265" i="46"/>
  <c r="Q267" i="46" s="1"/>
  <c r="Q295" i="46" s="1"/>
  <c r="K142" i="21"/>
  <c r="K141" i="21"/>
  <c r="K143" i="21"/>
  <c r="M265" i="46"/>
  <c r="M267" i="46" s="1"/>
  <c r="M295" i="46" s="1"/>
  <c r="V143" i="21"/>
  <c r="V141" i="21"/>
  <c r="V142" i="21"/>
  <c r="AD143" i="21"/>
  <c r="AD141" i="21"/>
  <c r="AD142" i="21"/>
  <c r="X134" i="21"/>
  <c r="X133" i="21"/>
  <c r="X132" i="21"/>
  <c r="O255" i="46"/>
  <c r="O257" i="46" s="1"/>
  <c r="O293" i="46" s="1"/>
  <c r="AE141" i="21"/>
  <c r="AE142" i="21"/>
  <c r="AE143" i="21"/>
  <c r="U124" i="21"/>
  <c r="U125" i="21"/>
  <c r="U123" i="21"/>
  <c r="U80" i="21"/>
  <c r="AC124" i="21"/>
  <c r="AC125" i="21"/>
  <c r="AC123" i="21"/>
  <c r="AC80" i="21"/>
  <c r="S150" i="21"/>
  <c r="S151" i="21"/>
  <c r="S152" i="21"/>
  <c r="R231" i="46"/>
  <c r="U141" i="21"/>
  <c r="U142" i="21"/>
  <c r="U143" i="21"/>
  <c r="V231" i="46"/>
  <c r="AC250" i="46"/>
  <c r="AC252" i="46" s="1"/>
  <c r="AC292" i="46" s="1"/>
  <c r="T231" i="46"/>
  <c r="AA250" i="46"/>
  <c r="AA252" i="46" s="1"/>
  <c r="AA292" i="46" s="1"/>
  <c r="AF255" i="46"/>
  <c r="AF257" i="46" s="1"/>
  <c r="AF293" i="46" s="1"/>
  <c r="I56" i="47"/>
  <c r="M154" i="22"/>
  <c r="J189" i="23"/>
  <c r="K187" i="23" s="1"/>
  <c r="J112" i="21"/>
  <c r="K134" i="21"/>
  <c r="K132" i="21"/>
  <c r="K133" i="21"/>
  <c r="L260" i="46"/>
  <c r="L262" i="46" s="1"/>
  <c r="L294" i="46" s="1"/>
  <c r="L152" i="21"/>
  <c r="L151" i="21"/>
  <c r="L150" i="21"/>
  <c r="M270" i="46"/>
  <c r="M272" i="46" s="1"/>
  <c r="M296" i="46" s="1"/>
  <c r="N260" i="46"/>
  <c r="N262" i="46" s="1"/>
  <c r="N294" i="46" s="1"/>
  <c r="N151" i="21"/>
  <c r="N150" i="21"/>
  <c r="N152" i="21"/>
  <c r="L231" i="46"/>
  <c r="O134" i="21"/>
  <c r="O132" i="21"/>
  <c r="O133" i="21"/>
  <c r="J250" i="46"/>
  <c r="I113" i="46"/>
  <c r="L270" i="46"/>
  <c r="L272" i="46" s="1"/>
  <c r="L296" i="46" s="1"/>
  <c r="N270" i="46"/>
  <c r="N272" i="46" s="1"/>
  <c r="N296" i="46" s="1"/>
  <c r="M123" i="21"/>
  <c r="M125" i="21"/>
  <c r="M80" i="21"/>
  <c r="M124" i="21"/>
  <c r="N245" i="46"/>
  <c r="N247" i="46" s="1"/>
  <c r="N291" i="46" s="1"/>
  <c r="O150" i="21"/>
  <c r="O151" i="21"/>
  <c r="O152" i="21"/>
  <c r="O270" i="46"/>
  <c r="O272" i="46" s="1"/>
  <c r="O296" i="46" s="1"/>
  <c r="Q150" i="21"/>
  <c r="Q151" i="21"/>
  <c r="Q152" i="21"/>
  <c r="W231" i="46"/>
  <c r="AA231" i="46"/>
  <c r="AE231" i="46"/>
  <c r="P260" i="46"/>
  <c r="P262" i="46" s="1"/>
  <c r="P294" i="46" s="1"/>
  <c r="V114" i="21"/>
  <c r="AD114" i="21"/>
  <c r="T255" i="46"/>
  <c r="T257" i="46" s="1"/>
  <c r="T293" i="46" s="1"/>
  <c r="V280" i="46"/>
  <c r="V282" i="46" s="1"/>
  <c r="V298" i="46" s="1"/>
  <c r="AD240" i="46"/>
  <c r="AD242" i="46" s="1"/>
  <c r="AD290" i="46" s="1"/>
  <c r="R133" i="21"/>
  <c r="R134" i="21"/>
  <c r="R132" i="21"/>
  <c r="S275" i="46"/>
  <c r="S277" i="46" s="1"/>
  <c r="S297" i="46" s="1"/>
  <c r="Z275" i="46"/>
  <c r="Z277" i="46" s="1"/>
  <c r="Z297" i="46" s="1"/>
  <c r="AB157" i="46"/>
  <c r="AB235" i="46"/>
  <c r="AB237" i="46" s="1"/>
  <c r="AB289" i="46" s="1"/>
  <c r="X240" i="46"/>
  <c r="X242" i="46" s="1"/>
  <c r="X290" i="46" s="1"/>
  <c r="AA141" i="21"/>
  <c r="AA143" i="21"/>
  <c r="AA142" i="21"/>
  <c r="W265" i="46"/>
  <c r="W267" i="46" s="1"/>
  <c r="W295" i="46" s="1"/>
  <c r="O18" i="22"/>
  <c r="J108" i="25"/>
  <c r="J28" i="25" s="1"/>
  <c r="J235" i="46"/>
  <c r="J157" i="46"/>
  <c r="I92" i="46"/>
  <c r="J173" i="46"/>
  <c r="I173" i="46" s="1"/>
  <c r="R125" i="21"/>
  <c r="R80" i="21"/>
  <c r="R124" i="21"/>
  <c r="R123" i="21"/>
  <c r="T143" i="21"/>
  <c r="T141" i="21"/>
  <c r="T142" i="21"/>
  <c r="AB143" i="21"/>
  <c r="AB141" i="21"/>
  <c r="AB142" i="21"/>
  <c r="V134" i="21"/>
  <c r="V132" i="21"/>
  <c r="V133" i="21"/>
  <c r="R275" i="46"/>
  <c r="R277" i="46" s="1"/>
  <c r="R297" i="46" s="1"/>
  <c r="R250" i="46"/>
  <c r="R252" i="46" s="1"/>
  <c r="R292" i="46" s="1"/>
  <c r="AC133" i="21"/>
  <c r="AC134" i="21"/>
  <c r="AC132" i="21"/>
  <c r="W124" i="21"/>
  <c r="W125" i="21"/>
  <c r="W123" i="21"/>
  <c r="W80" i="21"/>
  <c r="AE124" i="21"/>
  <c r="AE125" i="21"/>
  <c r="AE123" i="21"/>
  <c r="AE80" i="21"/>
  <c r="Q260" i="46"/>
  <c r="Q262" i="46" s="1"/>
  <c r="Q294" i="46" s="1"/>
  <c r="T240" i="46"/>
  <c r="T242" i="46" s="1"/>
  <c r="T290" i="46" s="1"/>
  <c r="AB280" i="46"/>
  <c r="AB282" i="46" s="1"/>
  <c r="AB298" i="46" s="1"/>
  <c r="V151" i="21"/>
  <c r="V152" i="21"/>
  <c r="V150" i="21"/>
  <c r="Z280" i="46"/>
  <c r="Z282" i="46" s="1"/>
  <c r="Z298" i="46"/>
  <c r="J149" i="23"/>
  <c r="K147" i="23" s="1"/>
  <c r="K31" i="25"/>
  <c r="M119" i="26"/>
  <c r="N320" i="1"/>
  <c r="N323" i="1" s="1"/>
  <c r="M137" i="22"/>
  <c r="I197" i="46"/>
  <c r="L133" i="21"/>
  <c r="L132" i="21"/>
  <c r="L134" i="21"/>
  <c r="O114" i="21"/>
  <c r="K240" i="46"/>
  <c r="K242" i="46" s="1"/>
  <c r="K290" i="46" s="1"/>
  <c r="P124" i="21"/>
  <c r="P80" i="21"/>
  <c r="P123" i="21"/>
  <c r="P125" i="21"/>
  <c r="W134" i="21"/>
  <c r="W133" i="21"/>
  <c r="W132" i="21"/>
  <c r="AE150" i="21"/>
  <c r="AE151" i="21"/>
  <c r="AE152" i="21"/>
  <c r="T124" i="21"/>
  <c r="T125" i="21"/>
  <c r="T123" i="21"/>
  <c r="T80" i="21"/>
  <c r="AB124" i="21"/>
  <c r="AB125" i="21"/>
  <c r="AB80" i="21"/>
  <c r="AB123" i="21"/>
  <c r="Q114" i="21"/>
  <c r="AF231" i="46"/>
  <c r="AD260" i="46"/>
  <c r="AD262" i="46" s="1"/>
  <c r="AD294" i="46" s="1"/>
  <c r="M105" i="22"/>
  <c r="I83" i="6"/>
  <c r="L53" i="22"/>
  <c r="O51" i="22"/>
  <c r="P314" i="1"/>
  <c r="P317" i="1" s="1"/>
  <c r="O126" i="26"/>
  <c r="I78" i="21"/>
  <c r="J41" i="35"/>
  <c r="N126" i="21" l="1"/>
  <c r="N161" i="21" s="1"/>
  <c r="R25" i="6"/>
  <c r="S25" i="6"/>
  <c r="T25" i="6" s="1"/>
  <c r="Z126" i="21"/>
  <c r="N308" i="1"/>
  <c r="N311" i="1" s="1"/>
  <c r="M130" i="26"/>
  <c r="V194" i="6"/>
  <c r="W195" i="6" s="1"/>
  <c r="W21" i="25" s="1"/>
  <c r="W74" i="26" s="1"/>
  <c r="L20" i="22"/>
  <c r="M19" i="22" s="1"/>
  <c r="M37" i="22" s="1"/>
  <c r="B122" i="46"/>
  <c r="B55" i="46"/>
  <c r="B196" i="46"/>
  <c r="AA135" i="21"/>
  <c r="AA23" i="44" s="1"/>
  <c r="AA31" i="44" s="1"/>
  <c r="AA32" i="26" s="1"/>
  <c r="AE126" i="21"/>
  <c r="AE161" i="21" s="1"/>
  <c r="O135" i="21"/>
  <c r="O23" i="44" s="1"/>
  <c r="O31" i="44" s="1"/>
  <c r="O32" i="26" s="1"/>
  <c r="R31" i="35" s="1"/>
  <c r="K343" i="46"/>
  <c r="K358" i="46" s="1"/>
  <c r="K342" i="46"/>
  <c r="K357" i="46" s="1"/>
  <c r="K26" i="26"/>
  <c r="N25" i="35" s="1"/>
  <c r="K346" i="46"/>
  <c r="K361" i="46" s="1"/>
  <c r="K336" i="46"/>
  <c r="K15" i="47" s="1"/>
  <c r="K341" i="46"/>
  <c r="K344" i="46"/>
  <c r="K359" i="46" s="1"/>
  <c r="K347" i="46"/>
  <c r="K362" i="46" s="1"/>
  <c r="K350" i="46"/>
  <c r="K365" i="46" s="1"/>
  <c r="K348" i="46"/>
  <c r="K363" i="46" s="1"/>
  <c r="I35" i="6"/>
  <c r="I18" i="6"/>
  <c r="R126" i="21"/>
  <c r="AA126" i="21"/>
  <c r="AA12" i="44" s="1"/>
  <c r="AA20" i="44" s="1"/>
  <c r="AA31" i="26" s="1"/>
  <c r="AD135" i="21"/>
  <c r="AD162" i="21" s="1"/>
  <c r="Q144" i="21"/>
  <c r="Q163" i="21" s="1"/>
  <c r="Z194" i="6"/>
  <c r="AA195" i="6" s="1"/>
  <c r="AA21" i="25" s="1"/>
  <c r="AA74" i="26" s="1"/>
  <c r="M144" i="21"/>
  <c r="M34" i="44" s="1"/>
  <c r="K43" i="6"/>
  <c r="X94" i="25"/>
  <c r="Y91" i="25"/>
  <c r="AG194" i="6"/>
  <c r="P144" i="21"/>
  <c r="P163" i="21" s="1"/>
  <c r="I41" i="6"/>
  <c r="L118" i="25"/>
  <c r="L119" i="25"/>
  <c r="L138" i="25"/>
  <c r="L139" i="25"/>
  <c r="L128" i="25"/>
  <c r="L129" i="25"/>
  <c r="K113" i="26"/>
  <c r="L35" i="22"/>
  <c r="L38" i="22" s="1"/>
  <c r="L164" i="22"/>
  <c r="L41" i="26" s="1"/>
  <c r="M131" i="26"/>
  <c r="N172" i="22"/>
  <c r="N175" i="22" s="1"/>
  <c r="K114" i="26"/>
  <c r="L120" i="22"/>
  <c r="L123" i="22" s="1"/>
  <c r="L114" i="26" s="1"/>
  <c r="I13" i="44"/>
  <c r="AE173" i="6"/>
  <c r="I131" i="6"/>
  <c r="K84" i="6"/>
  <c r="O194" i="6"/>
  <c r="P195" i="6" s="1"/>
  <c r="P21" i="25" s="1"/>
  <c r="P74" i="26" s="1"/>
  <c r="S23" i="38" s="1"/>
  <c r="AC194" i="6"/>
  <c r="AD195" i="6" s="1"/>
  <c r="AD21" i="25" s="1"/>
  <c r="AD74" i="26" s="1"/>
  <c r="N194" i="6"/>
  <c r="O195" i="6" s="1"/>
  <c r="O21" i="25" s="1"/>
  <c r="O74" i="26" s="1"/>
  <c r="R23" i="38" s="1"/>
  <c r="I82" i="6"/>
  <c r="L232" i="36"/>
  <c r="T194" i="6"/>
  <c r="U195" i="6" s="1"/>
  <c r="U21" i="25" s="1"/>
  <c r="U74" i="26" s="1"/>
  <c r="U194" i="6"/>
  <c r="V195" i="6" s="1"/>
  <c r="V21" i="25" s="1"/>
  <c r="V74" i="26" s="1"/>
  <c r="AE194" i="6"/>
  <c r="AF195" i="6" s="1"/>
  <c r="AF21" i="25" s="1"/>
  <c r="AF74" i="26" s="1"/>
  <c r="M194" i="6"/>
  <c r="N195" i="6" s="1"/>
  <c r="N21" i="25" s="1"/>
  <c r="N74" i="26" s="1"/>
  <c r="Q23" i="38" s="1"/>
  <c r="R153" i="21"/>
  <c r="R164" i="21" s="1"/>
  <c r="P135" i="21"/>
  <c r="T126" i="21"/>
  <c r="T161" i="21" s="1"/>
  <c r="AC126" i="21"/>
  <c r="AC12" i="44" s="1"/>
  <c r="AC20" i="44" s="1"/>
  <c r="AC31" i="26" s="1"/>
  <c r="O126" i="21"/>
  <c r="O161" i="21" s="1"/>
  <c r="Y135" i="21"/>
  <c r="Y23" i="44" s="1"/>
  <c r="Y31" i="44" s="1"/>
  <c r="Y32" i="26" s="1"/>
  <c r="M153" i="21"/>
  <c r="X153" i="21"/>
  <c r="I151" i="21"/>
  <c r="AD126" i="21"/>
  <c r="AD12" i="44" s="1"/>
  <c r="AD20" i="44" s="1"/>
  <c r="U153" i="21"/>
  <c r="U45" i="44" s="1"/>
  <c r="U53" i="44" s="1"/>
  <c r="U34" i="26" s="1"/>
  <c r="I152" i="21"/>
  <c r="K144" i="21"/>
  <c r="K163" i="21" s="1"/>
  <c r="S153" i="21"/>
  <c r="AF144" i="21"/>
  <c r="AF163" i="21" s="1"/>
  <c r="Y126" i="21"/>
  <c r="Y12" i="44" s="1"/>
  <c r="Y20" i="44" s="1"/>
  <c r="AE135" i="21"/>
  <c r="AF153" i="21"/>
  <c r="AF45" i="44" s="1"/>
  <c r="AF53" i="44" s="1"/>
  <c r="AF34" i="26" s="1"/>
  <c r="AB135" i="21"/>
  <c r="J39" i="26"/>
  <c r="N99" i="23"/>
  <c r="N19" i="26"/>
  <c r="N183" i="23"/>
  <c r="N22" i="6"/>
  <c r="N26" i="6" s="1"/>
  <c r="N80" i="24"/>
  <c r="N92" i="24"/>
  <c r="N311" i="46"/>
  <c r="Y15" i="24"/>
  <c r="X74" i="24"/>
  <c r="J153" i="23"/>
  <c r="J156" i="23" s="1"/>
  <c r="L122" i="23"/>
  <c r="L24" i="26" s="1"/>
  <c r="O23" i="35" s="1"/>
  <c r="V14" i="35"/>
  <c r="M21" i="35"/>
  <c r="M30" i="6"/>
  <c r="M36" i="44"/>
  <c r="M148" i="6" s="1"/>
  <c r="M173" i="6" s="1"/>
  <c r="M82" i="24"/>
  <c r="M39" i="26" s="1"/>
  <c r="P38" i="35" s="1"/>
  <c r="M325" i="46"/>
  <c r="M42" i="6"/>
  <c r="M45" i="6" s="1"/>
  <c r="M95" i="24"/>
  <c r="J122" i="23"/>
  <c r="I115" i="23"/>
  <c r="J111" i="6"/>
  <c r="J121" i="6"/>
  <c r="K89" i="6"/>
  <c r="J89" i="6"/>
  <c r="L89" i="6"/>
  <c r="L126" i="6"/>
  <c r="L18" i="25" s="1"/>
  <c r="L71" i="26" s="1"/>
  <c r="O20" i="38" s="1"/>
  <c r="L122" i="6"/>
  <c r="AA14" i="35"/>
  <c r="M119" i="23"/>
  <c r="M122" i="23" s="1"/>
  <c r="M24" i="26" s="1"/>
  <c r="P23" i="35" s="1"/>
  <c r="M109" i="23"/>
  <c r="P18" i="35"/>
  <c r="M22" i="26"/>
  <c r="I23" i="6"/>
  <c r="J148" i="6"/>
  <c r="J333" i="46"/>
  <c r="J95" i="6"/>
  <c r="O77" i="24"/>
  <c r="P18" i="24"/>
  <c r="O21" i="24"/>
  <c r="K182" i="6"/>
  <c r="K178" i="6"/>
  <c r="W308" i="46"/>
  <c r="W159" i="23"/>
  <c r="W160" i="23" s="1"/>
  <c r="W16" i="26"/>
  <c r="W19" i="6"/>
  <c r="W87" i="23"/>
  <c r="W89" i="24"/>
  <c r="J13" i="47"/>
  <c r="J49" i="6"/>
  <c r="K49" i="6"/>
  <c r="K13" i="47"/>
  <c r="AA19" i="35"/>
  <c r="I120" i="23"/>
  <c r="K122" i="23"/>
  <c r="K24" i="26" s="1"/>
  <c r="N23" i="35" s="1"/>
  <c r="K349" i="46"/>
  <c r="K364" i="46" s="1"/>
  <c r="K345" i="46"/>
  <c r="K360" i="46" s="1"/>
  <c r="V85" i="6"/>
  <c r="J84" i="6"/>
  <c r="K111" i="6"/>
  <c r="K117" i="6" s="1"/>
  <c r="K121" i="6"/>
  <c r="J38" i="6"/>
  <c r="L38" i="6"/>
  <c r="K38" i="6"/>
  <c r="I37" i="6"/>
  <c r="L43" i="6"/>
  <c r="N21" i="35"/>
  <c r="V19" i="35"/>
  <c r="M88" i="6"/>
  <c r="M91" i="6" s="1"/>
  <c r="M314" i="46"/>
  <c r="I87" i="6"/>
  <c r="L49" i="6"/>
  <c r="L13" i="47"/>
  <c r="L333" i="46"/>
  <c r="L95" i="6"/>
  <c r="Q314" i="1"/>
  <c r="Q317" i="1" s="1"/>
  <c r="P126" i="26"/>
  <c r="I157" i="46"/>
  <c r="P18" i="22"/>
  <c r="J252" i="46"/>
  <c r="I252" i="46" s="1"/>
  <c r="I250" i="46"/>
  <c r="I112" i="21"/>
  <c r="J45" i="44"/>
  <c r="J164" i="21"/>
  <c r="AF284" i="46"/>
  <c r="AF286" i="46" s="1"/>
  <c r="R194" i="6"/>
  <c r="S195" i="6" s="1"/>
  <c r="S21" i="25" s="1"/>
  <c r="S74" i="26" s="1"/>
  <c r="AG299" i="46"/>
  <c r="AG356" i="46"/>
  <c r="T299" i="46"/>
  <c r="V284" i="46"/>
  <c r="V286" i="46" s="1"/>
  <c r="I125" i="21"/>
  <c r="AC144" i="21"/>
  <c r="L161" i="23"/>
  <c r="L164" i="23" s="1"/>
  <c r="O103" i="22"/>
  <c r="Q299" i="46"/>
  <c r="I134" i="21"/>
  <c r="K299" i="46"/>
  <c r="K356" i="46"/>
  <c r="I150" i="21"/>
  <c r="I143" i="21"/>
  <c r="W299" i="46"/>
  <c r="M284" i="46"/>
  <c r="M286" i="46" s="1"/>
  <c r="AD299" i="46"/>
  <c r="AB126" i="21"/>
  <c r="W135" i="21"/>
  <c r="L135" i="21"/>
  <c r="N119" i="26"/>
  <c r="O320" i="1"/>
  <c r="O323" i="1" s="1"/>
  <c r="K83" i="26"/>
  <c r="V135" i="21"/>
  <c r="J237" i="46"/>
  <c r="I235" i="46"/>
  <c r="AB299" i="46"/>
  <c r="Q153" i="21"/>
  <c r="O153" i="21"/>
  <c r="M126" i="21"/>
  <c r="O162" i="21"/>
  <c r="N153" i="21"/>
  <c r="L153" i="21"/>
  <c r="K135" i="21"/>
  <c r="AD144" i="21"/>
  <c r="P284" i="46"/>
  <c r="P286" i="46" s="1"/>
  <c r="W144" i="21"/>
  <c r="S144" i="21"/>
  <c r="J262" i="46"/>
  <c r="I262" i="46" s="1"/>
  <c r="I260" i="46"/>
  <c r="J114" i="21"/>
  <c r="I91" i="21"/>
  <c r="T153" i="21"/>
  <c r="K169" i="23"/>
  <c r="K172" i="23" s="1"/>
  <c r="L149" i="25"/>
  <c r="L147" i="25"/>
  <c r="W194" i="6"/>
  <c r="X195" i="6" s="1"/>
  <c r="X21" i="25" s="1"/>
  <c r="X74" i="26" s="1"/>
  <c r="M94" i="25"/>
  <c r="N91" i="25"/>
  <c r="Z161" i="21"/>
  <c r="AG284" i="46"/>
  <c r="AG286" i="46" s="1"/>
  <c r="AC284" i="46"/>
  <c r="AC286" i="46" s="1"/>
  <c r="U299" i="46"/>
  <c r="AG153" i="21"/>
  <c r="O299" i="46"/>
  <c r="L299" i="46"/>
  <c r="O135" i="22"/>
  <c r="L129" i="23"/>
  <c r="L132" i="23" s="1"/>
  <c r="T284" i="46"/>
  <c r="T286" i="46" s="1"/>
  <c r="K153" i="21"/>
  <c r="I124" i="21"/>
  <c r="I123" i="21"/>
  <c r="J126" i="21"/>
  <c r="J12" i="44" s="1"/>
  <c r="Z153" i="21"/>
  <c r="Z135" i="21"/>
  <c r="AF34" i="44"/>
  <c r="X144" i="21"/>
  <c r="N299" i="46"/>
  <c r="Q284" i="46"/>
  <c r="Q286" i="46" s="1"/>
  <c r="Q135" i="21"/>
  <c r="I132" i="21"/>
  <c r="J135" i="21"/>
  <c r="J242" i="46"/>
  <c r="I240" i="46"/>
  <c r="J247" i="46"/>
  <c r="I245" i="46"/>
  <c r="O144" i="21"/>
  <c r="K284" i="46"/>
  <c r="K286" i="46" s="1"/>
  <c r="S194" i="6"/>
  <c r="S135" i="21"/>
  <c r="J277" i="46"/>
  <c r="I277" i="46" s="1"/>
  <c r="I275" i="46"/>
  <c r="I141" i="21"/>
  <c r="J144" i="21"/>
  <c r="J163" i="21" s="1"/>
  <c r="Y144" i="21"/>
  <c r="L141" i="23"/>
  <c r="M139" i="23" s="1"/>
  <c r="W284" i="46"/>
  <c r="W286" i="46" s="1"/>
  <c r="AC153" i="21"/>
  <c r="M135" i="21"/>
  <c r="AD284" i="46"/>
  <c r="S299" i="46"/>
  <c r="P51" i="22"/>
  <c r="Q194" i="6"/>
  <c r="R195" i="6" s="1"/>
  <c r="R21" i="25" s="1"/>
  <c r="R74" i="26" s="1"/>
  <c r="U23" i="38" s="1"/>
  <c r="V153" i="21"/>
  <c r="W126" i="21"/>
  <c r="AB144" i="21"/>
  <c r="J43" i="26"/>
  <c r="M42" i="35" s="1"/>
  <c r="J81" i="26"/>
  <c r="M30" i="38" s="1"/>
  <c r="AA144" i="21"/>
  <c r="AB284" i="46"/>
  <c r="AB286" i="46" s="1"/>
  <c r="R135" i="21"/>
  <c r="AE144" i="21"/>
  <c r="X135" i="21"/>
  <c r="V144" i="21"/>
  <c r="K177" i="23"/>
  <c r="K180" i="23" s="1"/>
  <c r="S126" i="21"/>
  <c r="AF126" i="21"/>
  <c r="AA161" i="21"/>
  <c r="AG135" i="21"/>
  <c r="L194" i="6"/>
  <c r="M195" i="6" s="1"/>
  <c r="M21" i="25" s="1"/>
  <c r="M74" i="26" s="1"/>
  <c r="P23" i="38" s="1"/>
  <c r="W153" i="21"/>
  <c r="Q126" i="21"/>
  <c r="P194" i="6"/>
  <c r="Q195" i="6" s="1"/>
  <c r="Q21" i="25" s="1"/>
  <c r="Q74" i="26" s="1"/>
  <c r="T23" i="38" s="1"/>
  <c r="J282" i="46"/>
  <c r="I280" i="46"/>
  <c r="P153" i="21"/>
  <c r="L95" i="25"/>
  <c r="L110" i="25" s="1"/>
  <c r="AA153" i="21"/>
  <c r="AF135" i="21"/>
  <c r="Y299" i="46"/>
  <c r="Y153" i="21"/>
  <c r="O284" i="46"/>
  <c r="N136" i="22"/>
  <c r="R299" i="46"/>
  <c r="I80" i="21"/>
  <c r="L144" i="21"/>
  <c r="AG126" i="21"/>
  <c r="Z144" i="21"/>
  <c r="X25" i="38"/>
  <c r="Y25" i="38"/>
  <c r="W25" i="38"/>
  <c r="M25" i="38"/>
  <c r="V25" i="38" s="1"/>
  <c r="I76" i="26"/>
  <c r="Z25" i="38"/>
  <c r="X299" i="46"/>
  <c r="AF194" i="6"/>
  <c r="AG195" i="6" s="1"/>
  <c r="AG21" i="25" s="1"/>
  <c r="AG74" i="26" s="1"/>
  <c r="I142" i="21"/>
  <c r="AA194" i="6"/>
  <c r="AB195" i="6" s="1"/>
  <c r="AB21" i="25" s="1"/>
  <c r="AB74" i="26" s="1"/>
  <c r="R144" i="21"/>
  <c r="K126" i="21"/>
  <c r="J257" i="46"/>
  <c r="I257" i="46" s="1"/>
  <c r="I255" i="46"/>
  <c r="AE356" i="46"/>
  <c r="AE299" i="46"/>
  <c r="AA299" i="46"/>
  <c r="U135" i="21"/>
  <c r="J272" i="46"/>
  <c r="I270" i="46"/>
  <c r="Z299" i="46"/>
  <c r="AD286" i="46"/>
  <c r="AD153" i="21"/>
  <c r="S284" i="46"/>
  <c r="S286" i="46" s="1"/>
  <c r="N135" i="21"/>
  <c r="N79" i="22"/>
  <c r="M52" i="22"/>
  <c r="AE153" i="21"/>
  <c r="P126" i="21"/>
  <c r="K145" i="23"/>
  <c r="K148" i="23" s="1"/>
  <c r="AC135" i="21"/>
  <c r="T144" i="21"/>
  <c r="AD194" i="6"/>
  <c r="AE195" i="6" s="1"/>
  <c r="AE21" i="25" s="1"/>
  <c r="AE74" i="26" s="1"/>
  <c r="K185" i="23"/>
  <c r="K188" i="23" s="1"/>
  <c r="U144" i="21"/>
  <c r="U126" i="21"/>
  <c r="P289" i="46"/>
  <c r="X126" i="21"/>
  <c r="K193" i="23"/>
  <c r="K196" i="23" s="1"/>
  <c r="AF289" i="46"/>
  <c r="AB153" i="21"/>
  <c r="N12" i="44"/>
  <c r="N20" i="44" s="1"/>
  <c r="L126" i="21"/>
  <c r="Z12" i="44"/>
  <c r="Z20" i="44" s="1"/>
  <c r="AC289" i="46"/>
  <c r="Y284" i="46"/>
  <c r="Y286" i="46" s="1"/>
  <c r="U284" i="46"/>
  <c r="U286" i="46" s="1"/>
  <c r="O286" i="46"/>
  <c r="L284" i="46"/>
  <c r="L286" i="46" s="1"/>
  <c r="V289" i="46"/>
  <c r="R284" i="46"/>
  <c r="R286" i="46" s="1"/>
  <c r="AG144" i="21"/>
  <c r="N284" i="46"/>
  <c r="N286" i="46" s="1"/>
  <c r="O67" i="6"/>
  <c r="N104" i="22"/>
  <c r="N105" i="22" s="1"/>
  <c r="K201" i="23"/>
  <c r="K204" i="23" s="1"/>
  <c r="K205" i="23" s="1"/>
  <c r="L203" i="23" s="1"/>
  <c r="I133" i="21"/>
  <c r="T135" i="21"/>
  <c r="N144" i="21"/>
  <c r="X284" i="46"/>
  <c r="X286" i="46" s="1"/>
  <c r="X194" i="6"/>
  <c r="Y195" i="6" s="1"/>
  <c r="Y21" i="25" s="1"/>
  <c r="Y74" i="26" s="1"/>
  <c r="M152" i="22"/>
  <c r="M155" i="22" s="1"/>
  <c r="L115" i="26"/>
  <c r="J267" i="46"/>
  <c r="I267" i="46" s="1"/>
  <c r="I265" i="46"/>
  <c r="J231" i="46"/>
  <c r="I231" i="46" s="1"/>
  <c r="I166" i="46"/>
  <c r="V126" i="21"/>
  <c r="AE284" i="46"/>
  <c r="AE286" i="46" s="1"/>
  <c r="AA284" i="46"/>
  <c r="AA286" i="46" s="1"/>
  <c r="M289" i="46"/>
  <c r="S77" i="22"/>
  <c r="Z284" i="46"/>
  <c r="Z286" i="46" s="1"/>
  <c r="J46" i="35"/>
  <c r="J48" i="35" s="1"/>
  <c r="J49" i="35" s="1"/>
  <c r="K49" i="35" s="1"/>
  <c r="L49" i="35" s="1"/>
  <c r="AA162" i="21" l="1"/>
  <c r="U25" i="6"/>
  <c r="W25" i="6" s="1"/>
  <c r="X25" i="6" s="1"/>
  <c r="M120" i="22"/>
  <c r="M20" i="22"/>
  <c r="N19" i="22" s="1"/>
  <c r="N37" i="22" s="1"/>
  <c r="T12" i="44"/>
  <c r="T20" i="44" s="1"/>
  <c r="M163" i="21"/>
  <c r="AD161" i="21"/>
  <c r="Y161" i="21"/>
  <c r="I43" i="6"/>
  <c r="N130" i="26"/>
  <c r="O308" i="1"/>
  <c r="O311" i="1" s="1"/>
  <c r="AE12" i="44"/>
  <c r="AE20" i="44" s="1"/>
  <c r="K116" i="26"/>
  <c r="J294" i="46"/>
  <c r="B203" i="46"/>
  <c r="B62" i="46"/>
  <c r="B129" i="46"/>
  <c r="P34" i="44"/>
  <c r="J34" i="44"/>
  <c r="J42" i="44" s="1"/>
  <c r="U164" i="21"/>
  <c r="Y162" i="21"/>
  <c r="Q34" i="44"/>
  <c r="O12" i="44"/>
  <c r="O20" i="44" s="1"/>
  <c r="O31" i="26" s="1"/>
  <c r="K34" i="44"/>
  <c r="K42" i="44" s="1"/>
  <c r="K33" i="26" s="1"/>
  <c r="N32" i="35" s="1"/>
  <c r="R45" i="44"/>
  <c r="R53" i="44" s="1"/>
  <c r="R34" i="26" s="1"/>
  <c r="U33" i="35" s="1"/>
  <c r="K351" i="46"/>
  <c r="K352" i="46" s="1"/>
  <c r="AD23" i="44"/>
  <c r="AD31" i="44" s="1"/>
  <c r="AD32" i="26" s="1"/>
  <c r="Y94" i="25"/>
  <c r="Z91" i="25"/>
  <c r="R12" i="44"/>
  <c r="R20" i="44" s="1"/>
  <c r="R31" i="26" s="1"/>
  <c r="U30" i="35" s="1"/>
  <c r="R161" i="21"/>
  <c r="V25" i="6"/>
  <c r="L141" i="25"/>
  <c r="M135" i="25"/>
  <c r="L145" i="26"/>
  <c r="L121" i="25"/>
  <c r="L131" i="25"/>
  <c r="M115" i="25"/>
  <c r="L143" i="26"/>
  <c r="L144" i="26"/>
  <c r="M125" i="25"/>
  <c r="AA25" i="38"/>
  <c r="N131" i="26"/>
  <c r="O172" i="22"/>
  <c r="O175" i="22" s="1"/>
  <c r="L113" i="26"/>
  <c r="L116" i="26" s="1"/>
  <c r="M35" i="22"/>
  <c r="M38" i="22" s="1"/>
  <c r="AE178" i="6"/>
  <c r="AE182" i="6"/>
  <c r="J295" i="46"/>
  <c r="I295" i="46" s="1"/>
  <c r="I89" i="6"/>
  <c r="AB162" i="21"/>
  <c r="AB23" i="44"/>
  <c r="AB31" i="44" s="1"/>
  <c r="AB32" i="26" s="1"/>
  <c r="X164" i="21"/>
  <c r="X45" i="44"/>
  <c r="X53" i="44" s="1"/>
  <c r="X34" i="26" s="1"/>
  <c r="M45" i="44"/>
  <c r="M53" i="44" s="1"/>
  <c r="M34" i="26" s="1"/>
  <c r="P33" i="35" s="1"/>
  <c r="M164" i="21"/>
  <c r="AC161" i="21"/>
  <c r="AF164" i="21"/>
  <c r="I153" i="21"/>
  <c r="AE162" i="21"/>
  <c r="AE23" i="44"/>
  <c r="AE31" i="44" s="1"/>
  <c r="AE32" i="26" s="1"/>
  <c r="S164" i="21"/>
  <c r="S45" i="44"/>
  <c r="S53" i="44" s="1"/>
  <c r="S34" i="26" s="1"/>
  <c r="P23" i="44"/>
  <c r="P31" i="44" s="1"/>
  <c r="P32" i="26" s="1"/>
  <c r="S31" i="35" s="1"/>
  <c r="P162" i="21"/>
  <c r="M16" i="25"/>
  <c r="M69" i="26" s="1"/>
  <c r="P18" i="38" s="1"/>
  <c r="M96" i="6"/>
  <c r="I38" i="6"/>
  <c r="W39" i="6"/>
  <c r="P21" i="35"/>
  <c r="M22" i="47"/>
  <c r="M50" i="6"/>
  <c r="J117" i="6"/>
  <c r="M13" i="47"/>
  <c r="M49" i="6"/>
  <c r="M178" i="6"/>
  <c r="M182" i="6"/>
  <c r="Y74" i="24"/>
  <c r="Z15" i="24"/>
  <c r="N82" i="24"/>
  <c r="N39" i="26" s="1"/>
  <c r="Q38" i="35" s="1"/>
  <c r="N325" i="46"/>
  <c r="N36" i="44"/>
  <c r="N30" i="6"/>
  <c r="N119" i="23"/>
  <c r="N109" i="23"/>
  <c r="M38" i="35"/>
  <c r="K366" i="46"/>
  <c r="M333" i="46"/>
  <c r="M95" i="6"/>
  <c r="K126" i="6"/>
  <c r="K18" i="25" s="1"/>
  <c r="K71" i="26" s="1"/>
  <c r="N20" i="38" s="1"/>
  <c r="K122" i="6"/>
  <c r="I84" i="6"/>
  <c r="M11" i="25"/>
  <c r="M61" i="26" s="1"/>
  <c r="P10" i="38" s="1"/>
  <c r="O22" i="6"/>
  <c r="O26" i="6" s="1"/>
  <c r="O19" i="26"/>
  <c r="O99" i="23"/>
  <c r="O183" i="23"/>
  <c r="O184" i="23" s="1"/>
  <c r="O92" i="24"/>
  <c r="O311" i="46"/>
  <c r="O80" i="24"/>
  <c r="X308" i="46"/>
  <c r="X159" i="23"/>
  <c r="X19" i="6"/>
  <c r="X16" i="26"/>
  <c r="X89" i="24"/>
  <c r="X87" i="23"/>
  <c r="N42" i="6"/>
  <c r="N45" i="6" s="1"/>
  <c r="N11" i="25" s="1"/>
  <c r="N61" i="26" s="1"/>
  <c r="Q10" i="38" s="1"/>
  <c r="N95" i="24"/>
  <c r="Q18" i="35"/>
  <c r="Q21" i="35" s="1"/>
  <c r="N22" i="26"/>
  <c r="W116" i="23"/>
  <c r="W85" i="6"/>
  <c r="J173" i="6"/>
  <c r="J157" i="23"/>
  <c r="K155" i="23" s="1"/>
  <c r="J210" i="23"/>
  <c r="N31" i="6"/>
  <c r="L26" i="26"/>
  <c r="O25" i="35" s="1"/>
  <c r="L341" i="46"/>
  <c r="L348" i="46"/>
  <c r="L363" i="46" s="1"/>
  <c r="L346" i="46"/>
  <c r="L361" i="46" s="1"/>
  <c r="L345" i="46"/>
  <c r="L360" i="46" s="1"/>
  <c r="L342" i="46"/>
  <c r="L357" i="46" s="1"/>
  <c r="L344" i="46"/>
  <c r="L359" i="46" s="1"/>
  <c r="L343" i="46"/>
  <c r="L358" i="46" s="1"/>
  <c r="L347" i="46"/>
  <c r="L362" i="46" s="1"/>
  <c r="L349" i="46"/>
  <c r="L364" i="46" s="1"/>
  <c r="L350" i="46"/>
  <c r="L365" i="46" s="1"/>
  <c r="L336" i="46"/>
  <c r="L15" i="47" s="1"/>
  <c r="Q18" i="24"/>
  <c r="P77" i="24"/>
  <c r="P21" i="24"/>
  <c r="J344" i="46"/>
  <c r="J341" i="46"/>
  <c r="J346" i="46"/>
  <c r="J349" i="46"/>
  <c r="J342" i="46"/>
  <c r="J343" i="46"/>
  <c r="J26" i="26"/>
  <c r="J345" i="46"/>
  <c r="J336" i="46"/>
  <c r="J350" i="46"/>
  <c r="J348" i="46"/>
  <c r="J347" i="46"/>
  <c r="J24" i="26"/>
  <c r="M42" i="44"/>
  <c r="M33" i="26" s="1"/>
  <c r="P32" i="35" s="1"/>
  <c r="M111" i="6"/>
  <c r="M117" i="6" s="1"/>
  <c r="M121" i="6"/>
  <c r="N88" i="6"/>
  <c r="N91" i="6" s="1"/>
  <c r="N314" i="46"/>
  <c r="N184" i="23"/>
  <c r="L201" i="23"/>
  <c r="L204" i="23" s="1"/>
  <c r="L205" i="23" s="1"/>
  <c r="M203" i="23" s="1"/>
  <c r="L20" i="25"/>
  <c r="L73" i="26" s="1"/>
  <c r="O22" i="38" s="1"/>
  <c r="L25" i="26"/>
  <c r="L160" i="21"/>
  <c r="AC25" i="26"/>
  <c r="AC20" i="25"/>
  <c r="AC73" i="26" s="1"/>
  <c r="AC160" i="21"/>
  <c r="P25" i="26"/>
  <c r="P20" i="25"/>
  <c r="P73" i="26" s="1"/>
  <c r="S22" i="38" s="1"/>
  <c r="P160" i="21"/>
  <c r="AA25" i="26"/>
  <c r="AA20" i="25"/>
  <c r="AA73" i="26" s="1"/>
  <c r="AA160" i="21"/>
  <c r="AE25" i="26"/>
  <c r="AE160" i="21"/>
  <c r="AE20" i="25"/>
  <c r="AE73" i="26" s="1"/>
  <c r="T25" i="26"/>
  <c r="T20" i="25"/>
  <c r="T73" i="26" s="1"/>
  <c r="T160" i="21"/>
  <c r="AE31" i="26"/>
  <c r="T31" i="26"/>
  <c r="N162" i="21"/>
  <c r="N23" i="44"/>
  <c r="N31" i="44" s="1"/>
  <c r="N32" i="26" s="1"/>
  <c r="Q31" i="35" s="1"/>
  <c r="AD25" i="26"/>
  <c r="AD20" i="25"/>
  <c r="AD73" i="26" s="1"/>
  <c r="AD160" i="21"/>
  <c r="U162" i="21"/>
  <c r="U23" i="44"/>
  <c r="U31" i="44" s="1"/>
  <c r="U32" i="26" s="1"/>
  <c r="R163" i="21"/>
  <c r="R34" i="44"/>
  <c r="AG155" i="21"/>
  <c r="AG161" i="21"/>
  <c r="AG12" i="44"/>
  <c r="AG20" i="44" s="1"/>
  <c r="Q25" i="26"/>
  <c r="Q20" i="25"/>
  <c r="Q73" i="26" s="1"/>
  <c r="T22" i="38" s="1"/>
  <c r="Q160" i="21"/>
  <c r="N154" i="22"/>
  <c r="U25" i="26"/>
  <c r="U20" i="25"/>
  <c r="U73" i="26" s="1"/>
  <c r="U160" i="21"/>
  <c r="X23" i="44"/>
  <c r="X31" i="44" s="1"/>
  <c r="X32" i="26" s="1"/>
  <c r="X162" i="21"/>
  <c r="R23" i="44"/>
  <c r="R31" i="44" s="1"/>
  <c r="R162" i="21"/>
  <c r="V25" i="26"/>
  <c r="V20" i="25"/>
  <c r="V73" i="26" s="1"/>
  <c r="V160" i="21"/>
  <c r="N94" i="25"/>
  <c r="O91" i="25"/>
  <c r="L31" i="25"/>
  <c r="AF25" i="26"/>
  <c r="AF20" i="25"/>
  <c r="AF73" i="26" s="1"/>
  <c r="AF160" i="21"/>
  <c r="L45" i="44"/>
  <c r="L53" i="44" s="1"/>
  <c r="L34" i="26" s="1"/>
  <c r="O33" i="35" s="1"/>
  <c r="L164" i="21"/>
  <c r="O45" i="44"/>
  <c r="O53" i="44" s="1"/>
  <c r="O34" i="26" s="1"/>
  <c r="R33" i="35" s="1"/>
  <c r="O164" i="21"/>
  <c r="Z25" i="26"/>
  <c r="Z20" i="25"/>
  <c r="Z73" i="26" s="1"/>
  <c r="Z160" i="21"/>
  <c r="X25" i="26"/>
  <c r="X160" i="21"/>
  <c r="X20" i="25"/>
  <c r="X73" i="26" s="1"/>
  <c r="R20" i="25"/>
  <c r="R73" i="26" s="1"/>
  <c r="U22" i="38" s="1"/>
  <c r="R25" i="26"/>
  <c r="R160" i="21"/>
  <c r="Y25" i="26"/>
  <c r="Y20" i="25"/>
  <c r="Y73" i="26" s="1"/>
  <c r="Y160" i="21"/>
  <c r="Q18" i="22"/>
  <c r="V155" i="21"/>
  <c r="V12" i="44"/>
  <c r="V20" i="44" s="1"/>
  <c r="V161" i="21"/>
  <c r="M115" i="26"/>
  <c r="N152" i="22"/>
  <c r="T162" i="21"/>
  <c r="T23" i="44"/>
  <c r="T31" i="44" s="1"/>
  <c r="T32" i="26" s="1"/>
  <c r="AG163" i="21"/>
  <c r="AG34" i="44"/>
  <c r="O20" i="25"/>
  <c r="O73" i="26" s="1"/>
  <c r="R22" i="38" s="1"/>
  <c r="O25" i="26"/>
  <c r="O160" i="21"/>
  <c r="Z31" i="26"/>
  <c r="AB45" i="44"/>
  <c r="AB53" i="44" s="1"/>
  <c r="AB34" i="26" s="1"/>
  <c r="AB164" i="21"/>
  <c r="O40" i="35"/>
  <c r="K189" i="23"/>
  <c r="L187" i="23" s="1"/>
  <c r="M122" i="22"/>
  <c r="M123" i="22" s="1"/>
  <c r="M164" i="22"/>
  <c r="I272" i="46"/>
  <c r="J296" i="46"/>
  <c r="W25" i="26"/>
  <c r="W20" i="25"/>
  <c r="W73" i="26" s="1"/>
  <c r="W160" i="21"/>
  <c r="K155" i="21"/>
  <c r="K12" i="44"/>
  <c r="K20" i="44" s="1"/>
  <c r="K161" i="21"/>
  <c r="Z163" i="21"/>
  <c r="Z34" i="44"/>
  <c r="L163" i="21"/>
  <c r="L34" i="44"/>
  <c r="L42" i="44" s="1"/>
  <c r="L33" i="26" s="1"/>
  <c r="O32" i="35" s="1"/>
  <c r="N20" i="25"/>
  <c r="N73" i="26" s="1"/>
  <c r="Q22" i="38" s="1"/>
  <c r="N25" i="26"/>
  <c r="N160" i="21"/>
  <c r="AG25" i="26"/>
  <c r="AG160" i="21"/>
  <c r="AG20" i="25"/>
  <c r="AG73" i="26" s="1"/>
  <c r="AA164" i="21"/>
  <c r="AA45" i="44"/>
  <c r="AA53" i="44" s="1"/>
  <c r="AA34" i="26" s="1"/>
  <c r="P164" i="21"/>
  <c r="P45" i="44"/>
  <c r="P53" i="44" s="1"/>
  <c r="P34" i="26" s="1"/>
  <c r="S33" i="35" s="1"/>
  <c r="AE163" i="21"/>
  <c r="AE34" i="44"/>
  <c r="R155" i="21"/>
  <c r="N137" i="22"/>
  <c r="M20" i="25"/>
  <c r="M73" i="26" s="1"/>
  <c r="P22" i="38" s="1"/>
  <c r="M25" i="26"/>
  <c r="M160" i="21"/>
  <c r="J293" i="46"/>
  <c r="S23" i="44"/>
  <c r="S31" i="44" s="1"/>
  <c r="S32" i="26" s="1"/>
  <c r="S162" i="21"/>
  <c r="Q23" i="44"/>
  <c r="Q31" i="44" s="1"/>
  <c r="Q32" i="26" s="1"/>
  <c r="T31" i="35" s="1"/>
  <c r="Q162" i="21"/>
  <c r="Z23" i="44"/>
  <c r="Z31" i="44" s="1"/>
  <c r="Z32" i="26" s="1"/>
  <c r="Z162" i="21"/>
  <c r="P135" i="22"/>
  <c r="M95" i="25"/>
  <c r="M110" i="25" s="1"/>
  <c r="T45" i="44"/>
  <c r="T53" i="44" s="1"/>
  <c r="T34" i="26" s="1"/>
  <c r="T164" i="21"/>
  <c r="W34" i="44"/>
  <c r="W163" i="21"/>
  <c r="N164" i="21"/>
  <c r="N45" i="44"/>
  <c r="N53" i="44" s="1"/>
  <c r="N34" i="26" s="1"/>
  <c r="Q33" i="35" s="1"/>
  <c r="Q45" i="44"/>
  <c r="Q53" i="44" s="1"/>
  <c r="Q34" i="26" s="1"/>
  <c r="T33" i="35" s="1"/>
  <c r="Q164" i="21"/>
  <c r="P320" i="1"/>
  <c r="P323" i="1" s="1"/>
  <c r="O119" i="26"/>
  <c r="W23" i="44"/>
  <c r="W31" i="44" s="1"/>
  <c r="W32" i="26" s="1"/>
  <c r="W162" i="21"/>
  <c r="S25" i="26"/>
  <c r="S20" i="25"/>
  <c r="S73" i="26" s="1"/>
  <c r="S160" i="21"/>
  <c r="P103" i="22"/>
  <c r="L165" i="23"/>
  <c r="M163" i="23" s="1"/>
  <c r="Z155" i="21"/>
  <c r="T155" i="21"/>
  <c r="M299" i="46"/>
  <c r="AD31" i="26"/>
  <c r="Y31" i="26"/>
  <c r="I294" i="46"/>
  <c r="J292" i="46"/>
  <c r="T34" i="44"/>
  <c r="T163" i="21"/>
  <c r="K149" i="23"/>
  <c r="L147" i="23" s="1"/>
  <c r="P155" i="21"/>
  <c r="P161" i="21"/>
  <c r="P12" i="44"/>
  <c r="P20" i="44" s="1"/>
  <c r="M53" i="22"/>
  <c r="AF162" i="21"/>
  <c r="AF23" i="44"/>
  <c r="AF31" i="44" s="1"/>
  <c r="AF32" i="26" s="1"/>
  <c r="Q155" i="21"/>
  <c r="Q12" i="44"/>
  <c r="Q20" i="44" s="1"/>
  <c r="Q161" i="21"/>
  <c r="AF155" i="21"/>
  <c r="AF161" i="21"/>
  <c r="AF12" i="44"/>
  <c r="AF20" i="44" s="1"/>
  <c r="K181" i="23"/>
  <c r="L179" i="23" s="1"/>
  <c r="AB163" i="21"/>
  <c r="AB34" i="44"/>
  <c r="M137" i="23"/>
  <c r="M140" i="23" s="1"/>
  <c r="M141" i="23" s="1"/>
  <c r="N139" i="23" s="1"/>
  <c r="T195" i="6"/>
  <c r="T21" i="25" s="1"/>
  <c r="T74" i="26" s="1"/>
  <c r="O34" i="44"/>
  <c r="O163" i="21"/>
  <c r="I247" i="46"/>
  <c r="J291" i="46"/>
  <c r="I242" i="46"/>
  <c r="J290" i="46"/>
  <c r="Z45" i="44"/>
  <c r="Z53" i="44" s="1"/>
  <c r="Z34" i="26" s="1"/>
  <c r="Z164" i="21"/>
  <c r="K173" i="23"/>
  <c r="L171" i="23" s="1"/>
  <c r="AA155" i="21"/>
  <c r="AD34" i="44"/>
  <c r="AD163" i="21"/>
  <c r="K162" i="21"/>
  <c r="K23" i="44"/>
  <c r="K31" i="44" s="1"/>
  <c r="K32" i="26" s="1"/>
  <c r="N31" i="35" s="1"/>
  <c r="L23" i="44"/>
  <c r="L31" i="44" s="1"/>
  <c r="L32" i="26" s="1"/>
  <c r="O31" i="35" s="1"/>
  <c r="L162" i="21"/>
  <c r="O104" i="22"/>
  <c r="O105" i="22" s="1"/>
  <c r="AC34" i="44"/>
  <c r="AC163" i="21"/>
  <c r="J53" i="44"/>
  <c r="Q126" i="26"/>
  <c r="R314" i="1"/>
  <c r="R317" i="1" s="1"/>
  <c r="T77" i="22"/>
  <c r="J20" i="44"/>
  <c r="V299" i="46"/>
  <c r="L155" i="21"/>
  <c r="L161" i="21"/>
  <c r="L12" i="44"/>
  <c r="L20" i="44" s="1"/>
  <c r="AF299" i="46"/>
  <c r="AF356" i="46"/>
  <c r="K197" i="23"/>
  <c r="L195" i="23" s="1"/>
  <c r="P299" i="46"/>
  <c r="U163" i="21"/>
  <c r="U34" i="44"/>
  <c r="AC23" i="44"/>
  <c r="AC31" i="44" s="1"/>
  <c r="AC162" i="21"/>
  <c r="AE164" i="21"/>
  <c r="AE45" i="44"/>
  <c r="AE53" i="44" s="1"/>
  <c r="AE34" i="26" s="1"/>
  <c r="O78" i="22"/>
  <c r="AD164" i="21"/>
  <c r="AD45" i="44"/>
  <c r="AD53" i="44" s="1"/>
  <c r="AD34" i="26" s="1"/>
  <c r="P67" i="6"/>
  <c r="Y164" i="21"/>
  <c r="Y45" i="44"/>
  <c r="Y53" i="44" s="1"/>
  <c r="Y34" i="26" s="1"/>
  <c r="I282" i="46"/>
  <c r="J298" i="46"/>
  <c r="AG23" i="44"/>
  <c r="AG31" i="44" s="1"/>
  <c r="AG32" i="26" s="1"/>
  <c r="AG162" i="21"/>
  <c r="S155" i="21"/>
  <c r="S12" i="44"/>
  <c r="S20" i="44" s="1"/>
  <c r="S161" i="21"/>
  <c r="V163" i="21"/>
  <c r="V34" i="44"/>
  <c r="AA163" i="21"/>
  <c r="AA34" i="44"/>
  <c r="V164" i="21"/>
  <c r="V45" i="44"/>
  <c r="V53" i="44" s="1"/>
  <c r="V34" i="26" s="1"/>
  <c r="M162" i="21"/>
  <c r="M23" i="44"/>
  <c r="M31" i="44" s="1"/>
  <c r="M32" i="26" s="1"/>
  <c r="P31" i="35" s="1"/>
  <c r="AC45" i="44"/>
  <c r="AC53" i="44" s="1"/>
  <c r="AC34" i="26" s="1"/>
  <c r="AC164" i="21"/>
  <c r="Y34" i="44"/>
  <c r="Y163" i="21"/>
  <c r="I144" i="21"/>
  <c r="I135" i="21"/>
  <c r="J23" i="44"/>
  <c r="J162" i="21"/>
  <c r="X34" i="44"/>
  <c r="X163" i="21"/>
  <c r="J155" i="21"/>
  <c r="I126" i="21"/>
  <c r="J161" i="21"/>
  <c r="L133" i="23"/>
  <c r="M131" i="23" s="1"/>
  <c r="AG45" i="44"/>
  <c r="AG53" i="44" s="1"/>
  <c r="AG34" i="26" s="1"/>
  <c r="AG164" i="21"/>
  <c r="N155" i="21"/>
  <c r="M145" i="25"/>
  <c r="L141" i="26"/>
  <c r="O155" i="21"/>
  <c r="J194" i="6"/>
  <c r="I114" i="21"/>
  <c r="AC155" i="21"/>
  <c r="M155" i="21"/>
  <c r="M12" i="44"/>
  <c r="M20" i="44" s="1"/>
  <c r="M161" i="21"/>
  <c r="V23" i="44"/>
  <c r="V31" i="44" s="1"/>
  <c r="V32" i="26" s="1"/>
  <c r="V162" i="21"/>
  <c r="N32" i="38"/>
  <c r="AB155" i="21"/>
  <c r="AB161" i="21"/>
  <c r="AB12" i="44"/>
  <c r="AB20" i="44" s="1"/>
  <c r="AD155" i="21"/>
  <c r="J297" i="46"/>
  <c r="Y155" i="21"/>
  <c r="AE155" i="21"/>
  <c r="N163" i="21"/>
  <c r="N34" i="44"/>
  <c r="AC299" i="46"/>
  <c r="N31" i="26"/>
  <c r="X155" i="21"/>
  <c r="X12" i="44"/>
  <c r="X20" i="44" s="1"/>
  <c r="X161" i="21"/>
  <c r="U155" i="21"/>
  <c r="U12" i="44"/>
  <c r="U20" i="44" s="1"/>
  <c r="U161" i="21"/>
  <c r="AB25" i="26"/>
  <c r="AB20" i="25"/>
  <c r="AB73" i="26" s="1"/>
  <c r="AB160" i="21"/>
  <c r="K20" i="25"/>
  <c r="K73" i="26" s="1"/>
  <c r="N22" i="38" s="1"/>
  <c r="K25" i="26"/>
  <c r="K160" i="21"/>
  <c r="W164" i="21"/>
  <c r="W45" i="44"/>
  <c r="W53" i="44" s="1"/>
  <c r="W34" i="26" s="1"/>
  <c r="W155" i="21"/>
  <c r="W161" i="21"/>
  <c r="W12" i="44"/>
  <c r="W20" i="44" s="1"/>
  <c r="Q51" i="22"/>
  <c r="K45" i="44"/>
  <c r="K53" i="44" s="1"/>
  <c r="K34" i="26" s="1"/>
  <c r="N33" i="35" s="1"/>
  <c r="K164" i="21"/>
  <c r="S34" i="44"/>
  <c r="S163" i="21"/>
  <c r="J284" i="46"/>
  <c r="I284" i="46" s="1"/>
  <c r="I237" i="46"/>
  <c r="J289" i="46"/>
  <c r="N20" i="22" l="1"/>
  <c r="O19" i="22" s="1"/>
  <c r="O20" i="22" s="1"/>
  <c r="J361" i="46"/>
  <c r="P308" i="1"/>
  <c r="P311" i="1" s="1"/>
  <c r="O130" i="26"/>
  <c r="B210" i="46"/>
  <c r="B69" i="46"/>
  <c r="B136" i="46"/>
  <c r="AF165" i="21"/>
  <c r="AD165" i="21"/>
  <c r="K165" i="21"/>
  <c r="L243" i="36"/>
  <c r="I163" i="21"/>
  <c r="Z94" i="25"/>
  <c r="AA91" i="25"/>
  <c r="M118" i="25"/>
  <c r="M119" i="25"/>
  <c r="M129" i="25"/>
  <c r="M128" i="25"/>
  <c r="M138" i="25"/>
  <c r="M139" i="25"/>
  <c r="N35" i="22"/>
  <c r="N38" i="22" s="1"/>
  <c r="M113" i="26"/>
  <c r="P172" i="22"/>
  <c r="P175" i="22" s="1"/>
  <c r="O131" i="26"/>
  <c r="S165" i="21"/>
  <c r="X165" i="21"/>
  <c r="J243" i="36"/>
  <c r="AB165" i="21"/>
  <c r="L242" i="36"/>
  <c r="I164" i="21"/>
  <c r="AG165" i="21"/>
  <c r="T165" i="21"/>
  <c r="M122" i="6"/>
  <c r="M126" i="6"/>
  <c r="M18" i="25" s="1"/>
  <c r="M71" i="26" s="1"/>
  <c r="P20" i="38" s="1"/>
  <c r="M23" i="35"/>
  <c r="Q77" i="24"/>
  <c r="Q21" i="24"/>
  <c r="R18" i="24"/>
  <c r="J211" i="23"/>
  <c r="J72" i="6"/>
  <c r="N148" i="6"/>
  <c r="Z74" i="24"/>
  <c r="AA15" i="24"/>
  <c r="N333" i="46"/>
  <c r="N95" i="6"/>
  <c r="J215" i="23"/>
  <c r="J216" i="23" s="1"/>
  <c r="J14" i="47" s="1"/>
  <c r="L351" i="46"/>
  <c r="L352" i="46" s="1"/>
  <c r="L356" i="46"/>
  <c r="L366" i="46" s="1"/>
  <c r="K153" i="23"/>
  <c r="K156" i="23" s="1"/>
  <c r="K210" i="23" s="1"/>
  <c r="K72" i="6" s="1"/>
  <c r="N13" i="47"/>
  <c r="N49" i="6"/>
  <c r="X116" i="23"/>
  <c r="X160" i="23"/>
  <c r="O82" i="24"/>
  <c r="O325" i="46"/>
  <c r="O36" i="44"/>
  <c r="O148" i="6" s="1"/>
  <c r="O173" i="6" s="1"/>
  <c r="O30" i="6"/>
  <c r="O119" i="23"/>
  <c r="O109" i="23"/>
  <c r="M336" i="46"/>
  <c r="M15" i="47" s="1"/>
  <c r="M26" i="26"/>
  <c r="P25" i="35" s="1"/>
  <c r="M350" i="46"/>
  <c r="M365" i="46" s="1"/>
  <c r="M344" i="46"/>
  <c r="M359" i="46" s="1"/>
  <c r="M343" i="46"/>
  <c r="M358" i="46" s="1"/>
  <c r="M348" i="46"/>
  <c r="M363" i="46" s="1"/>
  <c r="M342" i="46"/>
  <c r="M357" i="46" s="1"/>
  <c r="M346" i="46"/>
  <c r="M361" i="46" s="1"/>
  <c r="M349" i="46"/>
  <c r="M364" i="46" s="1"/>
  <c r="M347" i="46"/>
  <c r="M362" i="46" s="1"/>
  <c r="M345" i="46"/>
  <c r="M360" i="46" s="1"/>
  <c r="M341" i="46"/>
  <c r="N122" i="23"/>
  <c r="N111" i="6"/>
  <c r="N117" i="6" s="1"/>
  <c r="N121" i="6"/>
  <c r="Y308" i="46"/>
  <c r="Y19" i="6"/>
  <c r="Y159" i="23"/>
  <c r="Y160" i="23" s="1"/>
  <c r="Y87" i="23"/>
  <c r="Y16" i="26"/>
  <c r="Y89" i="24"/>
  <c r="N42" i="44"/>
  <c r="N33" i="26" s="1"/>
  <c r="Q32" i="35" s="1"/>
  <c r="N16" i="25"/>
  <c r="N69" i="26" s="1"/>
  <c r="Q18" i="38" s="1"/>
  <c r="N96" i="6"/>
  <c r="M25" i="35"/>
  <c r="N50" i="6"/>
  <c r="N22" i="47"/>
  <c r="X39" i="6"/>
  <c r="X85" i="6"/>
  <c r="O88" i="6"/>
  <c r="O91" i="6" s="1"/>
  <c r="O314" i="46"/>
  <c r="R18" i="35"/>
  <c r="R21" i="35" s="1"/>
  <c r="O22" i="26"/>
  <c r="J362" i="46"/>
  <c r="J15" i="47"/>
  <c r="J351" i="46"/>
  <c r="P183" i="23"/>
  <c r="P184" i="23" s="1"/>
  <c r="P99" i="23"/>
  <c r="P22" i="6"/>
  <c r="P26" i="6" s="1"/>
  <c r="P311" i="46"/>
  <c r="P19" i="26"/>
  <c r="P92" i="24"/>
  <c r="P80" i="24"/>
  <c r="J182" i="6"/>
  <c r="J178" i="6"/>
  <c r="O42" i="6"/>
  <c r="O45" i="6" s="1"/>
  <c r="O95" i="24"/>
  <c r="O31" i="6"/>
  <c r="J126" i="6"/>
  <c r="J122" i="6"/>
  <c r="P104" i="22"/>
  <c r="P105" i="22" s="1"/>
  <c r="Q104" i="22" s="1"/>
  <c r="AD157" i="21"/>
  <c r="I162" i="21"/>
  <c r="L241" i="36"/>
  <c r="J241" i="36"/>
  <c r="AC32" i="26"/>
  <c r="L157" i="21"/>
  <c r="L19" i="25"/>
  <c r="L72" i="26" s="1"/>
  <c r="O21" i="38" s="1"/>
  <c r="I12" i="44"/>
  <c r="J34" i="26"/>
  <c r="I53" i="44"/>
  <c r="L177" i="23"/>
  <c r="L180" i="23" s="1"/>
  <c r="P157" i="21"/>
  <c r="J359" i="46"/>
  <c r="I292" i="46"/>
  <c r="M114" i="26"/>
  <c r="N120" i="22"/>
  <c r="Q103" i="22"/>
  <c r="P24" i="35"/>
  <c r="Q24" i="35"/>
  <c r="R18" i="22"/>
  <c r="AG31" i="26"/>
  <c r="N24" i="35"/>
  <c r="N26" i="35" s="1"/>
  <c r="K27" i="26"/>
  <c r="K28" i="26" s="1"/>
  <c r="U157" i="21"/>
  <c r="AB157" i="21"/>
  <c r="M149" i="25"/>
  <c r="M147" i="25"/>
  <c r="O79" i="22"/>
  <c r="AF31" i="26"/>
  <c r="L145" i="23"/>
  <c r="L148" i="23" s="1"/>
  <c r="L149" i="23" s="1"/>
  <c r="M147" i="23" s="1"/>
  <c r="K68" i="44"/>
  <c r="K72" i="44" s="1"/>
  <c r="K31" i="26"/>
  <c r="O165" i="21"/>
  <c r="V31" i="26"/>
  <c r="I289" i="46"/>
  <c r="J299" i="46"/>
  <c r="I299" i="46" s="1"/>
  <c r="J356" i="46"/>
  <c r="R51" i="22"/>
  <c r="W157" i="21"/>
  <c r="R30" i="35"/>
  <c r="X31" i="26"/>
  <c r="I297" i="46"/>
  <c r="J364" i="46"/>
  <c r="AB31" i="26"/>
  <c r="M31" i="26"/>
  <c r="M68" i="44"/>
  <c r="M72" i="44" s="1"/>
  <c r="AC157" i="21"/>
  <c r="O157" i="21"/>
  <c r="I155" i="21"/>
  <c r="J157" i="21"/>
  <c r="S157" i="21"/>
  <c r="S314" i="1"/>
  <c r="S317" i="1" s="1"/>
  <c r="R126" i="26"/>
  <c r="I45" i="44"/>
  <c r="L169" i="23"/>
  <c r="L172" i="23" s="1"/>
  <c r="L173" i="23" s="1"/>
  <c r="M171" i="23" s="1"/>
  <c r="I291" i="46"/>
  <c r="J358" i="46"/>
  <c r="O266" i="36"/>
  <c r="M58" i="6"/>
  <c r="AF19" i="25"/>
  <c r="AF72" i="26" s="1"/>
  <c r="AF157" i="21"/>
  <c r="Q31" i="26"/>
  <c r="N52" i="22"/>
  <c r="N53" i="22" s="1"/>
  <c r="T157" i="21"/>
  <c r="P119" i="26"/>
  <c r="Q320" i="1"/>
  <c r="Q323" i="1" s="1"/>
  <c r="J242" i="36"/>
  <c r="M165" i="21"/>
  <c r="R157" i="21"/>
  <c r="N165" i="21"/>
  <c r="W165" i="21"/>
  <c r="M41" i="26"/>
  <c r="N155" i="22"/>
  <c r="Y165" i="21"/>
  <c r="U24" i="35"/>
  <c r="Z165" i="21"/>
  <c r="P19" i="22"/>
  <c r="V165" i="21"/>
  <c r="R32" i="26"/>
  <c r="U165" i="21"/>
  <c r="T24" i="35"/>
  <c r="AA165" i="21"/>
  <c r="P165" i="21"/>
  <c r="AC165" i="21"/>
  <c r="O24" i="35"/>
  <c r="O26" i="35" s="1"/>
  <c r="L27" i="26"/>
  <c r="L28" i="26" s="1"/>
  <c r="U31" i="26"/>
  <c r="X157" i="21"/>
  <c r="M157" i="21"/>
  <c r="M19" i="25"/>
  <c r="M72" i="26" s="1"/>
  <c r="P21" i="38" s="1"/>
  <c r="M129" i="23"/>
  <c r="M132" i="23" s="1"/>
  <c r="Q67" i="6"/>
  <c r="Q157" i="21"/>
  <c r="I34" i="44"/>
  <c r="L185" i="23"/>
  <c r="L188" i="23" s="1"/>
  <c r="W31" i="26"/>
  <c r="L240" i="36"/>
  <c r="I161" i="21"/>
  <c r="J240" i="36"/>
  <c r="J31" i="44"/>
  <c r="J68" i="44" s="1"/>
  <c r="I23" i="44"/>
  <c r="J31" i="26"/>
  <c r="I20" i="44"/>
  <c r="U77" i="22"/>
  <c r="AA157" i="21"/>
  <c r="J357" i="46"/>
  <c r="I290" i="46"/>
  <c r="J33" i="26"/>
  <c r="Z157" i="21"/>
  <c r="L83" i="26"/>
  <c r="O94" i="25"/>
  <c r="P91" i="25"/>
  <c r="Q165" i="21"/>
  <c r="AE165" i="21"/>
  <c r="S24" i="35"/>
  <c r="M201" i="23"/>
  <c r="M204" i="23" s="1"/>
  <c r="Q30" i="35"/>
  <c r="AE157" i="21"/>
  <c r="AE19" i="25"/>
  <c r="AE72" i="26" s="1"/>
  <c r="Y157" i="21"/>
  <c r="K195" i="6"/>
  <c r="G194" i="6"/>
  <c r="J196" i="6"/>
  <c r="N157" i="21"/>
  <c r="S31" i="26"/>
  <c r="I298" i="46"/>
  <c r="J365" i="46"/>
  <c r="L193" i="23"/>
  <c r="L196" i="23" s="1"/>
  <c r="L31" i="26"/>
  <c r="L68" i="44"/>
  <c r="L72" i="44" s="1"/>
  <c r="J286" i="46"/>
  <c r="N137" i="23"/>
  <c r="N140" i="23" s="1"/>
  <c r="N58" i="6" s="1"/>
  <c r="P31" i="26"/>
  <c r="M161" i="23"/>
  <c r="M164" i="23" s="1"/>
  <c r="M165" i="23" s="1"/>
  <c r="N163" i="23" s="1"/>
  <c r="Q135" i="22"/>
  <c r="J360" i="46"/>
  <c r="I293" i="46"/>
  <c r="O136" i="22"/>
  <c r="O137" i="22" s="1"/>
  <c r="K157" i="21"/>
  <c r="K19" i="25"/>
  <c r="K72" i="26" s="1"/>
  <c r="N21" i="38" s="1"/>
  <c r="I296" i="46"/>
  <c r="J363" i="46"/>
  <c r="R24" i="35"/>
  <c r="V157" i="21"/>
  <c r="R165" i="21"/>
  <c r="O37" i="22"/>
  <c r="N95" i="25"/>
  <c r="N110" i="25" s="1"/>
  <c r="Y25" i="6"/>
  <c r="AG157" i="21"/>
  <c r="AG19" i="25"/>
  <c r="AG72" i="26" s="1"/>
  <c r="L165" i="21"/>
  <c r="P130" i="26" l="1"/>
  <c r="Q308" i="1"/>
  <c r="Q311" i="1" s="1"/>
  <c r="B76" i="46"/>
  <c r="B143" i="46"/>
  <c r="B217" i="46"/>
  <c r="K215" i="23"/>
  <c r="N68" i="44"/>
  <c r="N72" i="44" s="1"/>
  <c r="N177" i="6" s="1"/>
  <c r="O42" i="44"/>
  <c r="O33" i="26" s="1"/>
  <c r="AA94" i="25"/>
  <c r="AB91" i="25"/>
  <c r="M131" i="25"/>
  <c r="N115" i="25"/>
  <c r="M143" i="26"/>
  <c r="M141" i="25"/>
  <c r="N135" i="25"/>
  <c r="M145" i="26"/>
  <c r="N125" i="25"/>
  <c r="M144" i="26"/>
  <c r="M121" i="25"/>
  <c r="O35" i="22"/>
  <c r="O38" i="22" s="1"/>
  <c r="O113" i="26" s="1"/>
  <c r="N113" i="26"/>
  <c r="Q172" i="22"/>
  <c r="Q175" i="22" s="1"/>
  <c r="P131" i="26"/>
  <c r="Q35" i="35"/>
  <c r="N36" i="26"/>
  <c r="P26" i="35"/>
  <c r="P28" i="35" s="1"/>
  <c r="J123" i="6"/>
  <c r="K120" i="6" s="1"/>
  <c r="K123" i="6" s="1"/>
  <c r="L120" i="6" s="1"/>
  <c r="L123" i="6" s="1"/>
  <c r="M120" i="6" s="1"/>
  <c r="M123" i="6" s="1"/>
  <c r="N120" i="6" s="1"/>
  <c r="O13" i="47"/>
  <c r="O49" i="6"/>
  <c r="P42" i="6"/>
  <c r="P45" i="6" s="1"/>
  <c r="P95" i="24"/>
  <c r="P119" i="23"/>
  <c r="P109" i="23"/>
  <c r="Y116" i="23"/>
  <c r="O122" i="23"/>
  <c r="O24" i="26" s="1"/>
  <c r="O111" i="6"/>
  <c r="O121" i="6"/>
  <c r="Z308" i="46"/>
  <c r="Z87" i="23"/>
  <c r="Z159" i="23"/>
  <c r="Z160" i="23" s="1"/>
  <c r="Z19" i="6"/>
  <c r="Z16" i="26"/>
  <c r="Z89" i="24"/>
  <c r="K209" i="23"/>
  <c r="K211" i="23" s="1"/>
  <c r="L209" i="23" s="1"/>
  <c r="J118" i="26"/>
  <c r="J18" i="25"/>
  <c r="O50" i="6"/>
  <c r="O22" i="47"/>
  <c r="S18" i="35"/>
  <c r="S21" i="35" s="1"/>
  <c r="P22" i="26"/>
  <c r="Y39" i="6"/>
  <c r="N24" i="26"/>
  <c r="O39" i="26"/>
  <c r="K157" i="23"/>
  <c r="L155" i="23" s="1"/>
  <c r="R77" i="24"/>
  <c r="S18" i="24"/>
  <c r="R21" i="24"/>
  <c r="J19" i="25"/>
  <c r="J72" i="26" s="1"/>
  <c r="O11" i="25"/>
  <c r="O61" i="26" s="1"/>
  <c r="R10" i="38" s="1"/>
  <c r="P88" i="6"/>
  <c r="P91" i="6" s="1"/>
  <c r="P314" i="46"/>
  <c r="J352" i="46"/>
  <c r="O333" i="46"/>
  <c r="O95" i="6"/>
  <c r="N122" i="6"/>
  <c r="N126" i="6"/>
  <c r="N18" i="25" s="1"/>
  <c r="N71" i="26" s="1"/>
  <c r="Q20" i="38" s="1"/>
  <c r="M351" i="46"/>
  <c r="M352" i="46" s="1"/>
  <c r="M356" i="46"/>
  <c r="M366" i="46" s="1"/>
  <c r="AA74" i="24"/>
  <c r="AB15" i="24"/>
  <c r="N173" i="6"/>
  <c r="M27" i="26"/>
  <c r="M28" i="26" s="1"/>
  <c r="M29" i="26" s="1"/>
  <c r="P82" i="24"/>
  <c r="P39" i="26" s="1"/>
  <c r="S38" i="35" s="1"/>
  <c r="P325" i="46"/>
  <c r="P36" i="44"/>
  <c r="P30" i="6"/>
  <c r="P31" i="6"/>
  <c r="O96" i="6"/>
  <c r="O16" i="25"/>
  <c r="O69" i="26" s="1"/>
  <c r="R18" i="38" s="1"/>
  <c r="Y85" i="6"/>
  <c r="O182" i="6"/>
  <c r="O19" i="25" s="1"/>
  <c r="O72" i="26" s="1"/>
  <c r="R21" i="38" s="1"/>
  <c r="O178" i="6"/>
  <c r="N336" i="46"/>
  <c r="N15" i="47" s="1"/>
  <c r="N26" i="26"/>
  <c r="N348" i="46"/>
  <c r="N363" i="46" s="1"/>
  <c r="N349" i="46"/>
  <c r="N364" i="46" s="1"/>
  <c r="N342" i="46"/>
  <c r="N341" i="46"/>
  <c r="N350" i="46"/>
  <c r="N345" i="46"/>
  <c r="N344" i="46"/>
  <c r="N347" i="46"/>
  <c r="N362" i="46" s="1"/>
  <c r="N343" i="46"/>
  <c r="N346" i="46"/>
  <c r="Q19" i="26"/>
  <c r="Q183" i="23"/>
  <c r="Q184" i="23" s="1"/>
  <c r="Q22" i="6"/>
  <c r="Q26" i="6" s="1"/>
  <c r="Q80" i="24"/>
  <c r="Q92" i="24"/>
  <c r="Q311" i="46"/>
  <c r="Q99" i="23"/>
  <c r="P136" i="22"/>
  <c r="P154" i="22" s="1"/>
  <c r="R135" i="22"/>
  <c r="S30" i="35"/>
  <c r="L177" i="6"/>
  <c r="L73" i="44"/>
  <c r="L16" i="47" s="1"/>
  <c r="O28" i="35"/>
  <c r="O27" i="35"/>
  <c r="N122" i="22"/>
  <c r="N123" i="22" s="1"/>
  <c r="N164" i="22"/>
  <c r="K36" i="26"/>
  <c r="K37" i="26" s="1"/>
  <c r="K42" i="26" s="1"/>
  <c r="N30" i="35"/>
  <c r="N35" i="35" s="1"/>
  <c r="M145" i="23"/>
  <c r="M148" i="23" s="1"/>
  <c r="M59" i="6" s="1"/>
  <c r="N145" i="25"/>
  <c r="M141" i="26"/>
  <c r="K29" i="26"/>
  <c r="M33" i="35"/>
  <c r="V33" i="35" s="1"/>
  <c r="W33" i="35"/>
  <c r="Y33" i="35"/>
  <c r="I34" i="26"/>
  <c r="X33" i="35"/>
  <c r="Z33" i="35"/>
  <c r="Z25" i="6"/>
  <c r="K193" i="6"/>
  <c r="K196" i="6" s="1"/>
  <c r="J132" i="26"/>
  <c r="O95" i="25"/>
  <c r="O110" i="25" s="1"/>
  <c r="V77" i="22"/>
  <c r="J72" i="44"/>
  <c r="N161" i="23"/>
  <c r="N164" i="23" s="1"/>
  <c r="N61" i="6" s="1"/>
  <c r="J20" i="25"/>
  <c r="J25" i="26"/>
  <c r="G299" i="46"/>
  <c r="J160" i="21"/>
  <c r="I286" i="46"/>
  <c r="L36" i="26"/>
  <c r="L37" i="26" s="1"/>
  <c r="L42" i="26" s="1"/>
  <c r="O30" i="35"/>
  <c r="O35" i="35" s="1"/>
  <c r="M66" i="6"/>
  <c r="M32" i="35"/>
  <c r="M30" i="35"/>
  <c r="X30" i="35"/>
  <c r="W30" i="35"/>
  <c r="Y30" i="35"/>
  <c r="I31" i="26"/>
  <c r="Z30" i="35"/>
  <c r="J32" i="26"/>
  <c r="I31" i="44"/>
  <c r="U31" i="35"/>
  <c r="P37" i="22"/>
  <c r="P40" i="35"/>
  <c r="R320" i="1"/>
  <c r="R323" i="1" s="1"/>
  <c r="Q119" i="26"/>
  <c r="O52" i="22"/>
  <c r="M169" i="23"/>
  <c r="M172" i="23" s="1"/>
  <c r="M62" i="6" s="1"/>
  <c r="S126" i="26"/>
  <c r="T314" i="1"/>
  <c r="T317" i="1" s="1"/>
  <c r="M177" i="6"/>
  <c r="M73" i="44"/>
  <c r="M16" i="47" s="1"/>
  <c r="J366" i="46"/>
  <c r="K216" i="23"/>
  <c r="K177" i="6"/>
  <c r="K73" i="44"/>
  <c r="K16" i="47" s="1"/>
  <c r="M31" i="25"/>
  <c r="N28" i="35"/>
  <c r="N27" i="35"/>
  <c r="Q105" i="22"/>
  <c r="R104" i="22" s="1"/>
  <c r="M61" i="6"/>
  <c r="K21" i="25"/>
  <c r="G195" i="6"/>
  <c r="M205" i="23"/>
  <c r="N203" i="23" s="1"/>
  <c r="O32" i="38"/>
  <c r="L189" i="23"/>
  <c r="M187" i="23" s="1"/>
  <c r="R67" i="6"/>
  <c r="M57" i="6"/>
  <c r="P20" i="22"/>
  <c r="T30" i="35"/>
  <c r="M36" i="26"/>
  <c r="P30" i="35"/>
  <c r="P35" i="35" s="1"/>
  <c r="S18" i="22"/>
  <c r="M116" i="26"/>
  <c r="L181" i="23"/>
  <c r="M179" i="23" s="1"/>
  <c r="O154" i="22"/>
  <c r="N141" i="23"/>
  <c r="O139" i="23" s="1"/>
  <c r="L197" i="23"/>
  <c r="M195" i="23" s="1"/>
  <c r="L266" i="36"/>
  <c r="P94" i="25"/>
  <c r="P95" i="25" s="1"/>
  <c r="P110" i="25" s="1"/>
  <c r="Q91" i="25"/>
  <c r="M133" i="23"/>
  <c r="N131" i="23" s="1"/>
  <c r="L29" i="26"/>
  <c r="N115" i="26"/>
  <c r="O152" i="22"/>
  <c r="I157" i="21"/>
  <c r="S51" i="22"/>
  <c r="P78" i="22"/>
  <c r="P79" i="22" s="1"/>
  <c r="R103" i="22"/>
  <c r="Q130" i="26" l="1"/>
  <c r="R308" i="1"/>
  <c r="R311" i="1" s="1"/>
  <c r="O155" i="22"/>
  <c r="P152" i="22" s="1"/>
  <c r="P155" i="22" s="1"/>
  <c r="N73" i="44"/>
  <c r="N16" i="47" s="1"/>
  <c r="B150" i="46"/>
  <c r="B224" i="46"/>
  <c r="O68" i="44"/>
  <c r="O72" i="44" s="1"/>
  <c r="O73" i="44" s="1"/>
  <c r="O16" i="47" s="1"/>
  <c r="P27" i="35"/>
  <c r="P36" i="35" s="1"/>
  <c r="P41" i="35" s="1"/>
  <c r="K118" i="26"/>
  <c r="AB94" i="25"/>
  <c r="AC91" i="25"/>
  <c r="N128" i="25"/>
  <c r="N129" i="25"/>
  <c r="N138" i="25"/>
  <c r="N139" i="25"/>
  <c r="N118" i="25"/>
  <c r="N119" i="25"/>
  <c r="P35" i="22"/>
  <c r="P38" i="22" s="1"/>
  <c r="Q35" i="22" s="1"/>
  <c r="P137" i="22"/>
  <c r="Q131" i="26"/>
  <c r="R172" i="22"/>
  <c r="R175" i="22" s="1"/>
  <c r="M37" i="26"/>
  <c r="M42" i="26" s="1"/>
  <c r="N36" i="35"/>
  <c r="N41" i="35" s="1"/>
  <c r="O36" i="35"/>
  <c r="O41" i="35" s="1"/>
  <c r="Q119" i="23"/>
  <c r="Q109" i="23"/>
  <c r="Q31" i="6"/>
  <c r="N361" i="46"/>
  <c r="N360" i="46"/>
  <c r="AA308" i="46"/>
  <c r="AA159" i="23"/>
  <c r="AA160" i="23" s="1"/>
  <c r="AA16" i="26"/>
  <c r="AA19" i="6"/>
  <c r="AA89" i="24"/>
  <c r="AA87" i="23"/>
  <c r="P16" i="25"/>
  <c r="P69" i="26" s="1"/>
  <c r="S18" i="38" s="1"/>
  <c r="P96" i="6"/>
  <c r="S77" i="24"/>
  <c r="T18" i="24"/>
  <c r="S21" i="24"/>
  <c r="Q23" i="35"/>
  <c r="N27" i="26"/>
  <c r="N28" i="26" s="1"/>
  <c r="J71" i="26"/>
  <c r="R23" i="35"/>
  <c r="P22" i="47"/>
  <c r="P50" i="6"/>
  <c r="N123" i="6"/>
  <c r="O120" i="6" s="1"/>
  <c r="Q314" i="46"/>
  <c r="Q88" i="6"/>
  <c r="Q91" i="6" s="1"/>
  <c r="N358" i="46"/>
  <c r="N365" i="46"/>
  <c r="N178" i="6"/>
  <c r="N182" i="6"/>
  <c r="N19" i="25" s="1"/>
  <c r="N72" i="26" s="1"/>
  <c r="Q21" i="38" s="1"/>
  <c r="R311" i="46"/>
  <c r="R22" i="6"/>
  <c r="R26" i="6" s="1"/>
  <c r="R99" i="23"/>
  <c r="R19" i="26"/>
  <c r="R183" i="23"/>
  <c r="R184" i="23" s="1"/>
  <c r="R92" i="24"/>
  <c r="R80" i="24"/>
  <c r="L153" i="23"/>
  <c r="L156" i="23" s="1"/>
  <c r="L210" i="23" s="1"/>
  <c r="L72" i="6" s="1"/>
  <c r="M173" i="23"/>
  <c r="N171" i="23" s="1"/>
  <c r="N169" i="23" s="1"/>
  <c r="N172" i="23" s="1"/>
  <c r="N173" i="23" s="1"/>
  <c r="O171" i="23" s="1"/>
  <c r="Q95" i="24"/>
  <c r="Q42" i="6"/>
  <c r="Q45" i="6" s="1"/>
  <c r="Q11" i="25" s="1"/>
  <c r="Q61" i="26" s="1"/>
  <c r="T10" i="38" s="1"/>
  <c r="T18" i="35"/>
  <c r="T21" i="35" s="1"/>
  <c r="Q22" i="26"/>
  <c r="N351" i="46"/>
  <c r="N356" i="46"/>
  <c r="Q25" i="35"/>
  <c r="P148" i="6"/>
  <c r="P42" i="44"/>
  <c r="O336" i="46"/>
  <c r="O15" i="47" s="1"/>
  <c r="O26" i="26"/>
  <c r="O27" i="26" s="1"/>
  <c r="O28" i="26" s="1"/>
  <c r="O348" i="46"/>
  <c r="O349" i="46"/>
  <c r="O364" i="46" s="1"/>
  <c r="O341" i="46"/>
  <c r="O350" i="46"/>
  <c r="O365" i="46" s="1"/>
  <c r="O347" i="46"/>
  <c r="O362" i="46" s="1"/>
  <c r="O344" i="46"/>
  <c r="O359" i="46" s="1"/>
  <c r="O346" i="46"/>
  <c r="O361" i="46" s="1"/>
  <c r="O342" i="46"/>
  <c r="O357" i="46" s="1"/>
  <c r="O343" i="46"/>
  <c r="O358" i="46" s="1"/>
  <c r="O345" i="46"/>
  <c r="O360" i="46" s="1"/>
  <c r="O177" i="6"/>
  <c r="R38" i="35"/>
  <c r="Z39" i="6"/>
  <c r="Z116" i="23"/>
  <c r="O117" i="6"/>
  <c r="P122" i="23"/>
  <c r="P24" i="26" s="1"/>
  <c r="Q82" i="24"/>
  <c r="Q39" i="26" s="1"/>
  <c r="T38" i="35" s="1"/>
  <c r="Q325" i="46"/>
  <c r="Q36" i="44"/>
  <c r="Q30" i="6"/>
  <c r="N359" i="46"/>
  <c r="N357" i="46"/>
  <c r="P11" i="25"/>
  <c r="P61" i="26" s="1"/>
  <c r="S10" i="38" s="1"/>
  <c r="P111" i="6"/>
  <c r="P117" i="6" s="1"/>
  <c r="P121" i="6"/>
  <c r="AB74" i="24"/>
  <c r="AC15" i="24"/>
  <c r="P333" i="46"/>
  <c r="P95" i="6"/>
  <c r="R32" i="35"/>
  <c r="R35" i="35" s="1"/>
  <c r="O36" i="26"/>
  <c r="Z85" i="6"/>
  <c r="P13" i="47"/>
  <c r="P49" i="6"/>
  <c r="Q78" i="22"/>
  <c r="Q79" i="22" s="1"/>
  <c r="N114" i="26"/>
  <c r="O120" i="22"/>
  <c r="T51" i="22"/>
  <c r="M193" i="23"/>
  <c r="M196" i="23" s="1"/>
  <c r="M177" i="23"/>
  <c r="M180" i="23" s="1"/>
  <c r="M181" i="23" s="1"/>
  <c r="N179" i="23" s="1"/>
  <c r="N201" i="23"/>
  <c r="N204" i="23" s="1"/>
  <c r="N205" i="23" s="1"/>
  <c r="O203" i="23" s="1"/>
  <c r="R105" i="22"/>
  <c r="S104" i="22" s="1"/>
  <c r="K14" i="47"/>
  <c r="K187" i="6"/>
  <c r="R119" i="26"/>
  <c r="S320" i="1"/>
  <c r="S323" i="1" s="1"/>
  <c r="M31" i="35"/>
  <c r="V31" i="35" s="1"/>
  <c r="X31" i="35"/>
  <c r="Z31" i="35"/>
  <c r="I32" i="26"/>
  <c r="W31" i="35"/>
  <c r="Y31" i="35"/>
  <c r="AA30" i="35"/>
  <c r="J73" i="26"/>
  <c r="AC40" i="36"/>
  <c r="I20" i="25"/>
  <c r="N165" i="23"/>
  <c r="O163" i="23" s="1"/>
  <c r="J177" i="6"/>
  <c r="J73" i="44"/>
  <c r="AA33" i="35"/>
  <c r="S135" i="22"/>
  <c r="Q94" i="25"/>
  <c r="Q95" i="25" s="1"/>
  <c r="Q110" i="25" s="1"/>
  <c r="R91" i="25"/>
  <c r="O137" i="23"/>
  <c r="O140" i="23" s="1"/>
  <c r="O58" i="6" s="1"/>
  <c r="Q19" i="22"/>
  <c r="Q20" i="22" s="1"/>
  <c r="M185" i="23"/>
  <c r="M188" i="23" s="1"/>
  <c r="M189" i="23" s="1"/>
  <c r="N187" i="23" s="1"/>
  <c r="M83" i="26"/>
  <c r="O122" i="22"/>
  <c r="O164" i="22"/>
  <c r="O41" i="26" s="1"/>
  <c r="R40" i="35" s="1"/>
  <c r="J165" i="21"/>
  <c r="I165" i="21" s="1"/>
  <c r="J239" i="36"/>
  <c r="J244" i="36" s="1"/>
  <c r="L239" i="36"/>
  <c r="L244" i="36" s="1"/>
  <c r="I160" i="21"/>
  <c r="W77" i="22"/>
  <c r="M149" i="23"/>
  <c r="N147" i="23" s="1"/>
  <c r="N41" i="26"/>
  <c r="N129" i="23"/>
  <c r="N132" i="23" s="1"/>
  <c r="N133" i="23" s="1"/>
  <c r="O131" i="23" s="1"/>
  <c r="K74" i="26"/>
  <c r="AC41" i="36"/>
  <c r="I21" i="25"/>
  <c r="O53" i="22"/>
  <c r="J36" i="26"/>
  <c r="AA25" i="6"/>
  <c r="S103" i="22"/>
  <c r="T18" i="22"/>
  <c r="M21" i="38"/>
  <c r="S67" i="6"/>
  <c r="T67" i="6" s="1"/>
  <c r="U67" i="6" s="1"/>
  <c r="V67" i="6" s="1"/>
  <c r="T126" i="26"/>
  <c r="U314" i="1"/>
  <c r="U317" i="1" s="1"/>
  <c r="V30" i="35"/>
  <c r="M24" i="35"/>
  <c r="X24" i="35"/>
  <c r="Y24" i="35"/>
  <c r="Z24" i="35"/>
  <c r="W24" i="35"/>
  <c r="I25" i="26"/>
  <c r="J27" i="26"/>
  <c r="L193" i="6"/>
  <c r="L196" i="6" s="1"/>
  <c r="K132" i="26"/>
  <c r="N147" i="25"/>
  <c r="N149" i="25"/>
  <c r="Q136" i="22"/>
  <c r="S308" i="1" l="1"/>
  <c r="S311" i="1" s="1"/>
  <c r="R130" i="26"/>
  <c r="O115" i="26"/>
  <c r="P113" i="26"/>
  <c r="AD91" i="25"/>
  <c r="AC94" i="25"/>
  <c r="AC95" i="25" s="1"/>
  <c r="AC110" i="25" s="1"/>
  <c r="L215" i="23"/>
  <c r="L216" i="23" s="1"/>
  <c r="W67" i="6"/>
  <c r="X67" i="6" s="1"/>
  <c r="Y67" i="6" s="1"/>
  <c r="Z67" i="6" s="1"/>
  <c r="AA67" i="6" s="1"/>
  <c r="AB67" i="6" s="1"/>
  <c r="AC67" i="6" s="1"/>
  <c r="AD67" i="6" s="1"/>
  <c r="AE67" i="6" s="1"/>
  <c r="AF67" i="6" s="1"/>
  <c r="AG67" i="6" s="1"/>
  <c r="I67" i="6" s="1"/>
  <c r="M35" i="35"/>
  <c r="N141" i="25"/>
  <c r="O125" i="25"/>
  <c r="N144" i="26"/>
  <c r="O135" i="25"/>
  <c r="N145" i="26"/>
  <c r="N121" i="25"/>
  <c r="N143" i="26"/>
  <c r="O115" i="25"/>
  <c r="N131" i="25"/>
  <c r="R131" i="26"/>
  <c r="S172" i="22"/>
  <c r="S175" i="22" s="1"/>
  <c r="O351" i="46"/>
  <c r="O352" i="46" s="1"/>
  <c r="O356" i="46"/>
  <c r="P173" i="6"/>
  <c r="N352" i="46"/>
  <c r="Q13" i="47"/>
  <c r="Q49" i="6"/>
  <c r="R88" i="6"/>
  <c r="R91" i="6" s="1"/>
  <c r="R314" i="46"/>
  <c r="M20" i="38"/>
  <c r="N37" i="26"/>
  <c r="N42" i="26" s="1"/>
  <c r="N29" i="26"/>
  <c r="Q26" i="35"/>
  <c r="U18" i="24"/>
  <c r="T77" i="24"/>
  <c r="T21" i="24"/>
  <c r="AA116" i="23"/>
  <c r="P336" i="46"/>
  <c r="P15" i="47" s="1"/>
  <c r="P26" i="26"/>
  <c r="P348" i="46"/>
  <c r="P363" i="46" s="1"/>
  <c r="P349" i="46"/>
  <c r="P364" i="46" s="1"/>
  <c r="P342" i="46"/>
  <c r="P344" i="46"/>
  <c r="P359" i="46" s="1"/>
  <c r="P347" i="46"/>
  <c r="P341" i="46"/>
  <c r="P343" i="46"/>
  <c r="P346" i="46"/>
  <c r="P361" i="46" s="1"/>
  <c r="P350" i="46"/>
  <c r="P345" i="46"/>
  <c r="P360" i="46" s="1"/>
  <c r="Q148" i="6"/>
  <c r="Q173" i="6" s="1"/>
  <c r="Q42" i="44"/>
  <c r="U18" i="35"/>
  <c r="R22" i="26"/>
  <c r="O37" i="26"/>
  <c r="O42" i="26" s="1"/>
  <c r="O29" i="26"/>
  <c r="S99" i="23"/>
  <c r="S183" i="23"/>
  <c r="S184" i="23" s="1"/>
  <c r="S19" i="26"/>
  <c r="S22" i="26" s="1"/>
  <c r="S22" i="6"/>
  <c r="S26" i="6" s="1"/>
  <c r="S92" i="24"/>
  <c r="S311" i="46"/>
  <c r="S80" i="24"/>
  <c r="AA39" i="6"/>
  <c r="AA85" i="6"/>
  <c r="L211" i="23"/>
  <c r="L118" i="26" s="1"/>
  <c r="AC74" i="24"/>
  <c r="AD15" i="24"/>
  <c r="Q121" i="6"/>
  <c r="Q111" i="6"/>
  <c r="S23" i="35"/>
  <c r="P27" i="26"/>
  <c r="P28" i="26" s="1"/>
  <c r="O126" i="6"/>
  <c r="O122" i="6"/>
  <c r="O123" i="6" s="1"/>
  <c r="P120" i="6" s="1"/>
  <c r="O363" i="46"/>
  <c r="R325" i="46"/>
  <c r="R30" i="6"/>
  <c r="R82" i="24"/>
  <c r="R36" i="44"/>
  <c r="R119" i="23"/>
  <c r="R109" i="23"/>
  <c r="Q16" i="25"/>
  <c r="Q69" i="26" s="1"/>
  <c r="T18" i="38" s="1"/>
  <c r="Q96" i="6"/>
  <c r="Q122" i="23"/>
  <c r="O141" i="23"/>
  <c r="P139" i="23" s="1"/>
  <c r="P137" i="23" s="1"/>
  <c r="P140" i="23" s="1"/>
  <c r="P58" i="6" s="1"/>
  <c r="AB87" i="23"/>
  <c r="AB16" i="26"/>
  <c r="AB308" i="46"/>
  <c r="AB159" i="23"/>
  <c r="AB160" i="23" s="1"/>
  <c r="AB19" i="6"/>
  <c r="AB89" i="24"/>
  <c r="P126" i="6"/>
  <c r="P18" i="25" s="1"/>
  <c r="P71" i="26" s="1"/>
  <c r="S20" i="38" s="1"/>
  <c r="P122" i="6"/>
  <c r="R25" i="35"/>
  <c r="R26" i="35" s="1"/>
  <c r="P33" i="26"/>
  <c r="P68" i="44"/>
  <c r="N366" i="46"/>
  <c r="Q50" i="6"/>
  <c r="Q22" i="47"/>
  <c r="L157" i="23"/>
  <c r="M155" i="23" s="1"/>
  <c r="R42" i="6"/>
  <c r="R45" i="6" s="1"/>
  <c r="R11" i="25" s="1"/>
  <c r="R61" i="26" s="1"/>
  <c r="U10" i="38" s="1"/>
  <c r="R95" i="24"/>
  <c r="R31" i="6"/>
  <c r="Q333" i="46"/>
  <c r="Q95" i="6"/>
  <c r="R78" i="22"/>
  <c r="R79" i="22" s="1"/>
  <c r="AA24" i="35"/>
  <c r="V24" i="35"/>
  <c r="M26" i="35"/>
  <c r="P32" i="38"/>
  <c r="O145" i="25"/>
  <c r="N141" i="26"/>
  <c r="L132" i="26"/>
  <c r="M193" i="6"/>
  <c r="M196" i="6" s="1"/>
  <c r="N62" i="6"/>
  <c r="U18" i="22"/>
  <c r="O129" i="23"/>
  <c r="O132" i="23" s="1"/>
  <c r="O133" i="23" s="1"/>
  <c r="P131" i="23" s="1"/>
  <c r="Q40" i="35"/>
  <c r="M64" i="6"/>
  <c r="R19" i="22"/>
  <c r="R20" i="22" s="1"/>
  <c r="R94" i="25"/>
  <c r="R95" i="25" s="1"/>
  <c r="R110" i="25" s="1"/>
  <c r="S91" i="25"/>
  <c r="T135" i="22"/>
  <c r="J16" i="47"/>
  <c r="J187" i="6"/>
  <c r="T320" i="1"/>
  <c r="T323" i="1" s="1"/>
  <c r="S119" i="26"/>
  <c r="S105" i="22"/>
  <c r="T104" i="22" s="1"/>
  <c r="N66" i="6"/>
  <c r="M63" i="6"/>
  <c r="N116" i="26"/>
  <c r="Q154" i="22"/>
  <c r="O169" i="23"/>
  <c r="O172" i="23" s="1"/>
  <c r="O62" i="6" s="1"/>
  <c r="N145" i="23"/>
  <c r="N148" i="23" s="1"/>
  <c r="N149" i="23" s="1"/>
  <c r="O147" i="23" s="1"/>
  <c r="N185" i="23"/>
  <c r="N188" i="23" s="1"/>
  <c r="N64" i="6" s="1"/>
  <c r="O201" i="23"/>
  <c r="O204" i="23" s="1"/>
  <c r="O66" i="6" s="1"/>
  <c r="N177" i="23"/>
  <c r="N180" i="23" s="1"/>
  <c r="N63" i="6" s="1"/>
  <c r="Q137" i="22"/>
  <c r="U126" i="26"/>
  <c r="V314" i="1"/>
  <c r="V317" i="1" s="1"/>
  <c r="AB25" i="6"/>
  <c r="J179" i="6"/>
  <c r="M22" i="38"/>
  <c r="V22" i="38" s="1"/>
  <c r="I73" i="26"/>
  <c r="Z22" i="38"/>
  <c r="Y22" i="38"/>
  <c r="W22" i="38"/>
  <c r="X22" i="38"/>
  <c r="AA31" i="35"/>
  <c r="M65" i="6"/>
  <c r="Q152" i="22"/>
  <c r="P115" i="26"/>
  <c r="U51" i="22"/>
  <c r="N31" i="25"/>
  <c r="J28" i="26"/>
  <c r="T103" i="22"/>
  <c r="P52" i="22"/>
  <c r="N23" i="38"/>
  <c r="V23" i="38" s="1"/>
  <c r="I74" i="26"/>
  <c r="W23" i="38"/>
  <c r="Z23" i="38"/>
  <c r="X23" i="38"/>
  <c r="Y23" i="38"/>
  <c r="N57" i="6"/>
  <c r="X77" i="22"/>
  <c r="Q37" i="22"/>
  <c r="Q38" i="22" s="1"/>
  <c r="O161" i="23"/>
  <c r="O164" i="23" s="1"/>
  <c r="O61" i="6" s="1"/>
  <c r="K18" i="47"/>
  <c r="K27" i="47" s="1"/>
  <c r="M197" i="23"/>
  <c r="N195" i="23" s="1"/>
  <c r="O123" i="22"/>
  <c r="S130" i="26" l="1"/>
  <c r="T308" i="1"/>
  <c r="T311" i="1" s="1"/>
  <c r="M209" i="23"/>
  <c r="AD94" i="25"/>
  <c r="AE91" i="25"/>
  <c r="O128" i="25"/>
  <c r="O129" i="25"/>
  <c r="O118" i="25"/>
  <c r="O119" i="25"/>
  <c r="O138" i="25"/>
  <c r="O139" i="25"/>
  <c r="S131" i="26"/>
  <c r="T172" i="22"/>
  <c r="T175" i="22" s="1"/>
  <c r="N181" i="23"/>
  <c r="O179" i="23" s="1"/>
  <c r="O177" i="23" s="1"/>
  <c r="O180" i="23" s="1"/>
  <c r="P123" i="6"/>
  <c r="Q120" i="6" s="1"/>
  <c r="AB116" i="23"/>
  <c r="R27" i="35"/>
  <c r="R36" i="35" s="1"/>
  <c r="R41" i="35" s="1"/>
  <c r="R28" i="35"/>
  <c r="R39" i="26"/>
  <c r="O18" i="25"/>
  <c r="S325" i="46"/>
  <c r="S36" i="44"/>
  <c r="S82" i="24"/>
  <c r="S39" i="26" s="1"/>
  <c r="S30" i="6"/>
  <c r="P351" i="46"/>
  <c r="P356" i="46"/>
  <c r="R16" i="25"/>
  <c r="R69" i="26" s="1"/>
  <c r="U18" i="38" s="1"/>
  <c r="R96" i="6"/>
  <c r="N189" i="23"/>
  <c r="O187" i="23" s="1"/>
  <c r="O185" i="23" s="1"/>
  <c r="O188" i="23" s="1"/>
  <c r="R13" i="47"/>
  <c r="R49" i="6"/>
  <c r="R122" i="23"/>
  <c r="R24" i="26" s="1"/>
  <c r="P29" i="26"/>
  <c r="S88" i="6"/>
  <c r="S91" i="6" s="1"/>
  <c r="S314" i="46"/>
  <c r="Q33" i="26"/>
  <c r="Q68" i="44"/>
  <c r="Q72" i="44" s="1"/>
  <c r="P365" i="46"/>
  <c r="P362" i="46"/>
  <c r="Q28" i="35"/>
  <c r="Q27" i="35"/>
  <c r="Q36" i="35" s="1"/>
  <c r="Q41" i="35" s="1"/>
  <c r="P141" i="23"/>
  <c r="Q139" i="23" s="1"/>
  <c r="Q137" i="23" s="1"/>
  <c r="Q140" i="23" s="1"/>
  <c r="Q58" i="6" s="1"/>
  <c r="Q336" i="46"/>
  <c r="Q26" i="26"/>
  <c r="Q348" i="46"/>
  <c r="Q363" i="46" s="1"/>
  <c r="Q350" i="46"/>
  <c r="Q365" i="46" s="1"/>
  <c r="Q342" i="46"/>
  <c r="Q357" i="46" s="1"/>
  <c r="Q344" i="46"/>
  <c r="Q345" i="46"/>
  <c r="Q360" i="46" s="1"/>
  <c r="Q349" i="46"/>
  <c r="Q364" i="46" s="1"/>
  <c r="Q343" i="46"/>
  <c r="Q358" i="46" s="1"/>
  <c r="Q346" i="46"/>
  <c r="Q341" i="46"/>
  <c r="Q347" i="46"/>
  <c r="Q362" i="46" s="1"/>
  <c r="R50" i="6"/>
  <c r="R22" i="47"/>
  <c r="P72" i="44"/>
  <c r="AB85" i="6"/>
  <c r="Q24" i="26"/>
  <c r="R111" i="6"/>
  <c r="R117" i="6" s="1"/>
  <c r="R121" i="6"/>
  <c r="AD74" i="24"/>
  <c r="AE15" i="24"/>
  <c r="S42" i="6"/>
  <c r="S45" i="6" s="1"/>
  <c r="S95" i="24"/>
  <c r="S119" i="23"/>
  <c r="S109" i="23"/>
  <c r="Q182" i="6"/>
  <c r="Q19" i="25" s="1"/>
  <c r="Q72" i="26" s="1"/>
  <c r="T21" i="38" s="1"/>
  <c r="Q178" i="6"/>
  <c r="S25" i="35"/>
  <c r="T311" i="46"/>
  <c r="T99" i="23"/>
  <c r="T183" i="23"/>
  <c r="T184" i="23" s="1"/>
  <c r="T19" i="26"/>
  <c r="T22" i="26" s="1"/>
  <c r="T22" i="6"/>
  <c r="T26" i="6" s="1"/>
  <c r="T92" i="24"/>
  <c r="T80" i="24"/>
  <c r="O366" i="46"/>
  <c r="O173" i="23"/>
  <c r="P171" i="23" s="1"/>
  <c r="P169" i="23" s="1"/>
  <c r="P172" i="23" s="1"/>
  <c r="P173" i="23" s="1"/>
  <c r="Q171" i="23" s="1"/>
  <c r="M153" i="23"/>
  <c r="M156" i="23" s="1"/>
  <c r="M157" i="23" s="1"/>
  <c r="N155" i="23" s="1"/>
  <c r="S32" i="35"/>
  <c r="P36" i="26"/>
  <c r="AB39" i="6"/>
  <c r="R148" i="6"/>
  <c r="R173" i="6" s="1"/>
  <c r="R42" i="44"/>
  <c r="Q117" i="6"/>
  <c r="AC308" i="46"/>
  <c r="AC87" i="23"/>
  <c r="AC159" i="23"/>
  <c r="AC160" i="23" s="1"/>
  <c r="AC19" i="6"/>
  <c r="AC16" i="26"/>
  <c r="AC89" i="24"/>
  <c r="S31" i="6"/>
  <c r="U21" i="35"/>
  <c r="V18" i="35"/>
  <c r="P358" i="46"/>
  <c r="P357" i="46"/>
  <c r="U77" i="24"/>
  <c r="V18" i="24"/>
  <c r="U21" i="24"/>
  <c r="R333" i="46"/>
  <c r="R95" i="6"/>
  <c r="P178" i="6"/>
  <c r="P182" i="6"/>
  <c r="P19" i="25" s="1"/>
  <c r="Q113" i="26"/>
  <c r="R35" i="22"/>
  <c r="S78" i="22"/>
  <c r="S79" i="22" s="1"/>
  <c r="Y77" i="22"/>
  <c r="U103" i="22"/>
  <c r="N83" i="26"/>
  <c r="O145" i="23"/>
  <c r="O148" i="23" s="1"/>
  <c r="O59" i="6" s="1"/>
  <c r="S19" i="22"/>
  <c r="P129" i="23"/>
  <c r="P132" i="23" s="1"/>
  <c r="P133" i="23" s="1"/>
  <c r="Q131" i="23" s="1"/>
  <c r="M132" i="26"/>
  <c r="N193" i="6"/>
  <c r="N196" i="6" s="1"/>
  <c r="P122" i="22"/>
  <c r="P164" i="22"/>
  <c r="P41" i="26" s="1"/>
  <c r="Q155" i="22"/>
  <c r="K176" i="6"/>
  <c r="K179" i="6" s="1"/>
  <c r="J128" i="26"/>
  <c r="P120" i="22"/>
  <c r="O114" i="26"/>
  <c r="O116" i="26" s="1"/>
  <c r="O165" i="23"/>
  <c r="P163" i="23" s="1"/>
  <c r="N193" i="23"/>
  <c r="N196" i="23" s="1"/>
  <c r="N197" i="23" s="1"/>
  <c r="O195" i="23" s="1"/>
  <c r="AA23" i="38"/>
  <c r="V51" i="22"/>
  <c r="AA22" i="38"/>
  <c r="V126" i="26"/>
  <c r="W314" i="1"/>
  <c r="W317" i="1" s="1"/>
  <c r="O205" i="23"/>
  <c r="P203" i="23" s="1"/>
  <c r="N59" i="6"/>
  <c r="L14" i="47"/>
  <c r="L187" i="6"/>
  <c r="U135" i="22"/>
  <c r="R37" i="22"/>
  <c r="O57" i="6"/>
  <c r="V18" i="22"/>
  <c r="O149" i="25"/>
  <c r="O31" i="25" s="1"/>
  <c r="O83" i="26" s="1"/>
  <c r="R32" i="38" s="1"/>
  <c r="O147" i="25"/>
  <c r="AC25" i="6"/>
  <c r="T105" i="22"/>
  <c r="U104" i="22" s="1"/>
  <c r="T119" i="26"/>
  <c r="U320" i="1"/>
  <c r="U323" i="1" s="1"/>
  <c r="J18" i="47"/>
  <c r="S94" i="25"/>
  <c r="T91" i="25"/>
  <c r="P53" i="22"/>
  <c r="J37" i="26"/>
  <c r="J29" i="26"/>
  <c r="R136" i="22"/>
  <c r="R154" i="22" s="1"/>
  <c r="M28" i="35"/>
  <c r="M27" i="35"/>
  <c r="R38" i="22" l="1"/>
  <c r="U308" i="1"/>
  <c r="U311" i="1" s="1"/>
  <c r="T130" i="26"/>
  <c r="AF91" i="25"/>
  <c r="AE94" i="25"/>
  <c r="O141" i="25"/>
  <c r="P115" i="25"/>
  <c r="O143" i="26"/>
  <c r="P135" i="25"/>
  <c r="O145" i="26"/>
  <c r="O131" i="25"/>
  <c r="O121" i="25"/>
  <c r="P125" i="25"/>
  <c r="O144" i="26"/>
  <c r="P123" i="22"/>
  <c r="P114" i="26" s="1"/>
  <c r="P116" i="26" s="1"/>
  <c r="T131" i="26"/>
  <c r="U172" i="22"/>
  <c r="U175" i="22" s="1"/>
  <c r="O189" i="23"/>
  <c r="P187" i="23" s="1"/>
  <c r="P185" i="23" s="1"/>
  <c r="P188" i="23" s="1"/>
  <c r="P64" i="6" s="1"/>
  <c r="V77" i="24"/>
  <c r="W18" i="24"/>
  <c r="V21" i="24"/>
  <c r="V21" i="35"/>
  <c r="L61" i="36" s="1"/>
  <c r="AC85" i="6"/>
  <c r="R182" i="6"/>
  <c r="R19" i="25" s="1"/>
  <c r="R178" i="6"/>
  <c r="N153" i="23"/>
  <c r="N156" i="23" s="1"/>
  <c r="N60" i="6" s="1"/>
  <c r="S13" i="47"/>
  <c r="S49" i="6"/>
  <c r="T23" i="35"/>
  <c r="Q27" i="26"/>
  <c r="P73" i="44"/>
  <c r="P177" i="6"/>
  <c r="Q356" i="46"/>
  <c r="Q351" i="46"/>
  <c r="Q352" i="46" s="1"/>
  <c r="Q177" i="6"/>
  <c r="Q73" i="44"/>
  <c r="Q16" i="47" s="1"/>
  <c r="S16" i="25"/>
  <c r="S69" i="26" s="1"/>
  <c r="S96" i="6"/>
  <c r="S121" i="6"/>
  <c r="S111" i="6"/>
  <c r="U38" i="35"/>
  <c r="V38" i="35" s="1"/>
  <c r="L67" i="36" s="1"/>
  <c r="P72" i="26"/>
  <c r="U19" i="26"/>
  <c r="U22" i="26" s="1"/>
  <c r="U22" i="6"/>
  <c r="U26" i="6" s="1"/>
  <c r="U183" i="23"/>
  <c r="U184" i="23" s="1"/>
  <c r="U99" i="23"/>
  <c r="U92" i="24"/>
  <c r="U311" i="46"/>
  <c r="U80" i="24"/>
  <c r="M60" i="6"/>
  <c r="M68" i="6" s="1"/>
  <c r="M210" i="23"/>
  <c r="T36" i="44"/>
  <c r="T325" i="46"/>
  <c r="T82" i="24"/>
  <c r="T39" i="26" s="1"/>
  <c r="T30" i="6"/>
  <c r="S22" i="47"/>
  <c r="S50" i="6"/>
  <c r="AD159" i="23"/>
  <c r="AD160" i="23" s="1"/>
  <c r="AD87" i="23"/>
  <c r="AD308" i="46"/>
  <c r="AD19" i="6"/>
  <c r="AD16" i="26"/>
  <c r="AD89" i="24"/>
  <c r="Q361" i="46"/>
  <c r="Q359" i="46"/>
  <c r="T25" i="35"/>
  <c r="T32" i="35"/>
  <c r="T35" i="35" s="1"/>
  <c r="Q36" i="26"/>
  <c r="U23" i="35"/>
  <c r="R336" i="46"/>
  <c r="R15" i="47" s="1"/>
  <c r="R26" i="26"/>
  <c r="R348" i="46"/>
  <c r="R363" i="46" s="1"/>
  <c r="R344" i="46"/>
  <c r="R359" i="46" s="1"/>
  <c r="R342" i="46"/>
  <c r="R341" i="46"/>
  <c r="R346" i="46"/>
  <c r="R361" i="46" s="1"/>
  <c r="R343" i="46"/>
  <c r="R349" i="46"/>
  <c r="R364" i="46" s="1"/>
  <c r="R347" i="46"/>
  <c r="R362" i="46" s="1"/>
  <c r="R350" i="46"/>
  <c r="R345" i="46"/>
  <c r="R360" i="46" s="1"/>
  <c r="S11" i="25"/>
  <c r="S61" i="26" s="1"/>
  <c r="Q126" i="6"/>
  <c r="Q122" i="6"/>
  <c r="S35" i="35"/>
  <c r="T95" i="24"/>
  <c r="T42" i="6"/>
  <c r="T45" i="6" s="1"/>
  <c r="T11" i="25" s="1"/>
  <c r="T61" i="26" s="1"/>
  <c r="T119" i="23"/>
  <c r="T109" i="23"/>
  <c r="S26" i="35"/>
  <c r="R122" i="6"/>
  <c r="R126" i="6"/>
  <c r="R18" i="25" s="1"/>
  <c r="R71" i="26" s="1"/>
  <c r="U20" i="38" s="1"/>
  <c r="Q15" i="47"/>
  <c r="P37" i="26"/>
  <c r="P42" i="26" s="1"/>
  <c r="P366" i="46"/>
  <c r="O71" i="26"/>
  <c r="AC39" i="6"/>
  <c r="AC116" i="23"/>
  <c r="R33" i="26"/>
  <c r="R68" i="44"/>
  <c r="R72" i="44" s="1"/>
  <c r="T31" i="6"/>
  <c r="T88" i="6"/>
  <c r="T91" i="6" s="1"/>
  <c r="T314" i="46"/>
  <c r="S122" i="23"/>
  <c r="S24" i="26" s="1"/>
  <c r="AE74" i="24"/>
  <c r="AF15" i="24"/>
  <c r="S333" i="46"/>
  <c r="S95" i="6"/>
  <c r="P352" i="46"/>
  <c r="S148" i="6"/>
  <c r="S173" i="6" s="1"/>
  <c r="S42" i="44"/>
  <c r="Q129" i="23"/>
  <c r="Q132" i="23" s="1"/>
  <c r="Q169" i="23"/>
  <c r="Q172" i="23" s="1"/>
  <c r="Q62" i="6" s="1"/>
  <c r="O193" i="23"/>
  <c r="O196" i="23" s="1"/>
  <c r="O65" i="6" s="1"/>
  <c r="T78" i="22"/>
  <c r="T79" i="22" s="1"/>
  <c r="S95" i="25"/>
  <c r="S110" i="25" s="1"/>
  <c r="W18" i="22"/>
  <c r="O193" i="6"/>
  <c r="O196" i="6" s="1"/>
  <c r="N132" i="26"/>
  <c r="S37" i="22"/>
  <c r="J27" i="47"/>
  <c r="P145" i="25"/>
  <c r="O141" i="26"/>
  <c r="S40" i="35"/>
  <c r="S20" i="22"/>
  <c r="O149" i="23"/>
  <c r="P147" i="23" s="1"/>
  <c r="O63" i="6"/>
  <c r="Z77" i="22"/>
  <c r="Q52" i="22"/>
  <c r="U91" i="25"/>
  <c r="U94" i="25" s="1"/>
  <c r="T94" i="25"/>
  <c r="T95" i="25" s="1"/>
  <c r="T110" i="25" s="1"/>
  <c r="V320" i="1"/>
  <c r="V323" i="1" s="1"/>
  <c r="U119" i="26"/>
  <c r="AD25" i="6"/>
  <c r="L18" i="47"/>
  <c r="L27" i="47" s="1"/>
  <c r="W126" i="26"/>
  <c r="X314" i="1"/>
  <c r="X317" i="1" s="1"/>
  <c r="Q115" i="26"/>
  <c r="R152" i="22"/>
  <c r="R155" i="22" s="1"/>
  <c r="Q141" i="23"/>
  <c r="R139" i="23" s="1"/>
  <c r="O64" i="6"/>
  <c r="V103" i="22"/>
  <c r="M36" i="35"/>
  <c r="P161" i="23"/>
  <c r="P164" i="23" s="1"/>
  <c r="P61" i="6" s="1"/>
  <c r="S35" i="22"/>
  <c r="R113" i="26"/>
  <c r="R137" i="22"/>
  <c r="J42" i="26"/>
  <c r="U105" i="22"/>
  <c r="V135" i="22"/>
  <c r="P201" i="23"/>
  <c r="P204" i="23" s="1"/>
  <c r="P66" i="6" s="1"/>
  <c r="W51" i="22"/>
  <c r="N65" i="6"/>
  <c r="L176" i="6"/>
  <c r="L179" i="6" s="1"/>
  <c r="K128" i="26"/>
  <c r="P57" i="6"/>
  <c r="P62" i="6"/>
  <c r="O181" i="23"/>
  <c r="P179" i="23" s="1"/>
  <c r="Q32" i="38"/>
  <c r="O67" i="36" l="1"/>
  <c r="U130" i="26"/>
  <c r="V308" i="1"/>
  <c r="V311" i="1" s="1"/>
  <c r="Q120" i="22"/>
  <c r="AG91" i="25"/>
  <c r="AG94" i="25" s="1"/>
  <c r="AF94" i="25"/>
  <c r="N68" i="6"/>
  <c r="N73" i="6" s="1"/>
  <c r="P128" i="25"/>
  <c r="P129" i="25"/>
  <c r="P131" i="25" s="1"/>
  <c r="P118" i="25"/>
  <c r="P119" i="25"/>
  <c r="P121" i="25" s="1"/>
  <c r="P138" i="25"/>
  <c r="P139" i="25"/>
  <c r="P141" i="25" s="1"/>
  <c r="S38" i="22"/>
  <c r="S113" i="26" s="1"/>
  <c r="U131" i="26"/>
  <c r="V172" i="22"/>
  <c r="V175" i="22" s="1"/>
  <c r="N157" i="23"/>
  <c r="O155" i="23" s="1"/>
  <c r="R72" i="26"/>
  <c r="U21" i="38" s="1"/>
  <c r="S33" i="26"/>
  <c r="S68" i="44"/>
  <c r="S72" i="44" s="1"/>
  <c r="AE308" i="46"/>
  <c r="AE19" i="6"/>
  <c r="AE16" i="26"/>
  <c r="AE159" i="23"/>
  <c r="AE160" i="23" s="1"/>
  <c r="AE87" i="23"/>
  <c r="AE89" i="24"/>
  <c r="T96" i="6"/>
  <c r="T16" i="25"/>
  <c r="T69" i="26" s="1"/>
  <c r="R177" i="6"/>
  <c r="L260" i="36" s="1"/>
  <c r="R73" i="44"/>
  <c r="R16" i="47" s="1"/>
  <c r="Q123" i="6"/>
  <c r="R120" i="6" s="1"/>
  <c r="R123" i="6" s="1"/>
  <c r="S120" i="6" s="1"/>
  <c r="R365" i="46"/>
  <c r="M72" i="6"/>
  <c r="M211" i="23"/>
  <c r="M215" i="23"/>
  <c r="M216" i="23" s="1"/>
  <c r="M187" i="6" s="1"/>
  <c r="U325" i="46"/>
  <c r="U36" i="44"/>
  <c r="U82" i="24"/>
  <c r="U39" i="26" s="1"/>
  <c r="U30" i="6"/>
  <c r="Q366" i="46"/>
  <c r="W77" i="24"/>
  <c r="X18" i="24"/>
  <c r="W21" i="24"/>
  <c r="S182" i="6"/>
  <c r="S19" i="25" s="1"/>
  <c r="S178" i="6"/>
  <c r="S26" i="26"/>
  <c r="S336" i="46"/>
  <c r="S15" i="47" s="1"/>
  <c r="S343" i="46"/>
  <c r="S358" i="46" s="1"/>
  <c r="S344" i="46"/>
  <c r="S359" i="46" s="1"/>
  <c r="S348" i="46"/>
  <c r="S363" i="46" s="1"/>
  <c r="S350" i="46"/>
  <c r="S365" i="46" s="1"/>
  <c r="S349" i="46"/>
  <c r="S364" i="46" s="1"/>
  <c r="S347" i="46"/>
  <c r="S362" i="46" s="1"/>
  <c r="S341" i="46"/>
  <c r="S345" i="46"/>
  <c r="S360" i="46" s="1"/>
  <c r="S346" i="46"/>
  <c r="S361" i="46" s="1"/>
  <c r="S342" i="46"/>
  <c r="S357" i="46" s="1"/>
  <c r="U32" i="35"/>
  <c r="R36" i="26"/>
  <c r="R20" i="38"/>
  <c r="T122" i="23"/>
  <c r="T24" i="26" s="1"/>
  <c r="Q18" i="25"/>
  <c r="R356" i="46"/>
  <c r="R351" i="46"/>
  <c r="U25" i="35"/>
  <c r="V25" i="35" s="1"/>
  <c r="R27" i="26"/>
  <c r="R28" i="26" s="1"/>
  <c r="M73" i="6"/>
  <c r="M77" i="6"/>
  <c r="U88" i="6"/>
  <c r="U91" i="6" s="1"/>
  <c r="U314" i="46"/>
  <c r="U31" i="6"/>
  <c r="S21" i="38"/>
  <c r="S117" i="6"/>
  <c r="Q28" i="26"/>
  <c r="Q37" i="26" s="1"/>
  <c r="V183" i="23"/>
  <c r="V184" i="23" s="1"/>
  <c r="V99" i="23"/>
  <c r="V19" i="26"/>
  <c r="V22" i="26" s="1"/>
  <c r="V22" i="6"/>
  <c r="V26" i="6" s="1"/>
  <c r="V311" i="46"/>
  <c r="V92" i="24"/>
  <c r="V80" i="24"/>
  <c r="S27" i="35"/>
  <c r="S28" i="35"/>
  <c r="T50" i="6"/>
  <c r="T22" i="47"/>
  <c r="R357" i="46"/>
  <c r="AD85" i="6"/>
  <c r="T111" i="6"/>
  <c r="T117" i="6" s="1"/>
  <c r="T121" i="6"/>
  <c r="U42" i="6"/>
  <c r="U45" i="6" s="1"/>
  <c r="U95" i="24"/>
  <c r="T26" i="35"/>
  <c r="V23" i="35"/>
  <c r="O69" i="36"/>
  <c r="O66" i="36"/>
  <c r="AX410" i="36"/>
  <c r="O61" i="36"/>
  <c r="O68" i="36"/>
  <c r="N210" i="23"/>
  <c r="N215" i="23" s="1"/>
  <c r="AF74" i="24"/>
  <c r="AG15" i="24"/>
  <c r="T333" i="46"/>
  <c r="T95" i="6"/>
  <c r="T13" i="47"/>
  <c r="T49" i="6"/>
  <c r="R358" i="46"/>
  <c r="AD39" i="6"/>
  <c r="AD116" i="23"/>
  <c r="T148" i="6"/>
  <c r="T173" i="6" s="1"/>
  <c r="T42" i="44"/>
  <c r="U119" i="23"/>
  <c r="U109" i="23"/>
  <c r="P16" i="47"/>
  <c r="U78" i="22"/>
  <c r="U79" i="22" s="1"/>
  <c r="X51" i="22"/>
  <c r="W135" i="22"/>
  <c r="R115" i="26"/>
  <c r="S152" i="22"/>
  <c r="X126" i="26"/>
  <c r="Y314" i="1"/>
  <c r="Y317" i="1" s="1"/>
  <c r="AE25" i="6"/>
  <c r="V119" i="26"/>
  <c r="W320" i="1"/>
  <c r="W323" i="1" s="1"/>
  <c r="Q122" i="22"/>
  <c r="Q123" i="22" s="1"/>
  <c r="Q164" i="22"/>
  <c r="Q41" i="26" s="1"/>
  <c r="P189" i="23"/>
  <c r="Q187" i="23" s="1"/>
  <c r="Q53" i="22"/>
  <c r="P205" i="23"/>
  <c r="Q203" i="23" s="1"/>
  <c r="S136" i="22"/>
  <c r="S154" i="22" s="1"/>
  <c r="P177" i="23"/>
  <c r="P180" i="23" s="1"/>
  <c r="P63" i="6" s="1"/>
  <c r="M41" i="35"/>
  <c r="W103" i="22"/>
  <c r="R137" i="23"/>
  <c r="R140" i="23" s="1"/>
  <c r="R58" i="6" s="1"/>
  <c r="AA77" i="22"/>
  <c r="M29" i="47"/>
  <c r="M33" i="25" s="1"/>
  <c r="M84" i="26" s="1"/>
  <c r="P33" i="38" s="1"/>
  <c r="K29" i="47"/>
  <c r="L29" i="47"/>
  <c r="L33" i="25" s="1"/>
  <c r="L84" i="26" s="1"/>
  <c r="O33" i="38" s="1"/>
  <c r="J30" i="47"/>
  <c r="AE95" i="25"/>
  <c r="AE110" i="25" s="1"/>
  <c r="Q173" i="23"/>
  <c r="R171" i="23" s="1"/>
  <c r="V104" i="22"/>
  <c r="V105" i="22" s="1"/>
  <c r="Q57" i="6"/>
  <c r="M176" i="6"/>
  <c r="M179" i="6" s="1"/>
  <c r="L128" i="26"/>
  <c r="J47" i="26"/>
  <c r="P165" i="23"/>
  <c r="Q163" i="23" s="1"/>
  <c r="P145" i="23"/>
  <c r="P148" i="23" s="1"/>
  <c r="AF95" i="25"/>
  <c r="AF110" i="25" s="1"/>
  <c r="O197" i="23"/>
  <c r="P195" i="23" s="1"/>
  <c r="Q133" i="23"/>
  <c r="R131" i="23" s="1"/>
  <c r="U95" i="25"/>
  <c r="U110" i="25" s="1"/>
  <c r="Y95" i="25"/>
  <c r="Y110" i="25" s="1"/>
  <c r="Z95" i="25"/>
  <c r="Z110" i="25" s="1"/>
  <c r="V95" i="25"/>
  <c r="V110" i="25" s="1"/>
  <c r="W95" i="25"/>
  <c r="W110" i="25" s="1"/>
  <c r="X95" i="25"/>
  <c r="X110" i="25" s="1"/>
  <c r="AB95" i="25"/>
  <c r="AB110" i="25" s="1"/>
  <c r="AA95" i="25"/>
  <c r="AA110" i="25" s="1"/>
  <c r="AD95" i="25"/>
  <c r="T19" i="22"/>
  <c r="T20" i="22" s="1"/>
  <c r="P147" i="25"/>
  <c r="P149" i="25"/>
  <c r="P31" i="25" s="1"/>
  <c r="P83" i="26" s="1"/>
  <c r="S32" i="38" s="1"/>
  <c r="AG95" i="25"/>
  <c r="AG110" i="25" s="1"/>
  <c r="P193" i="6"/>
  <c r="P196" i="6" s="1"/>
  <c r="O132" i="26"/>
  <c r="X18" i="22"/>
  <c r="V130" i="26" l="1"/>
  <c r="W308" i="1"/>
  <c r="W311" i="1" s="1"/>
  <c r="M14" i="47"/>
  <c r="T35" i="22"/>
  <c r="N77" i="6"/>
  <c r="N17" i="25" s="1"/>
  <c r="N70" i="26" s="1"/>
  <c r="Q19" i="38" s="1"/>
  <c r="P143" i="26"/>
  <c r="Q115" i="25"/>
  <c r="Q135" i="25"/>
  <c r="P145" i="26"/>
  <c r="P144" i="26"/>
  <c r="Q125" i="25"/>
  <c r="W172" i="22"/>
  <c r="W175" i="22" s="1"/>
  <c r="V131" i="26"/>
  <c r="N72" i="6"/>
  <c r="O153" i="23"/>
  <c r="O156" i="23" s="1"/>
  <c r="O157" i="23" s="1"/>
  <c r="P155" i="23" s="1"/>
  <c r="V21" i="38"/>
  <c r="S72" i="26"/>
  <c r="V31" i="6"/>
  <c r="U333" i="46"/>
  <c r="U95" i="6"/>
  <c r="Q71" i="26"/>
  <c r="U35" i="35"/>
  <c r="V35" i="35" s="1"/>
  <c r="L64" i="36" s="1"/>
  <c r="O64" i="36" s="1"/>
  <c r="V32" i="35"/>
  <c r="S351" i="46"/>
  <c r="S352" i="46" s="1"/>
  <c r="S356" i="46"/>
  <c r="W99" i="23"/>
  <c r="W183" i="23"/>
  <c r="W184" i="23" s="1"/>
  <c r="W22" i="6"/>
  <c r="W26" i="6" s="1"/>
  <c r="W19" i="26"/>
  <c r="W22" i="26" s="1"/>
  <c r="W311" i="46"/>
  <c r="W92" i="24"/>
  <c r="W80" i="24"/>
  <c r="S36" i="26"/>
  <c r="P181" i="23"/>
  <c r="Q179" i="23" s="1"/>
  <c r="Q177" i="23" s="1"/>
  <c r="Q180" i="23" s="1"/>
  <c r="Q63" i="6" s="1"/>
  <c r="T33" i="26"/>
  <c r="T68" i="44"/>
  <c r="AG74" i="24"/>
  <c r="I15" i="24"/>
  <c r="T28" i="35"/>
  <c r="T27" i="35"/>
  <c r="T36" i="35" s="1"/>
  <c r="U26" i="35"/>
  <c r="S27" i="26"/>
  <c r="S28" i="26" s="1"/>
  <c r="V36" i="44"/>
  <c r="V30" i="6"/>
  <c r="V82" i="24"/>
  <c r="V39" i="26" s="1"/>
  <c r="V325" i="46"/>
  <c r="O60" i="6"/>
  <c r="O68" i="6" s="1"/>
  <c r="U16" i="25"/>
  <c r="U69" i="26" s="1"/>
  <c r="U96" i="6"/>
  <c r="R29" i="26"/>
  <c r="R37" i="26"/>
  <c r="R352" i="46"/>
  <c r="M118" i="26"/>
  <c r="N209" i="23"/>
  <c r="N211" i="23" s="1"/>
  <c r="O209" i="23" s="1"/>
  <c r="AE39" i="6"/>
  <c r="U122" i="23"/>
  <c r="U24" i="26" s="1"/>
  <c r="T182" i="6"/>
  <c r="T19" i="25" s="1"/>
  <c r="T178" i="6"/>
  <c r="AF87" i="23"/>
  <c r="AF308" i="46"/>
  <c r="AF159" i="23"/>
  <c r="AF160" i="23" s="1"/>
  <c r="AF16" i="26"/>
  <c r="AF19" i="6"/>
  <c r="AF89" i="24"/>
  <c r="U13" i="47"/>
  <c r="U49" i="6"/>
  <c r="T122" i="6"/>
  <c r="T126" i="6"/>
  <c r="T18" i="25" s="1"/>
  <c r="T71" i="26" s="1"/>
  <c r="S36" i="35"/>
  <c r="V42" i="6"/>
  <c r="V45" i="6" s="1"/>
  <c r="V95" i="24"/>
  <c r="V119" i="23"/>
  <c r="V109" i="23"/>
  <c r="S126" i="6"/>
  <c r="S122" i="6"/>
  <c r="S123" i="6" s="1"/>
  <c r="T120" i="6" s="1"/>
  <c r="M188" i="6"/>
  <c r="M21" i="47"/>
  <c r="R366" i="46"/>
  <c r="U148" i="6"/>
  <c r="U173" i="6" s="1"/>
  <c r="U42" i="44"/>
  <c r="AE116" i="23"/>
  <c r="AE85" i="6"/>
  <c r="T26" i="26"/>
  <c r="T27" i="26" s="1"/>
  <c r="T28" i="26" s="1"/>
  <c r="T336" i="46"/>
  <c r="T15" i="47" s="1"/>
  <c r="T348" i="46"/>
  <c r="T363" i="46" s="1"/>
  <c r="T342" i="46"/>
  <c r="T357" i="46" s="1"/>
  <c r="T341" i="46"/>
  <c r="T347" i="46"/>
  <c r="T362" i="46" s="1"/>
  <c r="T346" i="46"/>
  <c r="T361" i="46" s="1"/>
  <c r="T350" i="46"/>
  <c r="T365" i="46" s="1"/>
  <c r="T349" i="46"/>
  <c r="T364" i="46" s="1"/>
  <c r="T344" i="46"/>
  <c r="T359" i="46" s="1"/>
  <c r="T345" i="46"/>
  <c r="T360" i="46" s="1"/>
  <c r="T343" i="46"/>
  <c r="T358" i="46" s="1"/>
  <c r="U22" i="47"/>
  <c r="U50" i="6"/>
  <c r="M17" i="25"/>
  <c r="M70" i="26" s="1"/>
  <c r="P19" i="38" s="1"/>
  <c r="V88" i="6"/>
  <c r="V91" i="6" s="1"/>
  <c r="V314" i="46"/>
  <c r="Q29" i="26"/>
  <c r="U11" i="25"/>
  <c r="U61" i="26" s="1"/>
  <c r="X77" i="24"/>
  <c r="Y18" i="24"/>
  <c r="X21" i="24"/>
  <c r="U111" i="6"/>
  <c r="U117" i="6" s="1"/>
  <c r="U121" i="6"/>
  <c r="S177" i="6"/>
  <c r="S73" i="44"/>
  <c r="S16" i="47" s="1"/>
  <c r="W104" i="22"/>
  <c r="W105" i="22" s="1"/>
  <c r="U19" i="22"/>
  <c r="U20" i="22" s="1"/>
  <c r="V78" i="22"/>
  <c r="V79" i="22" s="1"/>
  <c r="R120" i="22"/>
  <c r="Q114" i="26"/>
  <c r="Q116" i="26" s="1"/>
  <c r="P193" i="23"/>
  <c r="P196" i="23" s="1"/>
  <c r="P65" i="6" s="1"/>
  <c r="P59" i="6"/>
  <c r="N216" i="23"/>
  <c r="X103" i="22"/>
  <c r="M46" i="35"/>
  <c r="Q201" i="23"/>
  <c r="Q204" i="23" s="1"/>
  <c r="Q66" i="6" s="1"/>
  <c r="Q193" i="6"/>
  <c r="Q196" i="6" s="1"/>
  <c r="P132" i="26"/>
  <c r="P149" i="23"/>
  <c r="Q147" i="23" s="1"/>
  <c r="Y18" i="22"/>
  <c r="R129" i="23"/>
  <c r="R132" i="23" s="1"/>
  <c r="N176" i="6"/>
  <c r="N179" i="6" s="1"/>
  <c r="M128" i="26"/>
  <c r="AB77" i="22"/>
  <c r="R141" i="23"/>
  <c r="S139" i="23" s="1"/>
  <c r="S137" i="22"/>
  <c r="Q145" i="25"/>
  <c r="P141" i="26"/>
  <c r="K26" i="47"/>
  <c r="K30" i="47" s="1"/>
  <c r="J135" i="26"/>
  <c r="T40" i="35"/>
  <c r="Q42" i="26"/>
  <c r="Y126" i="26"/>
  <c r="Z314" i="1"/>
  <c r="Z317" i="1" s="1"/>
  <c r="X135" i="22"/>
  <c r="T37" i="22"/>
  <c r="M18" i="47"/>
  <c r="R169" i="23"/>
  <c r="R172" i="23" s="1"/>
  <c r="R62" i="6" s="1"/>
  <c r="Q185" i="23"/>
  <c r="Q188" i="23" s="1"/>
  <c r="Q64" i="6" s="1"/>
  <c r="AF25" i="6"/>
  <c r="Q161" i="23"/>
  <c r="Q164" i="23" s="1"/>
  <c r="Q61" i="6" s="1"/>
  <c r="K33" i="25"/>
  <c r="R52" i="22"/>
  <c r="R53" i="22" s="1"/>
  <c r="W119" i="26"/>
  <c r="X320" i="1"/>
  <c r="X323" i="1" s="1"/>
  <c r="S155" i="22"/>
  <c r="Y51" i="22"/>
  <c r="X308" i="1" l="1"/>
  <c r="X311" i="1" s="1"/>
  <c r="W130" i="26"/>
  <c r="T38" i="22"/>
  <c r="Q165" i="23"/>
  <c r="R163" i="23" s="1"/>
  <c r="R161" i="23" s="1"/>
  <c r="R164" i="23" s="1"/>
  <c r="R61" i="6" s="1"/>
  <c r="O210" i="23"/>
  <c r="O211" i="23"/>
  <c r="T123" i="6"/>
  <c r="U120" i="6" s="1"/>
  <c r="N21" i="47"/>
  <c r="N188" i="6"/>
  <c r="Q138" i="25"/>
  <c r="Q139" i="25"/>
  <c r="Q141" i="25" s="1"/>
  <c r="Q128" i="25"/>
  <c r="Q129" i="25"/>
  <c r="Q131" i="25" s="1"/>
  <c r="Q118" i="25"/>
  <c r="Q119" i="25"/>
  <c r="Q121" i="25" s="1"/>
  <c r="W131" i="26"/>
  <c r="X172" i="22"/>
  <c r="X175" i="22" s="1"/>
  <c r="P153" i="23"/>
  <c r="P156" i="23" s="1"/>
  <c r="P60" i="6" s="1"/>
  <c r="P68" i="6" s="1"/>
  <c r="T41" i="35"/>
  <c r="T72" i="26"/>
  <c r="T29" i="26"/>
  <c r="AF39" i="6"/>
  <c r="AF85" i="6"/>
  <c r="O77" i="6"/>
  <c r="O17" i="25" s="1"/>
  <c r="O70" i="26" s="1"/>
  <c r="R19" i="38" s="1"/>
  <c r="O73" i="6"/>
  <c r="U28" i="35"/>
  <c r="U27" i="35"/>
  <c r="V26" i="35"/>
  <c r="W325" i="46"/>
  <c r="W82" i="24"/>
  <c r="W39" i="26" s="1"/>
  <c r="W36" i="44"/>
  <c r="W30" i="6"/>
  <c r="S366" i="46"/>
  <c r="U336" i="46"/>
  <c r="U15" i="47" s="1"/>
  <c r="U26" i="26"/>
  <c r="U344" i="46"/>
  <c r="U359" i="46" s="1"/>
  <c r="U343" i="46"/>
  <c r="U358" i="46" s="1"/>
  <c r="U341" i="46"/>
  <c r="U348" i="46"/>
  <c r="U363" i="46" s="1"/>
  <c r="U342" i="46"/>
  <c r="U357" i="46" s="1"/>
  <c r="U350" i="46"/>
  <c r="U365" i="46" s="1"/>
  <c r="U347" i="46"/>
  <c r="U362" i="46" s="1"/>
  <c r="U346" i="46"/>
  <c r="U361" i="46" s="1"/>
  <c r="U349" i="46"/>
  <c r="U364" i="46" s="1"/>
  <c r="U345" i="46"/>
  <c r="U360" i="46" s="1"/>
  <c r="N118" i="26"/>
  <c r="Y77" i="24"/>
  <c r="Z18" i="24"/>
  <c r="Y21" i="24"/>
  <c r="U33" i="26"/>
  <c r="U68" i="44"/>
  <c r="U72" i="44" s="1"/>
  <c r="V122" i="23"/>
  <c r="V24" i="26" s="1"/>
  <c r="S41" i="35"/>
  <c r="AF116" i="23"/>
  <c r="V148" i="6"/>
  <c r="V173" i="6" s="1"/>
  <c r="V42" i="44"/>
  <c r="AG308" i="46"/>
  <c r="AG16" i="26"/>
  <c r="AG159" i="23"/>
  <c r="AG19" i="6"/>
  <c r="AG87" i="23"/>
  <c r="AG89" i="24"/>
  <c r="AX448" i="36"/>
  <c r="I74" i="24"/>
  <c r="AY448" i="36"/>
  <c r="W31" i="6"/>
  <c r="X99" i="23"/>
  <c r="X183" i="23"/>
  <c r="X184" i="23" s="1"/>
  <c r="X22" i="6"/>
  <c r="X26" i="6" s="1"/>
  <c r="X19" i="26"/>
  <c r="X22" i="26" s="1"/>
  <c r="X311" i="46"/>
  <c r="X92" i="24"/>
  <c r="X80" i="24"/>
  <c r="V333" i="46"/>
  <c r="V95" i="6"/>
  <c r="T351" i="46"/>
  <c r="T356" i="46"/>
  <c r="T366" i="46" s="1"/>
  <c r="U182" i="6"/>
  <c r="U19" i="25" s="1"/>
  <c r="U72" i="26" s="1"/>
  <c r="U178" i="6"/>
  <c r="S18" i="25"/>
  <c r="V13" i="47"/>
  <c r="V49" i="6"/>
  <c r="U27" i="26"/>
  <c r="U28" i="26" s="1"/>
  <c r="V111" i="6"/>
  <c r="V117" i="6" s="1"/>
  <c r="V121" i="6"/>
  <c r="S29" i="26"/>
  <c r="S37" i="26"/>
  <c r="T72" i="44"/>
  <c r="W42" i="6"/>
  <c r="W45" i="6" s="1"/>
  <c r="W95" i="24"/>
  <c r="T20" i="38"/>
  <c r="V20" i="38" s="1"/>
  <c r="U126" i="6"/>
  <c r="U18" i="25" s="1"/>
  <c r="U71" i="26" s="1"/>
  <c r="U122" i="6"/>
  <c r="V16" i="25"/>
  <c r="V69" i="26" s="1"/>
  <c r="V96" i="6"/>
  <c r="AE360" i="46"/>
  <c r="V22" i="47"/>
  <c r="V50" i="6"/>
  <c r="O215" i="23"/>
  <c r="O216" i="23" s="1"/>
  <c r="O72" i="6"/>
  <c r="T36" i="26"/>
  <c r="T37" i="26" s="1"/>
  <c r="W88" i="6"/>
  <c r="W91" i="6" s="1"/>
  <c r="W314" i="46"/>
  <c r="W119" i="23"/>
  <c r="W109" i="23"/>
  <c r="V11" i="25"/>
  <c r="V61" i="26" s="1"/>
  <c r="T113" i="26"/>
  <c r="U35" i="22"/>
  <c r="W78" i="22"/>
  <c r="W79" i="22" s="1"/>
  <c r="X104" i="22"/>
  <c r="X105" i="22" s="1"/>
  <c r="S52" i="22"/>
  <c r="S53" i="22" s="1"/>
  <c r="AG25" i="6"/>
  <c r="AC77" i="22"/>
  <c r="O176" i="6"/>
  <c r="O179" i="6" s="1"/>
  <c r="N128" i="26"/>
  <c r="R57" i="6"/>
  <c r="R193" i="6"/>
  <c r="R196" i="6" s="1"/>
  <c r="Q132" i="26"/>
  <c r="M27" i="47"/>
  <c r="Y135" i="22"/>
  <c r="Z126" i="26"/>
  <c r="AA314" i="1"/>
  <c r="AA317" i="1" s="1"/>
  <c r="T136" i="22"/>
  <c r="T154" i="22" s="1"/>
  <c r="R133" i="23"/>
  <c r="S131" i="23" s="1"/>
  <c r="Y103" i="22"/>
  <c r="P197" i="23"/>
  <c r="Q195" i="23" s="1"/>
  <c r="S115" i="26"/>
  <c r="T152" i="22"/>
  <c r="R122" i="22"/>
  <c r="R123" i="22" s="1"/>
  <c r="R164" i="22"/>
  <c r="R41" i="26" s="1"/>
  <c r="Q189" i="23"/>
  <c r="R187" i="23" s="1"/>
  <c r="R173" i="23"/>
  <c r="S171" i="23" s="1"/>
  <c r="Q181" i="23"/>
  <c r="R179" i="23" s="1"/>
  <c r="Z18" i="22"/>
  <c r="U37" i="22"/>
  <c r="K84" i="26"/>
  <c r="Q149" i="25"/>
  <c r="Q31" i="25" s="1"/>
  <c r="Q83" i="26" s="1"/>
  <c r="T32" i="38" s="1"/>
  <c r="Q147" i="25"/>
  <c r="V19" i="22"/>
  <c r="V20" i="22" s="1"/>
  <c r="L26" i="47"/>
  <c r="L30" i="47" s="1"/>
  <c r="K135" i="26"/>
  <c r="Z51" i="22"/>
  <c r="X119" i="26"/>
  <c r="Y320" i="1"/>
  <c r="Y323" i="1" s="1"/>
  <c r="S137" i="23"/>
  <c r="S140" i="23" s="1"/>
  <c r="S58" i="6" s="1"/>
  <c r="Q145" i="23"/>
  <c r="Q148" i="23" s="1"/>
  <c r="P209" i="23"/>
  <c r="O118" i="26"/>
  <c r="Q205" i="23"/>
  <c r="R203" i="23" s="1"/>
  <c r="N14" i="47"/>
  <c r="N187" i="6"/>
  <c r="X130" i="26" l="1"/>
  <c r="Y308" i="1"/>
  <c r="Y311" i="1" s="1"/>
  <c r="P210" i="23"/>
  <c r="P72" i="6" s="1"/>
  <c r="P157" i="23"/>
  <c r="Q155" i="23" s="1"/>
  <c r="Q153" i="23" s="1"/>
  <c r="Q156" i="23" s="1"/>
  <c r="Q60" i="6" s="1"/>
  <c r="U123" i="6"/>
  <c r="V120" i="6" s="1"/>
  <c r="R125" i="25"/>
  <c r="Q144" i="26"/>
  <c r="Q143" i="26"/>
  <c r="R115" i="25"/>
  <c r="R135" i="25"/>
  <c r="Q145" i="26"/>
  <c r="U38" i="22"/>
  <c r="U113" i="26" s="1"/>
  <c r="X131" i="26"/>
  <c r="Y172" i="22"/>
  <c r="Y175" i="22" s="1"/>
  <c r="O187" i="6"/>
  <c r="O14" i="47"/>
  <c r="O18" i="47" s="1"/>
  <c r="O27" i="47" s="1"/>
  <c r="W22" i="47"/>
  <c r="W50" i="6"/>
  <c r="U29" i="26"/>
  <c r="T352" i="46"/>
  <c r="X31" i="6"/>
  <c r="W11" i="25"/>
  <c r="W61" i="26" s="1"/>
  <c r="L113" i="36"/>
  <c r="V33" i="26"/>
  <c r="V68" i="44"/>
  <c r="W122" i="23"/>
  <c r="W24" i="26" s="1"/>
  <c r="X42" i="6"/>
  <c r="X45" i="6" s="1"/>
  <c r="X95" i="24"/>
  <c r="AG160" i="23"/>
  <c r="I159" i="23"/>
  <c r="V182" i="6"/>
  <c r="V19" i="25" s="1"/>
  <c r="V72" i="26" s="1"/>
  <c r="V178" i="6"/>
  <c r="U177" i="6"/>
  <c r="U73" i="44"/>
  <c r="U16" i="47" s="1"/>
  <c r="U351" i="46"/>
  <c r="U352" i="46" s="1"/>
  <c r="U356" i="46"/>
  <c r="W111" i="6"/>
  <c r="W117" i="6" s="1"/>
  <c r="W121" i="6"/>
  <c r="R165" i="23"/>
  <c r="S163" i="23" s="1"/>
  <c r="W95" i="6"/>
  <c r="W333" i="46"/>
  <c r="T73" i="44"/>
  <c r="T177" i="6"/>
  <c r="V122" i="6"/>
  <c r="V126" i="6"/>
  <c r="V18" i="25" s="1"/>
  <c r="S71" i="26"/>
  <c r="AC38" i="36"/>
  <c r="V336" i="46"/>
  <c r="V15" i="47" s="1"/>
  <c r="V26" i="26"/>
  <c r="V27" i="26" s="1"/>
  <c r="V28" i="26" s="1"/>
  <c r="V348" i="46"/>
  <c r="V363" i="46" s="1"/>
  <c r="V345" i="46"/>
  <c r="V360" i="46" s="1"/>
  <c r="V349" i="46"/>
  <c r="V364" i="46" s="1"/>
  <c r="V344" i="46"/>
  <c r="V359" i="46" s="1"/>
  <c r="V342" i="46"/>
  <c r="V357" i="46" s="1"/>
  <c r="V341" i="46"/>
  <c r="V347" i="46"/>
  <c r="V362" i="46" s="1"/>
  <c r="V346" i="46"/>
  <c r="V361" i="46" s="1"/>
  <c r="V343" i="46"/>
  <c r="V358" i="46" s="1"/>
  <c r="V350" i="46"/>
  <c r="V365" i="46" s="1"/>
  <c r="X88" i="6"/>
  <c r="X91" i="6" s="1"/>
  <c r="X314" i="46"/>
  <c r="X119" i="23"/>
  <c r="X109" i="23"/>
  <c r="Q113" i="36"/>
  <c r="AG39" i="6"/>
  <c r="I89" i="24"/>
  <c r="X15" i="35"/>
  <c r="Y15" i="35"/>
  <c r="I16" i="26"/>
  <c r="Z15" i="35"/>
  <c r="W15" i="35"/>
  <c r="U36" i="26"/>
  <c r="U37" i="26" s="1"/>
  <c r="Z77" i="24"/>
  <c r="AA18" i="24"/>
  <c r="Z21" i="24"/>
  <c r="L62" i="36"/>
  <c r="V28" i="35"/>
  <c r="W16" i="25"/>
  <c r="W69" i="26" s="1"/>
  <c r="W96" i="6"/>
  <c r="W13" i="47"/>
  <c r="W49" i="6"/>
  <c r="X36" i="44"/>
  <c r="X325" i="46"/>
  <c r="X82" i="24"/>
  <c r="X39" i="26" s="1"/>
  <c r="X30" i="6"/>
  <c r="L19" i="6"/>
  <c r="K19" i="6"/>
  <c r="J19" i="6"/>
  <c r="AG116" i="23"/>
  <c r="I87" i="23"/>
  <c r="AG85" i="6"/>
  <c r="I308" i="46"/>
  <c r="AF360" i="46"/>
  <c r="Y183" i="23"/>
  <c r="Y184" i="23" s="1"/>
  <c r="Y19" i="26"/>
  <c r="Y22" i="26" s="1"/>
  <c r="Y22" i="6"/>
  <c r="Y26" i="6" s="1"/>
  <c r="Y311" i="46"/>
  <c r="Y99" i="23"/>
  <c r="Y92" i="24"/>
  <c r="Y80" i="24"/>
  <c r="W148" i="6"/>
  <c r="W173" i="6" s="1"/>
  <c r="W42" i="44"/>
  <c r="U36" i="35"/>
  <c r="V36" i="35" s="1"/>
  <c r="V27" i="35"/>
  <c r="O188" i="6"/>
  <c r="O21" i="47"/>
  <c r="Y104" i="22"/>
  <c r="Y105" i="22" s="1"/>
  <c r="X78" i="22"/>
  <c r="X79" i="22" s="1"/>
  <c r="N18" i="47"/>
  <c r="R201" i="23"/>
  <c r="R204" i="23" s="1"/>
  <c r="R66" i="6" s="1"/>
  <c r="M26" i="47"/>
  <c r="M30" i="47" s="1"/>
  <c r="L135" i="26"/>
  <c r="W19" i="22"/>
  <c r="R177" i="23"/>
  <c r="R180" i="23" s="1"/>
  <c r="R63" i="6" s="1"/>
  <c r="S129" i="23"/>
  <c r="S132" i="23" s="1"/>
  <c r="AA126" i="26"/>
  <c r="AB314" i="1"/>
  <c r="AB317" i="1" s="1"/>
  <c r="S122" i="22"/>
  <c r="S164" i="22"/>
  <c r="S41" i="26" s="1"/>
  <c r="S42" i="26" s="1"/>
  <c r="S169" i="23"/>
  <c r="S172" i="23" s="1"/>
  <c r="S62" i="6" s="1"/>
  <c r="T155" i="22"/>
  <c r="Q193" i="23"/>
  <c r="Q196" i="23" s="1"/>
  <c r="Q65" i="6" s="1"/>
  <c r="N29" i="47"/>
  <c r="S161" i="23"/>
  <c r="S164" i="23" s="1"/>
  <c r="S61" i="6" s="1"/>
  <c r="R132" i="26"/>
  <c r="S193" i="6"/>
  <c r="S196" i="6" s="1"/>
  <c r="P176" i="6"/>
  <c r="P179" i="6" s="1"/>
  <c r="O128" i="26"/>
  <c r="T52" i="22"/>
  <c r="P73" i="6"/>
  <c r="P77" i="6"/>
  <c r="Q59" i="6"/>
  <c r="S120" i="22"/>
  <c r="R114" i="26"/>
  <c r="R116" i="26" s="1"/>
  <c r="R185" i="23"/>
  <c r="R188" i="23" s="1"/>
  <c r="R64" i="6" s="1"/>
  <c r="Z103" i="22"/>
  <c r="T137" i="22"/>
  <c r="AD77" i="22"/>
  <c r="I25" i="6"/>
  <c r="Q149" i="23"/>
  <c r="R147" i="23" s="1"/>
  <c r="S141" i="23"/>
  <c r="T139" i="23" s="1"/>
  <c r="Y119" i="26"/>
  <c r="Z320" i="1"/>
  <c r="Z323" i="1" s="1"/>
  <c r="AA51" i="22"/>
  <c r="V37" i="22"/>
  <c r="R145" i="25"/>
  <c r="Q141" i="26"/>
  <c r="N33" i="38"/>
  <c r="AA18" i="22"/>
  <c r="U40" i="35"/>
  <c r="R42" i="26"/>
  <c r="Z135" i="22"/>
  <c r="P211" i="23" l="1"/>
  <c r="P118" i="26" s="1"/>
  <c r="P215" i="23"/>
  <c r="P216" i="23" s="1"/>
  <c r="P187" i="6" s="1"/>
  <c r="Y130" i="26"/>
  <c r="Z308" i="1"/>
  <c r="Z311" i="1" s="1"/>
  <c r="S123" i="22"/>
  <c r="S114" i="26" s="1"/>
  <c r="S116" i="26" s="1"/>
  <c r="Q157" i="23"/>
  <c r="R155" i="23" s="1"/>
  <c r="V123" i="6"/>
  <c r="W120" i="6" s="1"/>
  <c r="R118" i="25"/>
  <c r="R119" i="25"/>
  <c r="R121" i="25" s="1"/>
  <c r="R138" i="25"/>
  <c r="R139" i="25"/>
  <c r="R141" i="25" s="1"/>
  <c r="R129" i="25"/>
  <c r="R131" i="25" s="1"/>
  <c r="R128" i="25"/>
  <c r="Y131" i="26"/>
  <c r="Z172" i="22"/>
  <c r="Z175" i="22" s="1"/>
  <c r="V35" i="22"/>
  <c r="V38" i="22" s="1"/>
  <c r="V113" i="26" s="1"/>
  <c r="Q209" i="23"/>
  <c r="V71" i="26"/>
  <c r="W178" i="6"/>
  <c r="W182" i="6"/>
  <c r="W19" i="25" s="1"/>
  <c r="W72" i="26" s="1"/>
  <c r="Y42" i="6"/>
  <c r="Y45" i="6" s="1"/>
  <c r="Y11" i="25" s="1"/>
  <c r="Y61" i="26" s="1"/>
  <c r="Y95" i="24"/>
  <c r="J85" i="6"/>
  <c r="K85" i="6"/>
  <c r="L85" i="6"/>
  <c r="X111" i="6"/>
  <c r="X117" i="6" s="1"/>
  <c r="X121" i="6"/>
  <c r="O62" i="36"/>
  <c r="L63" i="36"/>
  <c r="V351" i="46"/>
  <c r="V352" i="46" s="1"/>
  <c r="V356" i="46"/>
  <c r="V366" i="46" s="1"/>
  <c r="T16" i="47"/>
  <c r="X13" i="47"/>
  <c r="X49" i="6"/>
  <c r="V72" i="44"/>
  <c r="Y119" i="23"/>
  <c r="Y109" i="23"/>
  <c r="AG360" i="46"/>
  <c r="I116" i="23"/>
  <c r="X148" i="6"/>
  <c r="X173" i="6" s="1"/>
  <c r="X42" i="44"/>
  <c r="K39" i="6"/>
  <c r="J39" i="6"/>
  <c r="L39" i="6"/>
  <c r="X122" i="23"/>
  <c r="X24" i="26" s="1"/>
  <c r="W26" i="26"/>
  <c r="W27" i="26" s="1"/>
  <c r="W28" i="26" s="1"/>
  <c r="W29" i="26" s="1"/>
  <c r="W336" i="46"/>
  <c r="W15" i="47" s="1"/>
  <c r="W341" i="46"/>
  <c r="W346" i="46"/>
  <c r="W361" i="46" s="1"/>
  <c r="W344" i="46"/>
  <c r="W359" i="46" s="1"/>
  <c r="W349" i="46"/>
  <c r="W364" i="46" s="1"/>
  <c r="W347" i="46"/>
  <c r="W362" i="46" s="1"/>
  <c r="W342" i="46"/>
  <c r="W357" i="46" s="1"/>
  <c r="W350" i="46"/>
  <c r="W365" i="46" s="1"/>
  <c r="W348" i="46"/>
  <c r="W363" i="46" s="1"/>
  <c r="W345" i="46"/>
  <c r="W360" i="46" s="1"/>
  <c r="W343" i="46"/>
  <c r="W358" i="46" s="1"/>
  <c r="X22" i="47"/>
  <c r="X50" i="6"/>
  <c r="V36" i="26"/>
  <c r="V37" i="26" s="1"/>
  <c r="S165" i="23"/>
  <c r="T163" i="23" s="1"/>
  <c r="T161" i="23" s="1"/>
  <c r="T164" i="23" s="1"/>
  <c r="T61" i="6" s="1"/>
  <c r="R181" i="23"/>
  <c r="S179" i="23" s="1"/>
  <c r="S177" i="23" s="1"/>
  <c r="S180" i="23" s="1"/>
  <c r="S63" i="6" s="1"/>
  <c r="Y82" i="24"/>
  <c r="Y39" i="26" s="1"/>
  <c r="Y36" i="44"/>
  <c r="Y325" i="46"/>
  <c r="Y30" i="6"/>
  <c r="Y88" i="6"/>
  <c r="Y91" i="6" s="1"/>
  <c r="Y314" i="46"/>
  <c r="I19" i="6"/>
  <c r="AB18" i="24"/>
  <c r="AA77" i="24"/>
  <c r="AA21" i="24"/>
  <c r="V29" i="26"/>
  <c r="X333" i="46"/>
  <c r="X95" i="6"/>
  <c r="W122" i="6"/>
  <c r="W126" i="6"/>
  <c r="W18" i="25" s="1"/>
  <c r="W71" i="26" s="1"/>
  <c r="W33" i="26"/>
  <c r="W68" i="44"/>
  <c r="W72" i="44" s="1"/>
  <c r="Y31" i="6"/>
  <c r="Z311" i="46"/>
  <c r="Z19" i="26"/>
  <c r="Z22" i="26" s="1"/>
  <c r="Z183" i="23"/>
  <c r="Z184" i="23" s="1"/>
  <c r="Z99" i="23"/>
  <c r="Z22" i="6"/>
  <c r="Z26" i="6" s="1"/>
  <c r="Z92" i="24"/>
  <c r="Z80" i="24"/>
  <c r="AA15" i="35"/>
  <c r="R153" i="23"/>
  <c r="R156" i="23" s="1"/>
  <c r="R60" i="6" s="1"/>
  <c r="X16" i="25"/>
  <c r="X69" i="26" s="1"/>
  <c r="X96" i="6"/>
  <c r="U366" i="46"/>
  <c r="X11" i="25"/>
  <c r="X61" i="26" s="1"/>
  <c r="Z104" i="22"/>
  <c r="Z105" i="22" s="1"/>
  <c r="AB18" i="22"/>
  <c r="S57" i="6"/>
  <c r="W37" i="22"/>
  <c r="U136" i="22"/>
  <c r="U154" i="22" s="1"/>
  <c r="T122" i="22"/>
  <c r="T164" i="22"/>
  <c r="T41" i="26" s="1"/>
  <c r="T42" i="26" s="1"/>
  <c r="S132" i="26"/>
  <c r="T193" i="6"/>
  <c r="T196" i="6" s="1"/>
  <c r="AA320" i="1"/>
  <c r="AA323" i="1" s="1"/>
  <c r="Z119" i="26"/>
  <c r="R145" i="23"/>
  <c r="R148" i="23" s="1"/>
  <c r="R149" i="23" s="1"/>
  <c r="S147" i="23" s="1"/>
  <c r="AE77" i="22"/>
  <c r="T120" i="22"/>
  <c r="Q68" i="6"/>
  <c r="T115" i="26"/>
  <c r="U152" i="22"/>
  <c r="N26" i="47"/>
  <c r="M135" i="26"/>
  <c r="P188" i="6"/>
  <c r="P21" i="47"/>
  <c r="Q176" i="6"/>
  <c r="Q179" i="6" s="1"/>
  <c r="P128" i="26"/>
  <c r="Y78" i="22"/>
  <c r="Y79" i="22" s="1"/>
  <c r="R189" i="23"/>
  <c r="S187" i="23" s="1"/>
  <c r="N33" i="25"/>
  <c r="S173" i="23"/>
  <c r="T171" i="23" s="1"/>
  <c r="AC314" i="1"/>
  <c r="AC317" i="1" s="1"/>
  <c r="AB126" i="26"/>
  <c r="S133" i="23"/>
  <c r="T131" i="23" s="1"/>
  <c r="W20" i="22"/>
  <c r="AA135" i="22"/>
  <c r="V40" i="35"/>
  <c r="U41" i="35"/>
  <c r="V41" i="35" s="1"/>
  <c r="R149" i="25"/>
  <c r="R31" i="25" s="1"/>
  <c r="R83" i="26" s="1"/>
  <c r="U32" i="38" s="1"/>
  <c r="V32" i="38" s="1"/>
  <c r="R147" i="25"/>
  <c r="AB51" i="22"/>
  <c r="T137" i="23"/>
  <c r="T140" i="23" s="1"/>
  <c r="T58" i="6" s="1"/>
  <c r="AA103" i="22"/>
  <c r="Q210" i="23"/>
  <c r="P17" i="25"/>
  <c r="P70" i="26" s="1"/>
  <c r="S19" i="38" s="1"/>
  <c r="T53" i="22"/>
  <c r="Q197" i="23"/>
  <c r="R195" i="23" s="1"/>
  <c r="R205" i="23"/>
  <c r="S203" i="23" s="1"/>
  <c r="N27" i="47"/>
  <c r="P14" i="47" l="1"/>
  <c r="P18" i="47" s="1"/>
  <c r="P27" i="47" s="1"/>
  <c r="Z130" i="26"/>
  <c r="AA308" i="1"/>
  <c r="AA311" i="1" s="1"/>
  <c r="W35" i="22"/>
  <c r="W38" i="22" s="1"/>
  <c r="W123" i="6"/>
  <c r="X120" i="6" s="1"/>
  <c r="R144" i="26"/>
  <c r="S125" i="25"/>
  <c r="R145" i="26"/>
  <c r="S135" i="25"/>
  <c r="R143" i="26"/>
  <c r="S115" i="25"/>
  <c r="AA172" i="22"/>
  <c r="AA175" i="22" s="1"/>
  <c r="Z131" i="26"/>
  <c r="W36" i="26"/>
  <c r="W37" i="26" s="1"/>
  <c r="Y96" i="6"/>
  <c r="Y16" i="25"/>
  <c r="Y69" i="26" s="1"/>
  <c r="Y148" i="6"/>
  <c r="Y173" i="6" s="1"/>
  <c r="Y42" i="44"/>
  <c r="I39" i="6"/>
  <c r="Y122" i="23"/>
  <c r="Y24" i="26" s="1"/>
  <c r="V177" i="6"/>
  <c r="V73" i="44"/>
  <c r="O63" i="36"/>
  <c r="AX411" i="36"/>
  <c r="L65" i="36"/>
  <c r="Y13" i="47"/>
  <c r="Y49" i="6"/>
  <c r="Z42" i="6"/>
  <c r="Z45" i="6" s="1"/>
  <c r="Z95" i="24"/>
  <c r="AA99" i="23"/>
  <c r="AA183" i="23"/>
  <c r="AA184" i="23" s="1"/>
  <c r="AA311" i="46"/>
  <c r="AA19" i="26"/>
  <c r="AA22" i="26" s="1"/>
  <c r="AA22" i="6"/>
  <c r="AA26" i="6" s="1"/>
  <c r="AA92" i="24"/>
  <c r="AA80" i="24"/>
  <c r="I85" i="6"/>
  <c r="Y50" i="6"/>
  <c r="Y22" i="47"/>
  <c r="T141" i="23"/>
  <c r="U139" i="23" s="1"/>
  <c r="T165" i="23"/>
  <c r="U163" i="23" s="1"/>
  <c r="U161" i="23" s="1"/>
  <c r="U164" i="23" s="1"/>
  <c r="U61" i="6" s="1"/>
  <c r="R157" i="23"/>
  <c r="S155" i="23" s="1"/>
  <c r="Z31" i="6"/>
  <c r="Z88" i="6"/>
  <c r="Z91" i="6" s="1"/>
  <c r="Z314" i="46"/>
  <c r="X336" i="46"/>
  <c r="X15" i="47" s="1"/>
  <c r="X26" i="26"/>
  <c r="X27" i="26" s="1"/>
  <c r="X28" i="26" s="1"/>
  <c r="X348" i="46"/>
  <c r="X363" i="46" s="1"/>
  <c r="X347" i="46"/>
  <c r="X362" i="46" s="1"/>
  <c r="X342" i="46"/>
  <c r="X357" i="46" s="1"/>
  <c r="X346" i="46"/>
  <c r="X361" i="46" s="1"/>
  <c r="X344" i="46"/>
  <c r="X359" i="46" s="1"/>
  <c r="X343" i="46"/>
  <c r="X358" i="46" s="1"/>
  <c r="X350" i="46"/>
  <c r="X365" i="46" s="1"/>
  <c r="X345" i="46"/>
  <c r="X360" i="46" s="1"/>
  <c r="X349" i="46"/>
  <c r="X364" i="46" s="1"/>
  <c r="X341" i="46"/>
  <c r="AB77" i="24"/>
  <c r="AC18" i="24"/>
  <c r="AB21" i="24"/>
  <c r="W351" i="46"/>
  <c r="W352" i="46" s="1"/>
  <c r="W356" i="46"/>
  <c r="W366" i="46" s="1"/>
  <c r="X33" i="26"/>
  <c r="X68" i="44"/>
  <c r="X72" i="44" s="1"/>
  <c r="Z325" i="46"/>
  <c r="Z36" i="44"/>
  <c r="Z82" i="24"/>
  <c r="Z39" i="26" s="1"/>
  <c r="Z30" i="6"/>
  <c r="Z119" i="23"/>
  <c r="Z109" i="23"/>
  <c r="W177" i="6"/>
  <c r="W73" i="44"/>
  <c r="W16" i="47" s="1"/>
  <c r="Y95" i="6"/>
  <c r="Y333" i="46"/>
  <c r="Y111" i="6"/>
  <c r="Y117" i="6" s="1"/>
  <c r="Y121" i="6"/>
  <c r="X178" i="6"/>
  <c r="X182" i="6"/>
  <c r="X19" i="25" s="1"/>
  <c r="X72" i="26" s="1"/>
  <c r="X126" i="6"/>
  <c r="X18" i="25" s="1"/>
  <c r="X71" i="26" s="1"/>
  <c r="X122" i="6"/>
  <c r="S145" i="23"/>
  <c r="S148" i="23" s="1"/>
  <c r="Z78" i="22"/>
  <c r="Z79" i="22" s="1"/>
  <c r="AA104" i="22"/>
  <c r="AA105" i="22" s="1"/>
  <c r="Q29" i="47"/>
  <c r="Q33" i="25" s="1"/>
  <c r="Q84" i="26" s="1"/>
  <c r="T33" i="38" s="1"/>
  <c r="O29" i="47"/>
  <c r="P29" i="47"/>
  <c r="P33" i="25" s="1"/>
  <c r="P84" i="26" s="1"/>
  <c r="S33" i="38" s="1"/>
  <c r="AF77" i="22"/>
  <c r="AC18" i="22"/>
  <c r="S201" i="23"/>
  <c r="S204" i="23" s="1"/>
  <c r="S66" i="6" s="1"/>
  <c r="Q72" i="6"/>
  <c r="Q215" i="23"/>
  <c r="Q216" i="23" s="1"/>
  <c r="AB135" i="22"/>
  <c r="AD314" i="1"/>
  <c r="AD317" i="1" s="1"/>
  <c r="AC126" i="26"/>
  <c r="N84" i="26"/>
  <c r="N30" i="47"/>
  <c r="R193" i="23"/>
  <c r="R196" i="23" s="1"/>
  <c r="R65" i="6" s="1"/>
  <c r="AB103" i="22"/>
  <c r="X19" i="22"/>
  <c r="X20" i="22" s="1"/>
  <c r="S185" i="23"/>
  <c r="S188" i="23" s="1"/>
  <c r="S64" i="6" s="1"/>
  <c r="U52" i="22"/>
  <c r="U53" i="22" s="1"/>
  <c r="S145" i="25"/>
  <c r="R141" i="26"/>
  <c r="L71" i="36"/>
  <c r="L256" i="36"/>
  <c r="T129" i="23"/>
  <c r="T132" i="23" s="1"/>
  <c r="T169" i="23"/>
  <c r="T172" i="23" s="1"/>
  <c r="T62" i="6" s="1"/>
  <c r="Q211" i="23"/>
  <c r="S181" i="23"/>
  <c r="T179" i="23" s="1"/>
  <c r="U137" i="23"/>
  <c r="U140" i="23" s="1"/>
  <c r="U58" i="6" s="1"/>
  <c r="Q73" i="6"/>
  <c r="Q77" i="6"/>
  <c r="Q17" i="25" s="1"/>
  <c r="Q70" i="26" s="1"/>
  <c r="T19" i="38" s="1"/>
  <c r="U193" i="6"/>
  <c r="U196" i="6" s="1"/>
  <c r="T132" i="26"/>
  <c r="AC51" i="22"/>
  <c r="R176" i="6"/>
  <c r="R179" i="6" s="1"/>
  <c r="Q128" i="26"/>
  <c r="U155" i="22"/>
  <c r="T123" i="22"/>
  <c r="R59" i="6"/>
  <c r="AA119" i="26"/>
  <c r="AB320" i="1"/>
  <c r="AB323" i="1" s="1"/>
  <c r="U137" i="22"/>
  <c r="AA130" i="26" l="1"/>
  <c r="AB308" i="1"/>
  <c r="AB311" i="1" s="1"/>
  <c r="R210" i="23"/>
  <c r="S189" i="23"/>
  <c r="T187" i="23" s="1"/>
  <c r="T185" i="23" s="1"/>
  <c r="T188" i="23" s="1"/>
  <c r="T64" i="6" s="1"/>
  <c r="X123" i="6"/>
  <c r="Y120" i="6" s="1"/>
  <c r="S138" i="25"/>
  <c r="S139" i="25"/>
  <c r="S141" i="25" s="1"/>
  <c r="S118" i="25"/>
  <c r="S119" i="25"/>
  <c r="S121" i="25" s="1"/>
  <c r="S128" i="25"/>
  <c r="S129" i="25"/>
  <c r="S131" i="25" s="1"/>
  <c r="AB172" i="22"/>
  <c r="AB175" i="22" s="1"/>
  <c r="AA131" i="26"/>
  <c r="U165" i="23"/>
  <c r="V163" i="23" s="1"/>
  <c r="X29" i="26"/>
  <c r="AA42" i="6"/>
  <c r="AA45" i="6" s="1"/>
  <c r="AA95" i="24"/>
  <c r="Z22" i="47"/>
  <c r="Z50" i="6"/>
  <c r="O65" i="36"/>
  <c r="L70" i="36"/>
  <c r="O70" i="36" s="1"/>
  <c r="Y33" i="26"/>
  <c r="Y36" i="26" s="1"/>
  <c r="Y68" i="44"/>
  <c r="Y72" i="44" s="1"/>
  <c r="Y126" i="6"/>
  <c r="Y18" i="25" s="1"/>
  <c r="Y71" i="26" s="1"/>
  <c r="Y122" i="6"/>
  <c r="Z111" i="6"/>
  <c r="Z117" i="6" s="1"/>
  <c r="Z121" i="6"/>
  <c r="AB99" i="23"/>
  <c r="AB183" i="23"/>
  <c r="AB184" i="23" s="1"/>
  <c r="AB22" i="6"/>
  <c r="AB26" i="6" s="1"/>
  <c r="AB19" i="26"/>
  <c r="AB22" i="26" s="1"/>
  <c r="AB311" i="46"/>
  <c r="AB92" i="24"/>
  <c r="AB80" i="24"/>
  <c r="V16" i="47"/>
  <c r="Y178" i="6"/>
  <c r="Y182" i="6"/>
  <c r="Y19" i="25" s="1"/>
  <c r="Y72" i="26" s="1"/>
  <c r="T173" i="23"/>
  <c r="U171" i="23" s="1"/>
  <c r="U169" i="23" s="1"/>
  <c r="U172" i="23" s="1"/>
  <c r="Y336" i="46"/>
  <c r="Y15" i="47" s="1"/>
  <c r="Y26" i="26"/>
  <c r="Y27" i="26" s="1"/>
  <c r="Y28" i="26" s="1"/>
  <c r="Y341" i="46"/>
  <c r="Y342" i="46"/>
  <c r="Y357" i="46" s="1"/>
  <c r="Y344" i="46"/>
  <c r="Y359" i="46" s="1"/>
  <c r="Y349" i="46"/>
  <c r="Y364" i="46" s="1"/>
  <c r="Y348" i="46"/>
  <c r="Y363" i="46" s="1"/>
  <c r="Y347" i="46"/>
  <c r="Y362" i="46" s="1"/>
  <c r="Y350" i="46"/>
  <c r="Y365" i="46" s="1"/>
  <c r="Y345" i="46"/>
  <c r="Y360" i="46" s="1"/>
  <c r="Y346" i="46"/>
  <c r="Y361" i="46" s="1"/>
  <c r="Y343" i="46"/>
  <c r="Y358" i="46" s="1"/>
  <c r="X356" i="46"/>
  <c r="X366" i="46" s="1"/>
  <c r="X351" i="46"/>
  <c r="X352" i="46" s="1"/>
  <c r="Z11" i="25"/>
  <c r="Z61" i="26" s="1"/>
  <c r="AA325" i="46"/>
  <c r="AA36" i="44"/>
  <c r="AA30" i="6"/>
  <c r="AA82" i="24"/>
  <c r="AA39" i="26" s="1"/>
  <c r="Z122" i="23"/>
  <c r="Z24" i="26" s="1"/>
  <c r="Z148" i="6"/>
  <c r="Z173" i="6" s="1"/>
  <c r="Z42" i="44"/>
  <c r="X36" i="26"/>
  <c r="X37" i="26" s="1"/>
  <c r="AC77" i="24"/>
  <c r="AD18" i="24"/>
  <c r="AC21" i="24"/>
  <c r="Z96" i="6"/>
  <c r="Z16" i="25"/>
  <c r="Z69" i="26" s="1"/>
  <c r="AA31" i="6"/>
  <c r="AA119" i="23"/>
  <c r="AA109" i="23"/>
  <c r="R68" i="6"/>
  <c r="R73" i="6" s="1"/>
  <c r="S205" i="23"/>
  <c r="T203" i="23" s="1"/>
  <c r="T201" i="23" s="1"/>
  <c r="T204" i="23" s="1"/>
  <c r="T66" i="6" s="1"/>
  <c r="X177" i="6"/>
  <c r="X73" i="44"/>
  <c r="X16" i="47" s="1"/>
  <c r="Z95" i="6"/>
  <c r="Z333" i="46"/>
  <c r="S153" i="23"/>
  <c r="S156" i="23" s="1"/>
  <c r="S60" i="6" s="1"/>
  <c r="AA88" i="6"/>
  <c r="AA91" i="6" s="1"/>
  <c r="AA314" i="46"/>
  <c r="Z49" i="6"/>
  <c r="Z13" i="47"/>
  <c r="AB104" i="22"/>
  <c r="AB105" i="22" s="1"/>
  <c r="T177" i="23"/>
  <c r="T180" i="23" s="1"/>
  <c r="T63" i="6" s="1"/>
  <c r="S59" i="6"/>
  <c r="AC320" i="1"/>
  <c r="AC323" i="1" s="1"/>
  <c r="AB119" i="26"/>
  <c r="T114" i="26"/>
  <c r="T116" i="26" s="1"/>
  <c r="U120" i="22"/>
  <c r="S176" i="6"/>
  <c r="S179" i="6" s="1"/>
  <c r="R128" i="26"/>
  <c r="U132" i="26"/>
  <c r="V193" i="6"/>
  <c r="V196" i="6" s="1"/>
  <c r="U115" i="26"/>
  <c r="V152" i="22"/>
  <c r="Q188" i="6"/>
  <c r="Q21" i="47"/>
  <c r="U141" i="23"/>
  <c r="V139" i="23" s="1"/>
  <c r="U122" i="22"/>
  <c r="U164" i="22"/>
  <c r="U41" i="26" s="1"/>
  <c r="U42" i="26" s="1"/>
  <c r="X37" i="22"/>
  <c r="AC103" i="22"/>
  <c r="O26" i="47"/>
  <c r="O30" i="47" s="1"/>
  <c r="N135" i="26"/>
  <c r="Q33" i="38"/>
  <c r="V136" i="22"/>
  <c r="V154" i="22" s="1"/>
  <c r="R215" i="23"/>
  <c r="R216" i="23" s="1"/>
  <c r="R72" i="6"/>
  <c r="AD51" i="22"/>
  <c r="W113" i="26"/>
  <c r="X35" i="22"/>
  <c r="O71" i="36"/>
  <c r="V52" i="22"/>
  <c r="V53" i="22" s="1"/>
  <c r="Y19" i="22"/>
  <c r="AC135" i="22"/>
  <c r="AA78" i="22"/>
  <c r="AA79" i="22" s="1"/>
  <c r="T57" i="6"/>
  <c r="Q14" i="47"/>
  <c r="Q18" i="47" s="1"/>
  <c r="Q187" i="6"/>
  <c r="AG77" i="22"/>
  <c r="Q118" i="26"/>
  <c r="R209" i="23"/>
  <c r="R211" i="23" s="1"/>
  <c r="T133" i="23"/>
  <c r="U131" i="23" s="1"/>
  <c r="S149" i="25"/>
  <c r="S31" i="25" s="1"/>
  <c r="S83" i="26" s="1"/>
  <c r="S147" i="25"/>
  <c r="R197" i="23"/>
  <c r="S195" i="23" s="1"/>
  <c r="AD126" i="26"/>
  <c r="AE314" i="1"/>
  <c r="AE317" i="1" s="1"/>
  <c r="AD18" i="22"/>
  <c r="O33" i="25"/>
  <c r="S149" i="23"/>
  <c r="T147" i="23" s="1"/>
  <c r="AB130" i="26" l="1"/>
  <c r="AC308" i="1"/>
  <c r="AC311" i="1" s="1"/>
  <c r="Y123" i="6"/>
  <c r="Z120" i="6" s="1"/>
  <c r="X38" i="22"/>
  <c r="Y35" i="22" s="1"/>
  <c r="R77" i="6"/>
  <c r="R17" i="25" s="1"/>
  <c r="R70" i="26" s="1"/>
  <c r="U19" i="38" s="1"/>
  <c r="V161" i="23"/>
  <c r="V164" i="23" s="1"/>
  <c r="V61" i="6" s="1"/>
  <c r="T125" i="25"/>
  <c r="S144" i="26"/>
  <c r="S143" i="26"/>
  <c r="T115" i="25"/>
  <c r="T135" i="25"/>
  <c r="S145" i="26"/>
  <c r="AC172" i="22"/>
  <c r="AC175" i="22" s="1"/>
  <c r="AB131" i="26"/>
  <c r="U123" i="22"/>
  <c r="V120" i="22" s="1"/>
  <c r="T189" i="23"/>
  <c r="U187" i="23" s="1"/>
  <c r="U185" i="23" s="1"/>
  <c r="U188" i="23" s="1"/>
  <c r="U62" i="6"/>
  <c r="U173" i="23"/>
  <c r="V171" i="23" s="1"/>
  <c r="V169" i="23" s="1"/>
  <c r="V172" i="23" s="1"/>
  <c r="V62" i="6" s="1"/>
  <c r="AA333" i="46"/>
  <c r="AA95" i="6"/>
  <c r="AA122" i="23"/>
  <c r="AA24" i="26" s="1"/>
  <c r="AA13" i="47"/>
  <c r="AA49" i="6"/>
  <c r="Y37" i="26"/>
  <c r="Y29" i="26"/>
  <c r="Z336" i="46"/>
  <c r="Z15" i="47" s="1"/>
  <c r="Z26" i="26"/>
  <c r="Z27" i="26" s="1"/>
  <c r="Z28" i="26" s="1"/>
  <c r="Z342" i="46"/>
  <c r="Z357" i="46" s="1"/>
  <c r="Z350" i="46"/>
  <c r="Z365" i="46" s="1"/>
  <c r="Z346" i="46"/>
  <c r="Z361" i="46" s="1"/>
  <c r="Z349" i="46"/>
  <c r="Z364" i="46" s="1"/>
  <c r="Z345" i="46"/>
  <c r="Z360" i="46" s="1"/>
  <c r="Z347" i="46"/>
  <c r="Z362" i="46" s="1"/>
  <c r="Z344" i="46"/>
  <c r="Z359" i="46" s="1"/>
  <c r="Z348" i="46"/>
  <c r="Z363" i="46" s="1"/>
  <c r="Z343" i="46"/>
  <c r="Z358" i="46" s="1"/>
  <c r="Z341" i="46"/>
  <c r="Y351" i="46"/>
  <c r="Y352" i="46" s="1"/>
  <c r="Y356" i="46"/>
  <c r="Y366" i="46" s="1"/>
  <c r="AB88" i="6"/>
  <c r="AB91" i="6" s="1"/>
  <c r="AB314" i="46"/>
  <c r="AB119" i="23"/>
  <c r="AB109" i="23"/>
  <c r="AA22" i="47"/>
  <c r="AA50" i="6"/>
  <c r="S157" i="23"/>
  <c r="T155" i="23" s="1"/>
  <c r="AC22" i="6"/>
  <c r="AC26" i="6" s="1"/>
  <c r="AC19" i="26"/>
  <c r="AC22" i="26" s="1"/>
  <c r="AC183" i="23"/>
  <c r="AC184" i="23" s="1"/>
  <c r="AC92" i="24"/>
  <c r="AC311" i="46"/>
  <c r="AC99" i="23"/>
  <c r="AC80" i="24"/>
  <c r="Z178" i="6"/>
  <c r="Z182" i="6"/>
  <c r="Z19" i="25" s="1"/>
  <c r="Z72" i="26" s="1"/>
  <c r="AA111" i="6"/>
  <c r="AA117" i="6" s="1"/>
  <c r="AA121" i="6"/>
  <c r="AB31" i="6"/>
  <c r="Z126" i="6"/>
  <c r="Z18" i="25" s="1"/>
  <c r="Z71" i="26" s="1"/>
  <c r="Z122" i="6"/>
  <c r="AB42" i="6"/>
  <c r="AB45" i="6" s="1"/>
  <c r="AB95" i="24"/>
  <c r="AA16" i="25"/>
  <c r="AA69" i="26" s="1"/>
  <c r="AA96" i="6"/>
  <c r="L72" i="36"/>
  <c r="O72" i="36" s="1"/>
  <c r="AA11" i="25"/>
  <c r="AA61" i="26" s="1"/>
  <c r="AD77" i="24"/>
  <c r="AE18" i="24"/>
  <c r="AD21" i="24"/>
  <c r="Z33" i="26"/>
  <c r="Z36" i="26" s="1"/>
  <c r="Z68" i="44"/>
  <c r="Z72" i="44" s="1"/>
  <c r="AA148" i="6"/>
  <c r="AA173" i="6" s="1"/>
  <c r="AA42" i="44"/>
  <c r="AB36" i="44"/>
  <c r="AB325" i="46"/>
  <c r="AB82" i="24"/>
  <c r="AB39" i="26" s="1"/>
  <c r="AB30" i="6"/>
  <c r="Y177" i="6"/>
  <c r="Y73" i="44"/>
  <c r="Y16" i="47" s="1"/>
  <c r="AB78" i="22"/>
  <c r="AB79" i="22" s="1"/>
  <c r="AC104" i="22"/>
  <c r="AC105" i="22" s="1"/>
  <c r="O84" i="26"/>
  <c r="V137" i="23"/>
  <c r="V140" i="23" s="1"/>
  <c r="V58" i="6" s="1"/>
  <c r="AF314" i="1"/>
  <c r="AF317" i="1" s="1"/>
  <c r="AE126" i="26"/>
  <c r="AD135" i="22"/>
  <c r="W52" i="22"/>
  <c r="AE51" i="22"/>
  <c r="V137" i="22"/>
  <c r="T176" i="6"/>
  <c r="T179" i="6" s="1"/>
  <c r="S128" i="26"/>
  <c r="T145" i="25"/>
  <c r="S141" i="26"/>
  <c r="S209" i="23"/>
  <c r="R118" i="26"/>
  <c r="Y37" i="22"/>
  <c r="W193" i="6"/>
  <c r="W196" i="6" s="1"/>
  <c r="V132" i="26"/>
  <c r="U114" i="26"/>
  <c r="U116" i="26" s="1"/>
  <c r="AC119" i="26"/>
  <c r="AD320" i="1"/>
  <c r="AD323" i="1" s="1"/>
  <c r="R21" i="47"/>
  <c r="T205" i="23"/>
  <c r="U203" i="23" s="1"/>
  <c r="Y20" i="22"/>
  <c r="R14" i="47"/>
  <c r="R18" i="47" s="1"/>
  <c r="R27" i="47" s="1"/>
  <c r="R187" i="6"/>
  <c r="P26" i="47"/>
  <c r="P30" i="47" s="1"/>
  <c r="O135" i="26"/>
  <c r="T145" i="23"/>
  <c r="T148" i="23" s="1"/>
  <c r="AE18" i="22"/>
  <c r="S193" i="23"/>
  <c r="S196" i="23" s="1"/>
  <c r="S197" i="23" s="1"/>
  <c r="T195" i="23" s="1"/>
  <c r="U129" i="23"/>
  <c r="U132" i="23" s="1"/>
  <c r="Q27" i="47"/>
  <c r="V122" i="22"/>
  <c r="V164" i="22"/>
  <c r="V41" i="26" s="1"/>
  <c r="V42" i="26" s="1"/>
  <c r="AD103" i="22"/>
  <c r="V155" i="22"/>
  <c r="T181" i="23"/>
  <c r="U179" i="23" s="1"/>
  <c r="X113" i="26" l="1"/>
  <c r="AC130" i="26"/>
  <c r="AD308" i="1"/>
  <c r="AD311" i="1" s="1"/>
  <c r="Z123" i="6"/>
  <c r="AA120" i="6" s="1"/>
  <c r="R188" i="6"/>
  <c r="V165" i="23"/>
  <c r="W163" i="23" s="1"/>
  <c r="W161" i="23" s="1"/>
  <c r="W164" i="23" s="1"/>
  <c r="W61" i="6" s="1"/>
  <c r="Y38" i="22"/>
  <c r="Y113" i="26" s="1"/>
  <c r="T118" i="25"/>
  <c r="T119" i="25"/>
  <c r="T121" i="25" s="1"/>
  <c r="T139" i="25"/>
  <c r="T141" i="25" s="1"/>
  <c r="T138" i="25"/>
  <c r="T128" i="25"/>
  <c r="T129" i="25"/>
  <c r="T131" i="25" s="1"/>
  <c r="AD172" i="22"/>
  <c r="AD175" i="22" s="1"/>
  <c r="AC131" i="26"/>
  <c r="U64" i="6"/>
  <c r="U189" i="23"/>
  <c r="V187" i="23" s="1"/>
  <c r="V185" i="23" s="1"/>
  <c r="V188" i="23" s="1"/>
  <c r="V64" i="6" s="1"/>
  <c r="Z37" i="26"/>
  <c r="Z29" i="26"/>
  <c r="AA126" i="6"/>
  <c r="AA18" i="25" s="1"/>
  <c r="AA71" i="26" s="1"/>
  <c r="AA122" i="6"/>
  <c r="V141" i="23"/>
  <c r="W139" i="23" s="1"/>
  <c r="AB50" i="6"/>
  <c r="AB22" i="47"/>
  <c r="AB333" i="46"/>
  <c r="AB95" i="6"/>
  <c r="V173" i="23"/>
  <c r="W171" i="23" s="1"/>
  <c r="W169" i="23" s="1"/>
  <c r="W172" i="23" s="1"/>
  <c r="W62" i="6" s="1"/>
  <c r="AB148" i="6"/>
  <c r="AB173" i="6" s="1"/>
  <c r="AB42" i="44"/>
  <c r="AC88" i="6"/>
  <c r="AC91" i="6" s="1"/>
  <c r="AC314" i="46"/>
  <c r="AC31" i="6"/>
  <c r="AA68" i="44"/>
  <c r="AA72" i="44" s="1"/>
  <c r="AA33" i="26"/>
  <c r="AA36" i="26" s="1"/>
  <c r="AB13" i="47"/>
  <c r="AB49" i="6"/>
  <c r="AC36" i="44"/>
  <c r="AC30" i="6"/>
  <c r="AC325" i="46"/>
  <c r="AC82" i="24"/>
  <c r="AC39" i="26" s="1"/>
  <c r="AC42" i="6"/>
  <c r="AC45" i="6" s="1"/>
  <c r="AC11" i="25" s="1"/>
  <c r="AC61" i="26" s="1"/>
  <c r="AC95" i="24"/>
  <c r="T153" i="23"/>
  <c r="T156" i="23" s="1"/>
  <c r="T60" i="6" s="1"/>
  <c r="AB122" i="23"/>
  <c r="AB24" i="26" s="1"/>
  <c r="AA182" i="6"/>
  <c r="AA19" i="25" s="1"/>
  <c r="AA72" i="26" s="1"/>
  <c r="AA178" i="6"/>
  <c r="AE77" i="24"/>
  <c r="AF18" i="24"/>
  <c r="AE21" i="24"/>
  <c r="AB11" i="25"/>
  <c r="AB61" i="26" s="1"/>
  <c r="AA26" i="26"/>
  <c r="AA27" i="26" s="1"/>
  <c r="AA28" i="26" s="1"/>
  <c r="AA336" i="46"/>
  <c r="AA15" i="47" s="1"/>
  <c r="AA349" i="46"/>
  <c r="AA364" i="46" s="1"/>
  <c r="AA346" i="46"/>
  <c r="AA361" i="46" s="1"/>
  <c r="AA348" i="46"/>
  <c r="AA363" i="46" s="1"/>
  <c r="AA344" i="46"/>
  <c r="AA359" i="46" s="1"/>
  <c r="AA347" i="46"/>
  <c r="AA362" i="46" s="1"/>
  <c r="AA342" i="46"/>
  <c r="AA357" i="46" s="1"/>
  <c r="AA341" i="46"/>
  <c r="AA343" i="46"/>
  <c r="AA358" i="46" s="1"/>
  <c r="AA350" i="46"/>
  <c r="AA365" i="46" s="1"/>
  <c r="AA345" i="46"/>
  <c r="AA360" i="46" s="1"/>
  <c r="AB111" i="6"/>
  <c r="AB117" i="6" s="1"/>
  <c r="AB121" i="6"/>
  <c r="Z177" i="6"/>
  <c r="Z73" i="44"/>
  <c r="Z16" i="47" s="1"/>
  <c r="AD99" i="23"/>
  <c r="AD22" i="6"/>
  <c r="AD26" i="6" s="1"/>
  <c r="AD183" i="23"/>
  <c r="AD184" i="23" s="1"/>
  <c r="AD19" i="26"/>
  <c r="AD22" i="26" s="1"/>
  <c r="AD92" i="24"/>
  <c r="AD311" i="46"/>
  <c r="AD80" i="24"/>
  <c r="AC119" i="23"/>
  <c r="AC109" i="23"/>
  <c r="AB16" i="25"/>
  <c r="AB69" i="26" s="1"/>
  <c r="AB96" i="6"/>
  <c r="Z356" i="46"/>
  <c r="Z366" i="46" s="1"/>
  <c r="Z351" i="46"/>
  <c r="Z352" i="46" s="1"/>
  <c r="AC78" i="22"/>
  <c r="AC79" i="22" s="1"/>
  <c r="U57" i="6"/>
  <c r="P135" i="26"/>
  <c r="Q26" i="47"/>
  <c r="Q30" i="47" s="1"/>
  <c r="AD119" i="26"/>
  <c r="AE320" i="1"/>
  <c r="AE323" i="1" s="1"/>
  <c r="Z35" i="22"/>
  <c r="T59" i="6"/>
  <c r="U201" i="23"/>
  <c r="U204" i="23" s="1"/>
  <c r="U66" i="6" s="1"/>
  <c r="U177" i="23"/>
  <c r="U180" i="23" s="1"/>
  <c r="U63" i="6" s="1"/>
  <c r="AD104" i="22"/>
  <c r="AD105" i="22" s="1"/>
  <c r="U133" i="23"/>
  <c r="V131" i="23" s="1"/>
  <c r="V123" i="22"/>
  <c r="U176" i="6"/>
  <c r="U179" i="6" s="1"/>
  <c r="T128" i="26"/>
  <c r="AF51" i="22"/>
  <c r="AE135" i="22"/>
  <c r="AF18" i="22"/>
  <c r="Z19" i="22"/>
  <c r="W122" i="22"/>
  <c r="W137" i="23"/>
  <c r="W140" i="23" s="1"/>
  <c r="W58" i="6" s="1"/>
  <c r="T193" i="23"/>
  <c r="T196" i="23" s="1"/>
  <c r="T65" i="6" s="1"/>
  <c r="T149" i="25"/>
  <c r="T31" i="25" s="1"/>
  <c r="T83" i="26" s="1"/>
  <c r="T147" i="25"/>
  <c r="W136" i="22"/>
  <c r="W154" i="22" s="1"/>
  <c r="W53" i="22"/>
  <c r="W152" i="22"/>
  <c r="V115" i="26"/>
  <c r="AE103" i="22"/>
  <c r="R29" i="47"/>
  <c r="S29" i="47"/>
  <c r="S33" i="25" s="1"/>
  <c r="S84" i="26" s="1"/>
  <c r="S65" i="6"/>
  <c r="S68" i="6" s="1"/>
  <c r="S210" i="23"/>
  <c r="S211" i="23" s="1"/>
  <c r="T149" i="23"/>
  <c r="U147" i="23" s="1"/>
  <c r="W132" i="26"/>
  <c r="X193" i="6"/>
  <c r="X196" i="6" s="1"/>
  <c r="AG314" i="1"/>
  <c r="AG317" i="1" s="1"/>
  <c r="AF126" i="26"/>
  <c r="R33" i="38"/>
  <c r="AD130" i="26" l="1"/>
  <c r="AE308" i="1"/>
  <c r="AE311" i="1" s="1"/>
  <c r="AA123" i="6"/>
  <c r="AB120" i="6" s="1"/>
  <c r="W165" i="23"/>
  <c r="X163" i="23" s="1"/>
  <c r="X161" i="23" s="1"/>
  <c r="X164" i="23" s="1"/>
  <c r="X61" i="6" s="1"/>
  <c r="W155" i="22"/>
  <c r="X152" i="22" s="1"/>
  <c r="T68" i="6"/>
  <c r="T77" i="6" s="1"/>
  <c r="T17" i="25" s="1"/>
  <c r="T70" i="26" s="1"/>
  <c r="T145" i="26"/>
  <c r="U135" i="25"/>
  <c r="T144" i="26"/>
  <c r="U125" i="25"/>
  <c r="U115" i="25"/>
  <c r="T143" i="26"/>
  <c r="AD131" i="26"/>
  <c r="AE172" i="22"/>
  <c r="AE175" i="22" s="1"/>
  <c r="W173" i="23"/>
  <c r="X171" i="23" s="1"/>
  <c r="X169" i="23" s="1"/>
  <c r="X172" i="23" s="1"/>
  <c r="X62" i="6" s="1"/>
  <c r="V189" i="23"/>
  <c r="W187" i="23" s="1"/>
  <c r="T157" i="23"/>
  <c r="U155" i="23" s="1"/>
  <c r="AA177" i="6"/>
  <c r="AA73" i="44"/>
  <c r="AA16" i="47" s="1"/>
  <c r="AD88" i="6"/>
  <c r="AD91" i="6" s="1"/>
  <c r="AD314" i="46"/>
  <c r="AF77" i="24"/>
  <c r="AG18" i="24"/>
  <c r="AF21" i="24"/>
  <c r="AD82" i="24"/>
  <c r="AD39" i="26" s="1"/>
  <c r="AD30" i="6"/>
  <c r="AD325" i="46"/>
  <c r="AD36" i="44"/>
  <c r="AC50" i="6"/>
  <c r="AC22" i="47"/>
  <c r="AB33" i="26"/>
  <c r="AB36" i="26" s="1"/>
  <c r="AB68" i="44"/>
  <c r="AB72" i="44" s="1"/>
  <c r="AB336" i="46"/>
  <c r="AB15" i="47" s="1"/>
  <c r="AB26" i="26"/>
  <c r="AB27" i="26" s="1"/>
  <c r="AB28" i="26" s="1"/>
  <c r="AB348" i="46"/>
  <c r="AB363" i="46" s="1"/>
  <c r="AB343" i="46"/>
  <c r="AB358" i="46" s="1"/>
  <c r="AB344" i="46"/>
  <c r="AB359" i="46" s="1"/>
  <c r="AB341" i="46"/>
  <c r="AB349" i="46"/>
  <c r="AB364" i="46" s="1"/>
  <c r="AB346" i="46"/>
  <c r="AB361" i="46" s="1"/>
  <c r="AB345" i="46"/>
  <c r="AB360" i="46" s="1"/>
  <c r="AB350" i="46"/>
  <c r="AB365" i="46" s="1"/>
  <c r="AB342" i="46"/>
  <c r="AB357" i="46" s="1"/>
  <c r="AB347" i="46"/>
  <c r="AB362" i="46" s="1"/>
  <c r="AA37" i="26"/>
  <c r="AA29" i="26"/>
  <c r="U153" i="23"/>
  <c r="U156" i="23" s="1"/>
  <c r="U60" i="6" s="1"/>
  <c r="AC148" i="6"/>
  <c r="AC173" i="6" s="1"/>
  <c r="AC42" i="44"/>
  <c r="AB182" i="6"/>
  <c r="AB19" i="25" s="1"/>
  <c r="AB72" i="26" s="1"/>
  <c r="AB178" i="6"/>
  <c r="W141" i="23"/>
  <c r="X139" i="23" s="1"/>
  <c r="X137" i="23" s="1"/>
  <c r="X140" i="23" s="1"/>
  <c r="X58" i="6" s="1"/>
  <c r="AD31" i="6"/>
  <c r="AC333" i="46"/>
  <c r="AC95" i="6"/>
  <c r="U181" i="23"/>
  <c r="V179" i="23" s="1"/>
  <c r="V177" i="23" s="1"/>
  <c r="V180" i="23" s="1"/>
  <c r="V63" i="6" s="1"/>
  <c r="AC122" i="23"/>
  <c r="AC24" i="26" s="1"/>
  <c r="AD42" i="6"/>
  <c r="AD45" i="6" s="1"/>
  <c r="AD11" i="25" s="1"/>
  <c r="AD61" i="26" s="1"/>
  <c r="AD95" i="24"/>
  <c r="AD119" i="23"/>
  <c r="AD109" i="23"/>
  <c r="AB122" i="6"/>
  <c r="AB126" i="6"/>
  <c r="AB18" i="25" s="1"/>
  <c r="AB71" i="26" s="1"/>
  <c r="AA356" i="46"/>
  <c r="AA366" i="46" s="1"/>
  <c r="AA351" i="46"/>
  <c r="AA352" i="46" s="1"/>
  <c r="AE311" i="46"/>
  <c r="AE19" i="26"/>
  <c r="AE22" i="26" s="1"/>
  <c r="AE99" i="23"/>
  <c r="AE183" i="23"/>
  <c r="AE184" i="23" s="1"/>
  <c r="AE22" i="6"/>
  <c r="AE26" i="6" s="1"/>
  <c r="AE92" i="24"/>
  <c r="AE80" i="24"/>
  <c r="AC13" i="47"/>
  <c r="AC49" i="6"/>
  <c r="AC111" i="6"/>
  <c r="AC117" i="6" s="1"/>
  <c r="AC121" i="6"/>
  <c r="AC96" i="6"/>
  <c r="AC16" i="25"/>
  <c r="AC69" i="26" s="1"/>
  <c r="S118" i="26"/>
  <c r="T209" i="23"/>
  <c r="AE104" i="22"/>
  <c r="AE105" i="22" s="1"/>
  <c r="AD78" i="22"/>
  <c r="AD79" i="22" s="1"/>
  <c r="Y193" i="6"/>
  <c r="Y196" i="6" s="1"/>
  <c r="X132" i="26"/>
  <c r="R33" i="25"/>
  <c r="AG18" i="22"/>
  <c r="AG51" i="22"/>
  <c r="Z37" i="22"/>
  <c r="Z38" i="22" s="1"/>
  <c r="U145" i="23"/>
  <c r="U148" i="23" s="1"/>
  <c r="U145" i="25"/>
  <c r="T141" i="26"/>
  <c r="T210" i="23"/>
  <c r="S72" i="6"/>
  <c r="S215" i="23"/>
  <c r="S216" i="23" s="1"/>
  <c r="X52" i="22"/>
  <c r="S73" i="6"/>
  <c r="S77" i="6"/>
  <c r="W164" i="22"/>
  <c r="W41" i="26" s="1"/>
  <c r="W42" i="26" s="1"/>
  <c r="V114" i="26"/>
  <c r="V116" i="26" s="1"/>
  <c r="W120" i="22"/>
  <c r="W123" i="22" s="1"/>
  <c r="R26" i="47"/>
  <c r="R30" i="47" s="1"/>
  <c r="Q135" i="26"/>
  <c r="AG126" i="26"/>
  <c r="E317" i="1"/>
  <c r="F281" i="1" s="1"/>
  <c r="H281" i="1" s="1"/>
  <c r="AF103" i="22"/>
  <c r="W137" i="22"/>
  <c r="T197" i="23"/>
  <c r="U195" i="23" s="1"/>
  <c r="Z20" i="22"/>
  <c r="AF135" i="22"/>
  <c r="V176" i="6"/>
  <c r="V179" i="6" s="1"/>
  <c r="U128" i="26"/>
  <c r="V129" i="23"/>
  <c r="V132" i="23" s="1"/>
  <c r="U205" i="23"/>
  <c r="V203" i="23" s="1"/>
  <c r="AE119" i="26"/>
  <c r="AF320" i="1"/>
  <c r="AF323" i="1" s="1"/>
  <c r="AB123" i="6" l="1"/>
  <c r="AC120" i="6" s="1"/>
  <c r="AF308" i="1"/>
  <c r="AF311" i="1" s="1"/>
  <c r="AE130" i="26"/>
  <c r="W115" i="26"/>
  <c r="W185" i="23"/>
  <c r="W188" i="23" s="1"/>
  <c r="W64" i="6" s="1"/>
  <c r="T73" i="6"/>
  <c r="U128" i="25"/>
  <c r="U129" i="25"/>
  <c r="U131" i="25" s="1"/>
  <c r="U138" i="25"/>
  <c r="U139" i="25"/>
  <c r="U141" i="25" s="1"/>
  <c r="U118" i="25"/>
  <c r="U119" i="25"/>
  <c r="U121" i="25" s="1"/>
  <c r="AE131" i="26"/>
  <c r="AF172" i="22"/>
  <c r="AF175" i="22" s="1"/>
  <c r="U157" i="23"/>
  <c r="V155" i="23" s="1"/>
  <c r="V153" i="23" s="1"/>
  <c r="V156" i="23" s="1"/>
  <c r="V60" i="6" s="1"/>
  <c r="AB37" i="26"/>
  <c r="AB29" i="26"/>
  <c r="AC336" i="46"/>
  <c r="AC15" i="47" s="1"/>
  <c r="AC26" i="26"/>
  <c r="AC27" i="26" s="1"/>
  <c r="AC28" i="26" s="1"/>
  <c r="AC343" i="46"/>
  <c r="AC358" i="46" s="1"/>
  <c r="AC349" i="46"/>
  <c r="AC364" i="46" s="1"/>
  <c r="AC341" i="46"/>
  <c r="AC348" i="46"/>
  <c r="AC363" i="46" s="1"/>
  <c r="AC350" i="46"/>
  <c r="AC365" i="46" s="1"/>
  <c r="AC342" i="46"/>
  <c r="AC357" i="46" s="1"/>
  <c r="AC347" i="46"/>
  <c r="AC362" i="46" s="1"/>
  <c r="AC346" i="46"/>
  <c r="AC361" i="46" s="1"/>
  <c r="AC344" i="46"/>
  <c r="AC359" i="46" s="1"/>
  <c r="AC345" i="46"/>
  <c r="AC360" i="46" s="1"/>
  <c r="AC182" i="6"/>
  <c r="AC19" i="25" s="1"/>
  <c r="AC72" i="26" s="1"/>
  <c r="AC178" i="6"/>
  <c r="AC126" i="6"/>
  <c r="AC18" i="25" s="1"/>
  <c r="AC71" i="26" s="1"/>
  <c r="AC122" i="6"/>
  <c r="AC123" i="6" s="1"/>
  <c r="AD120" i="6" s="1"/>
  <c r="AE325" i="46"/>
  <c r="AE121" i="6" s="1"/>
  <c r="AE82" i="24"/>
  <c r="AE39" i="26" s="1"/>
  <c r="AE36" i="44"/>
  <c r="AE42" i="44" s="1"/>
  <c r="AE30" i="6"/>
  <c r="AE42" i="6"/>
  <c r="AE45" i="6" s="1"/>
  <c r="AE11" i="25" s="1"/>
  <c r="AE61" i="26" s="1"/>
  <c r="AE95" i="24"/>
  <c r="AD95" i="6"/>
  <c r="AD333" i="46"/>
  <c r="AD111" i="6"/>
  <c r="AD121" i="6"/>
  <c r="AG77" i="24"/>
  <c r="I18" i="24"/>
  <c r="AG21" i="24"/>
  <c r="I21" i="24" s="1"/>
  <c r="X173" i="23"/>
  <c r="Y171" i="23" s="1"/>
  <c r="Y169" i="23" s="1"/>
  <c r="Y172" i="23" s="1"/>
  <c r="Y62" i="6" s="1"/>
  <c r="AE119" i="23"/>
  <c r="AE109" i="23"/>
  <c r="AD122" i="23"/>
  <c r="AD24" i="26" s="1"/>
  <c r="AB177" i="6"/>
  <c r="AB73" i="44"/>
  <c r="AB16" i="47" s="1"/>
  <c r="AF183" i="23"/>
  <c r="AF184" i="23" s="1"/>
  <c r="AF19" i="26"/>
  <c r="AF22" i="26" s="1"/>
  <c r="AF22" i="6"/>
  <c r="AF26" i="6" s="1"/>
  <c r="AF99" i="23"/>
  <c r="AF92" i="24"/>
  <c r="AF311" i="46"/>
  <c r="AF80" i="24"/>
  <c r="AD13" i="47"/>
  <c r="AD49" i="6"/>
  <c r="T211" i="23"/>
  <c r="T118" i="26" s="1"/>
  <c r="AE31" i="6"/>
  <c r="AE88" i="6"/>
  <c r="AE91" i="6" s="1"/>
  <c r="AE314" i="46"/>
  <c r="AD50" i="6"/>
  <c r="AD22" i="47"/>
  <c r="AC33" i="26"/>
  <c r="AC36" i="26" s="1"/>
  <c r="AC68" i="44"/>
  <c r="AC72" i="44" s="1"/>
  <c r="AB351" i="46"/>
  <c r="AB352" i="46" s="1"/>
  <c r="AB356" i="46"/>
  <c r="AB366" i="46" s="1"/>
  <c r="AD148" i="6"/>
  <c r="AD42" i="44"/>
  <c r="AD16" i="25"/>
  <c r="AD69" i="26" s="1"/>
  <c r="AD96" i="6"/>
  <c r="Z113" i="26"/>
  <c r="AA35" i="22"/>
  <c r="AF104" i="22"/>
  <c r="AF105" i="22" s="1"/>
  <c r="AE78" i="22"/>
  <c r="AE79" i="22" s="1"/>
  <c r="V201" i="23"/>
  <c r="V204" i="23" s="1"/>
  <c r="V66" i="6" s="1"/>
  <c r="V57" i="6"/>
  <c r="S188" i="6"/>
  <c r="S21" i="47"/>
  <c r="U59" i="6"/>
  <c r="AG320" i="1"/>
  <c r="AG323" i="1" s="1"/>
  <c r="AF119" i="26"/>
  <c r="V133" i="23"/>
  <c r="W131" i="23" s="1"/>
  <c r="AG135" i="22"/>
  <c r="S26" i="47"/>
  <c r="R135" i="26"/>
  <c r="X120" i="22"/>
  <c r="W114" i="26"/>
  <c r="X122" i="22"/>
  <c r="U149" i="25"/>
  <c r="U31" i="25" s="1"/>
  <c r="U83" i="26" s="1"/>
  <c r="U147" i="25"/>
  <c r="U149" i="23"/>
  <c r="V147" i="23" s="1"/>
  <c r="R84" i="26"/>
  <c r="AA19" i="22"/>
  <c r="N23" i="39"/>
  <c r="W23" i="39"/>
  <c r="AA23" i="39"/>
  <c r="M23" i="39"/>
  <c r="T23" i="39"/>
  <c r="K23" i="39"/>
  <c r="R23" i="39"/>
  <c r="Y23" i="39"/>
  <c r="Z23" i="39"/>
  <c r="P23" i="39"/>
  <c r="X23" i="39"/>
  <c r="U23" i="39"/>
  <c r="Q23" i="39"/>
  <c r="S23" i="39"/>
  <c r="V23" i="39"/>
  <c r="J23" i="39"/>
  <c r="O23" i="39"/>
  <c r="L23" i="39"/>
  <c r="S17" i="25"/>
  <c r="S70" i="26" s="1"/>
  <c r="X53" i="22"/>
  <c r="W176" i="6"/>
  <c r="W179" i="6" s="1"/>
  <c r="V128" i="26"/>
  <c r="U193" i="23"/>
  <c r="U196" i="23" s="1"/>
  <c r="U65" i="6" s="1"/>
  <c r="AG103" i="22"/>
  <c r="S14" i="47"/>
  <c r="S18" i="47" s="1"/>
  <c r="S187" i="6"/>
  <c r="T215" i="23"/>
  <c r="T216" i="23" s="1"/>
  <c r="T72" i="6"/>
  <c r="X165" i="23"/>
  <c r="Y163" i="23" s="1"/>
  <c r="T188" i="6"/>
  <c r="T21" i="47"/>
  <c r="V181" i="23"/>
  <c r="W179" i="23" s="1"/>
  <c r="X141" i="23"/>
  <c r="Y139" i="23" s="1"/>
  <c r="Z193" i="6"/>
  <c r="Z196" i="6" s="1"/>
  <c r="Y132" i="26"/>
  <c r="X136" i="22"/>
  <c r="X154" i="22" s="1"/>
  <c r="X155" i="22" s="1"/>
  <c r="W116" i="26" l="1"/>
  <c r="W189" i="23"/>
  <c r="X187" i="23" s="1"/>
  <c r="X185" i="23" s="1"/>
  <c r="X188" i="23" s="1"/>
  <c r="X64" i="6" s="1"/>
  <c r="AG308" i="1"/>
  <c r="AG311" i="1" s="1"/>
  <c r="AF130" i="26"/>
  <c r="U209" i="23"/>
  <c r="U145" i="26"/>
  <c r="V135" i="25"/>
  <c r="V115" i="25"/>
  <c r="U143" i="26"/>
  <c r="U144" i="26"/>
  <c r="V125" i="25"/>
  <c r="X164" i="22"/>
  <c r="X41" i="26" s="1"/>
  <c r="X42" i="26" s="1"/>
  <c r="X137" i="22"/>
  <c r="Y136" i="22" s="1"/>
  <c r="Y154" i="22" s="1"/>
  <c r="AG172" i="22"/>
  <c r="AG175" i="22" s="1"/>
  <c r="AG131" i="26" s="1"/>
  <c r="AF131" i="26"/>
  <c r="V205" i="23"/>
  <c r="W203" i="23" s="1"/>
  <c r="W201" i="23" s="1"/>
  <c r="W204" i="23" s="1"/>
  <c r="W66" i="6" s="1"/>
  <c r="V157" i="23"/>
  <c r="W155" i="23" s="1"/>
  <c r="W153" i="23" s="1"/>
  <c r="W156" i="23" s="1"/>
  <c r="W60" i="6" s="1"/>
  <c r="AD33" i="26"/>
  <c r="AD36" i="26" s="1"/>
  <c r="AD68" i="44"/>
  <c r="AD72" i="44" s="1"/>
  <c r="AC177" i="6"/>
  <c r="AC73" i="44"/>
  <c r="AC16" i="47" s="1"/>
  <c r="AE95" i="6"/>
  <c r="AE333" i="46"/>
  <c r="AF30" i="6"/>
  <c r="AF325" i="46"/>
  <c r="AF121" i="6" s="1"/>
  <c r="AF36" i="44"/>
  <c r="AF42" i="44" s="1"/>
  <c r="AF82" i="24"/>
  <c r="AF39" i="26" s="1"/>
  <c r="AF31" i="6"/>
  <c r="AD117" i="6"/>
  <c r="I111" i="6"/>
  <c r="AE33" i="26"/>
  <c r="AE36" i="26" s="1"/>
  <c r="AE68" i="44"/>
  <c r="AE72" i="44" s="1"/>
  <c r="AC37" i="26"/>
  <c r="AC29" i="26"/>
  <c r="Y173" i="23"/>
  <c r="Z171" i="23" s="1"/>
  <c r="Z169" i="23" s="1"/>
  <c r="Z172" i="23" s="1"/>
  <c r="Z62" i="6" s="1"/>
  <c r="AE96" i="6"/>
  <c r="AE16" i="25"/>
  <c r="AE69" i="26" s="1"/>
  <c r="AF88" i="6"/>
  <c r="AF91" i="6" s="1"/>
  <c r="AF314" i="46"/>
  <c r="AE13" i="47"/>
  <c r="AE49" i="6"/>
  <c r="U210" i="23"/>
  <c r="AF42" i="6"/>
  <c r="AF45" i="6" s="1"/>
  <c r="AF95" i="24"/>
  <c r="AE363" i="46"/>
  <c r="AE366" i="46" s="1"/>
  <c r="AE122" i="23"/>
  <c r="AE24" i="26" s="1"/>
  <c r="AG22" i="6"/>
  <c r="AG26" i="6" s="1"/>
  <c r="AG183" i="23"/>
  <c r="AG19" i="26"/>
  <c r="AG92" i="24"/>
  <c r="AG311" i="46"/>
  <c r="AG99" i="23"/>
  <c r="I77" i="24"/>
  <c r="AY451" i="36"/>
  <c r="AX451" i="36"/>
  <c r="AG80" i="24"/>
  <c r="AD26" i="26"/>
  <c r="AD336" i="46"/>
  <c r="AD15" i="47" s="1"/>
  <c r="AD348" i="46"/>
  <c r="AD350" i="46"/>
  <c r="AD346" i="46"/>
  <c r="AD344" i="46"/>
  <c r="AD349" i="46"/>
  <c r="AD342" i="46"/>
  <c r="AD347" i="46"/>
  <c r="AD345" i="46"/>
  <c r="AD341" i="46"/>
  <c r="AD343" i="46"/>
  <c r="AE22" i="47"/>
  <c r="AE50" i="6"/>
  <c r="AD173" i="6"/>
  <c r="I148" i="6"/>
  <c r="U197" i="23"/>
  <c r="V195" i="23" s="1"/>
  <c r="V193" i="23" s="1"/>
  <c r="V196" i="23" s="1"/>
  <c r="U68" i="6"/>
  <c r="U73" i="6" s="1"/>
  <c r="AF119" i="23"/>
  <c r="AF109" i="23"/>
  <c r="AD27" i="26"/>
  <c r="AD28" i="26" s="1"/>
  <c r="AD29" i="26" s="1"/>
  <c r="AC351" i="46"/>
  <c r="AC352" i="46" s="1"/>
  <c r="AC356" i="46"/>
  <c r="AC366" i="46" s="1"/>
  <c r="AF78" i="22"/>
  <c r="AF79" i="22" s="1"/>
  <c r="W177" i="23"/>
  <c r="W180" i="23" s="1"/>
  <c r="W63" i="6" s="1"/>
  <c r="AA37" i="22"/>
  <c r="AA38" i="22" s="1"/>
  <c r="U33" i="38"/>
  <c r="V33" i="38" s="1"/>
  <c r="U215" i="23"/>
  <c r="U216" i="23" s="1"/>
  <c r="Y161" i="23"/>
  <c r="Y164" i="23" s="1"/>
  <c r="Y61" i="6" s="1"/>
  <c r="S27" i="47"/>
  <c r="S30" i="47" s="1"/>
  <c r="AA20" i="22"/>
  <c r="V145" i="23"/>
  <c r="V148" i="23" s="1"/>
  <c r="V149" i="23" s="1"/>
  <c r="W147" i="23" s="1"/>
  <c r="AG104" i="22"/>
  <c r="AG105" i="22" s="1"/>
  <c r="Y137" i="23"/>
  <c r="Y140" i="23" s="1"/>
  <c r="Y58" i="6" s="1"/>
  <c r="T14" i="47"/>
  <c r="T18" i="47" s="1"/>
  <c r="T27" i="47" s="1"/>
  <c r="T187" i="6"/>
  <c r="Y52" i="22"/>
  <c r="Y53" i="22" s="1"/>
  <c r="X123" i="22"/>
  <c r="W129" i="23"/>
  <c r="W132" i="23" s="1"/>
  <c r="Z132" i="26"/>
  <c r="AA193" i="6"/>
  <c r="AA196" i="6" s="1"/>
  <c r="Y152" i="22"/>
  <c r="X115" i="26"/>
  <c r="X176" i="6"/>
  <c r="X179" i="6" s="1"/>
  <c r="W128" i="26"/>
  <c r="V145" i="25"/>
  <c r="U141" i="26"/>
  <c r="AG119" i="26"/>
  <c r="E323" i="1"/>
  <c r="F282" i="1" s="1"/>
  <c r="H282" i="1" s="1"/>
  <c r="P27" i="39" l="1"/>
  <c r="X189" i="23"/>
  <c r="Y187" i="23" s="1"/>
  <c r="Y185" i="23" s="1"/>
  <c r="Y188" i="23" s="1"/>
  <c r="Y64" i="6" s="1"/>
  <c r="AG130" i="26"/>
  <c r="L27" i="39" s="1"/>
  <c r="E311" i="1"/>
  <c r="F280" i="1" s="1"/>
  <c r="H280" i="1" s="1"/>
  <c r="AA27" i="39"/>
  <c r="AG324" i="36" s="1"/>
  <c r="U211" i="23"/>
  <c r="U118" i="26" s="1"/>
  <c r="Y155" i="22"/>
  <c r="Y115" i="26" s="1"/>
  <c r="Y137" i="22"/>
  <c r="Z136" i="22" s="1"/>
  <c r="Z154" i="22" s="1"/>
  <c r="W157" i="23"/>
  <c r="X155" i="23" s="1"/>
  <c r="X153" i="23" s="1"/>
  <c r="X156" i="23" s="1"/>
  <c r="X60" i="6" s="1"/>
  <c r="V118" i="25"/>
  <c r="V119" i="25"/>
  <c r="V121" i="25" s="1"/>
  <c r="V128" i="25"/>
  <c r="V129" i="25"/>
  <c r="V131" i="25" s="1"/>
  <c r="V138" i="25"/>
  <c r="V139" i="25"/>
  <c r="V141" i="25" s="1"/>
  <c r="X28" i="39"/>
  <c r="Z28" i="39"/>
  <c r="P28" i="39"/>
  <c r="V28" i="39"/>
  <c r="O28" i="39"/>
  <c r="R28" i="39"/>
  <c r="U28" i="39"/>
  <c r="Q28" i="39"/>
  <c r="Y28" i="39"/>
  <c r="M28" i="39"/>
  <c r="N28" i="39"/>
  <c r="K28" i="39"/>
  <c r="T28" i="39"/>
  <c r="W28" i="39"/>
  <c r="J28" i="39"/>
  <c r="S28" i="39"/>
  <c r="AA28" i="39"/>
  <c r="L28" i="39"/>
  <c r="AD37" i="26"/>
  <c r="Y141" i="23"/>
  <c r="Z139" i="23" s="1"/>
  <c r="Z137" i="23" s="1"/>
  <c r="Z140" i="23" s="1"/>
  <c r="Z58" i="6" s="1"/>
  <c r="V209" i="23"/>
  <c r="V65" i="6"/>
  <c r="V197" i="23"/>
  <c r="W195" i="23" s="1"/>
  <c r="Q116" i="36"/>
  <c r="AY454" i="36"/>
  <c r="AD126" i="6"/>
  <c r="AD122" i="6"/>
  <c r="I117" i="6"/>
  <c r="U72" i="6"/>
  <c r="AF363" i="46"/>
  <c r="AF366" i="46" s="1"/>
  <c r="AF122" i="23"/>
  <c r="AF24" i="26" s="1"/>
  <c r="AD182" i="6"/>
  <c r="I182" i="6" s="1"/>
  <c r="AD178" i="6"/>
  <c r="I178" i="6" s="1"/>
  <c r="I173" i="6"/>
  <c r="AD351" i="46"/>
  <c r="AD356" i="46"/>
  <c r="I341" i="46"/>
  <c r="AD364" i="46"/>
  <c r="I349" i="46"/>
  <c r="I348" i="46"/>
  <c r="AD363" i="46"/>
  <c r="L116" i="36"/>
  <c r="L119" i="36" s="1"/>
  <c r="AX454" i="36"/>
  <c r="AG88" i="6"/>
  <c r="AG91" i="6" s="1"/>
  <c r="I311" i="46"/>
  <c r="AG314" i="46"/>
  <c r="AG31" i="6"/>
  <c r="AF50" i="6"/>
  <c r="AF22" i="47"/>
  <c r="AE336" i="46"/>
  <c r="AE15" i="47" s="1"/>
  <c r="AE26" i="26"/>
  <c r="AE27" i="26" s="1"/>
  <c r="AE28" i="26" s="1"/>
  <c r="AE352" i="46"/>
  <c r="AD177" i="6"/>
  <c r="AD73" i="44"/>
  <c r="AD16" i="47" s="1"/>
  <c r="I345" i="46"/>
  <c r="AD360" i="46"/>
  <c r="AD359" i="46"/>
  <c r="I344" i="46"/>
  <c r="AG42" i="6"/>
  <c r="AG45" i="6" s="1"/>
  <c r="I92" i="24"/>
  <c r="AG95" i="24"/>
  <c r="AF33" i="26"/>
  <c r="AF36" i="26" s="1"/>
  <c r="AF68" i="44"/>
  <c r="AF72" i="44" s="1"/>
  <c r="U77" i="6"/>
  <c r="U21" i="47" s="1"/>
  <c r="AD362" i="46"/>
  <c r="I347" i="46"/>
  <c r="AD361" i="46"/>
  <c r="I346" i="46"/>
  <c r="K22" i="6"/>
  <c r="K26" i="6" s="1"/>
  <c r="J22" i="6"/>
  <c r="L22" i="6"/>
  <c r="L26" i="6" s="1"/>
  <c r="Z18" i="35"/>
  <c r="Z21" i="35" s="1"/>
  <c r="X18" i="35"/>
  <c r="X21" i="35" s="1"/>
  <c r="W18" i="35"/>
  <c r="Y18" i="35"/>
  <c r="Y21" i="35" s="1"/>
  <c r="I19" i="26"/>
  <c r="AG22" i="26"/>
  <c r="I22" i="26" s="1"/>
  <c r="AF95" i="6"/>
  <c r="AF333" i="46"/>
  <c r="AE73" i="44"/>
  <c r="AE16" i="47" s="1"/>
  <c r="AE177" i="6"/>
  <c r="W205" i="23"/>
  <c r="X203" i="23" s="1"/>
  <c r="Y189" i="23"/>
  <c r="Z187" i="23" s="1"/>
  <c r="Z185" i="23" s="1"/>
  <c r="Z188" i="23" s="1"/>
  <c r="AD358" i="46"/>
  <c r="I343" i="46"/>
  <c r="AD357" i="46"/>
  <c r="I342" i="46"/>
  <c r="AD365" i="46"/>
  <c r="I350" i="46"/>
  <c r="AG36" i="44"/>
  <c r="AG30" i="6"/>
  <c r="AG82" i="24"/>
  <c r="AG325" i="46"/>
  <c r="I80" i="24"/>
  <c r="AG119" i="23"/>
  <c r="I99" i="23"/>
  <c r="AG109" i="23"/>
  <c r="I109" i="23" s="1"/>
  <c r="AG184" i="23"/>
  <c r="I183" i="23"/>
  <c r="AF13" i="47"/>
  <c r="AF49" i="6"/>
  <c r="AF96" i="6"/>
  <c r="AF16" i="25"/>
  <c r="AF69" i="26" s="1"/>
  <c r="AF11" i="25"/>
  <c r="AF61" i="26" s="1"/>
  <c r="AB35" i="22"/>
  <c r="AA113" i="26"/>
  <c r="S135" i="26"/>
  <c r="T26" i="47"/>
  <c r="AG78" i="22"/>
  <c r="X201" i="23"/>
  <c r="X204" i="23" s="1"/>
  <c r="X66" i="6" s="1"/>
  <c r="V149" i="25"/>
  <c r="V31" i="25" s="1"/>
  <c r="V83" i="26" s="1"/>
  <c r="V147" i="25"/>
  <c r="Y122" i="22"/>
  <c r="Y164" i="22"/>
  <c r="Y41" i="26" s="1"/>
  <c r="Y42" i="26" s="1"/>
  <c r="P16" i="39"/>
  <c r="K16" i="39"/>
  <c r="R16" i="39"/>
  <c r="J16" i="39"/>
  <c r="W16" i="39"/>
  <c r="X16" i="39"/>
  <c r="N16" i="39"/>
  <c r="Q16" i="39"/>
  <c r="T16" i="39"/>
  <c r="Y16" i="39"/>
  <c r="O16" i="39"/>
  <c r="L16" i="39"/>
  <c r="S16" i="39"/>
  <c r="U16" i="39"/>
  <c r="AA16" i="39"/>
  <c r="L330" i="36" s="1"/>
  <c r="Z16" i="39"/>
  <c r="V16" i="39"/>
  <c r="J330" i="36" s="1"/>
  <c r="M16" i="39"/>
  <c r="AA132" i="26"/>
  <c r="AB193" i="6"/>
  <c r="AB196" i="6" s="1"/>
  <c r="Y120" i="22"/>
  <c r="Y123" i="22" s="1"/>
  <c r="X114" i="26"/>
  <c r="X116" i="26" s="1"/>
  <c r="Z52" i="22"/>
  <c r="Z53" i="22" s="1"/>
  <c r="W145" i="23"/>
  <c r="W148" i="23" s="1"/>
  <c r="W59" i="6" s="1"/>
  <c r="U29" i="47"/>
  <c r="U33" i="25" s="1"/>
  <c r="U84" i="26" s="1"/>
  <c r="T29" i="47"/>
  <c r="W193" i="23"/>
  <c r="W196" i="23" s="1"/>
  <c r="W65" i="6" s="1"/>
  <c r="Y176" i="6"/>
  <c r="Y179" i="6" s="1"/>
  <c r="X128" i="26"/>
  <c r="W57" i="6"/>
  <c r="I104" i="22"/>
  <c r="H104" i="22"/>
  <c r="V59" i="6"/>
  <c r="V210" i="23"/>
  <c r="Z173" i="23"/>
  <c r="AA171" i="23" s="1"/>
  <c r="W133" i="23"/>
  <c r="X131" i="23" s="1"/>
  <c r="AB19" i="22"/>
  <c r="Y165" i="23"/>
  <c r="Z163" i="23" s="1"/>
  <c r="U14" i="47"/>
  <c r="U18" i="47" s="1"/>
  <c r="U27" i="47" s="1"/>
  <c r="V29" i="47" s="1"/>
  <c r="V33" i="25" s="1"/>
  <c r="V84" i="26" s="1"/>
  <c r="U187" i="6"/>
  <c r="W181" i="23"/>
  <c r="X179" i="23" s="1"/>
  <c r="Z27" i="39" l="1"/>
  <c r="V27" i="39"/>
  <c r="AE324" i="36" s="1"/>
  <c r="T27" i="39"/>
  <c r="W27" i="39"/>
  <c r="M27" i="39"/>
  <c r="R27" i="39"/>
  <c r="K27" i="39"/>
  <c r="X27" i="39"/>
  <c r="S27" i="39"/>
  <c r="Q27" i="39"/>
  <c r="O27" i="39"/>
  <c r="U27" i="39"/>
  <c r="Y27" i="39"/>
  <c r="J27" i="39"/>
  <c r="N27" i="39"/>
  <c r="Z152" i="22"/>
  <c r="Z155" i="22" s="1"/>
  <c r="AA152" i="22" s="1"/>
  <c r="Z137" i="22"/>
  <c r="X157" i="23"/>
  <c r="Y155" i="23" s="1"/>
  <c r="W210" i="23"/>
  <c r="W197" i="23"/>
  <c r="X195" i="23" s="1"/>
  <c r="X193" i="23" s="1"/>
  <c r="X196" i="23" s="1"/>
  <c r="X65" i="6" s="1"/>
  <c r="V211" i="23"/>
  <c r="V118" i="26" s="1"/>
  <c r="U188" i="6"/>
  <c r="W125" i="25"/>
  <c r="V144" i="26"/>
  <c r="V145" i="26"/>
  <c r="W135" i="25"/>
  <c r="V143" i="26"/>
  <c r="W115" i="25"/>
  <c r="X205" i="23"/>
  <c r="Y203" i="23" s="1"/>
  <c r="Y201" i="23" s="1"/>
  <c r="Y204" i="23" s="1"/>
  <c r="Y66" i="6" s="1"/>
  <c r="Z64" i="6"/>
  <c r="Z189" i="23"/>
  <c r="AA187" i="23" s="1"/>
  <c r="AA185" i="23" s="1"/>
  <c r="AA188" i="23" s="1"/>
  <c r="AA64" i="6" s="1"/>
  <c r="AE29" i="26"/>
  <c r="AE37" i="26"/>
  <c r="AG39" i="26"/>
  <c r="I82" i="24"/>
  <c r="I365" i="46"/>
  <c r="AY466" i="36"/>
  <c r="AX466" i="36"/>
  <c r="I358" i="46"/>
  <c r="AY459" i="36"/>
  <c r="AX459" i="36"/>
  <c r="I360" i="46"/>
  <c r="AY461" i="36"/>
  <c r="AX461" i="36"/>
  <c r="AG95" i="6"/>
  <c r="I95" i="6" s="1"/>
  <c r="AG333" i="46"/>
  <c r="I314" i="46"/>
  <c r="AD352" i="46"/>
  <c r="I351" i="46"/>
  <c r="L31" i="6"/>
  <c r="I361" i="46"/>
  <c r="AY462" i="36"/>
  <c r="AX462" i="36"/>
  <c r="AF177" i="6"/>
  <c r="AF73" i="44"/>
  <c r="AF16" i="47" s="1"/>
  <c r="AG22" i="47"/>
  <c r="AG50" i="6"/>
  <c r="L88" i="6"/>
  <c r="L91" i="6" s="1"/>
  <c r="K88" i="6"/>
  <c r="K91" i="6" s="1"/>
  <c r="J88" i="6"/>
  <c r="O116" i="36"/>
  <c r="O111" i="36"/>
  <c r="O118" i="36"/>
  <c r="O117" i="36"/>
  <c r="O110" i="36"/>
  <c r="O115" i="36"/>
  <c r="O114" i="36"/>
  <c r="O112" i="36"/>
  <c r="O109" i="36"/>
  <c r="O113" i="36"/>
  <c r="AY465" i="36"/>
  <c r="AX465" i="36"/>
  <c r="I364" i="46"/>
  <c r="I122" i="6"/>
  <c r="AD123" i="6"/>
  <c r="AE120" i="6" s="1"/>
  <c r="AE123" i="6" s="1"/>
  <c r="AF120" i="6" s="1"/>
  <c r="AF123" i="6" s="1"/>
  <c r="AG120" i="6" s="1"/>
  <c r="U17" i="25"/>
  <c r="U70" i="26" s="1"/>
  <c r="AG42" i="44"/>
  <c r="I36" i="44"/>
  <c r="AY458" i="36"/>
  <c r="AX458" i="36"/>
  <c r="I357" i="46"/>
  <c r="AA18" i="35"/>
  <c r="W21" i="35"/>
  <c r="I22" i="6"/>
  <c r="J26" i="6"/>
  <c r="AG11" i="25"/>
  <c r="AG61" i="26" s="1"/>
  <c r="AG16" i="25"/>
  <c r="AG69" i="26" s="1"/>
  <c r="AG96" i="6"/>
  <c r="AD19" i="25"/>
  <c r="AD18" i="25"/>
  <c r="I126" i="6"/>
  <c r="Q119" i="36"/>
  <c r="L42" i="6"/>
  <c r="L45" i="6" s="1"/>
  <c r="L11" i="25" s="1"/>
  <c r="L61" i="26" s="1"/>
  <c r="O10" i="38" s="1"/>
  <c r="J42" i="6"/>
  <c r="J45" i="6" s="1"/>
  <c r="K42" i="6"/>
  <c r="AG363" i="46"/>
  <c r="I119" i="23"/>
  <c r="AG122" i="23"/>
  <c r="I30" i="6"/>
  <c r="O258" i="36"/>
  <c r="AF26" i="26"/>
  <c r="AF27" i="26" s="1"/>
  <c r="AF28" i="26" s="1"/>
  <c r="AF352" i="46"/>
  <c r="AF336" i="46"/>
  <c r="AF15" i="47" s="1"/>
  <c r="V68" i="6"/>
  <c r="V77" i="6" s="1"/>
  <c r="V17" i="25" s="1"/>
  <c r="V70" i="26" s="1"/>
  <c r="AG121" i="6"/>
  <c r="I325" i="46"/>
  <c r="K31" i="6"/>
  <c r="I362" i="46"/>
  <c r="AX463" i="36"/>
  <c r="AY463" i="36"/>
  <c r="AG13" i="47"/>
  <c r="I13" i="47" s="1"/>
  <c r="AG49" i="6"/>
  <c r="I49" i="6" s="1"/>
  <c r="I95" i="24"/>
  <c r="AY460" i="36"/>
  <c r="AX460" i="36"/>
  <c r="I359" i="46"/>
  <c r="AD366" i="46"/>
  <c r="I356" i="46"/>
  <c r="AX457" i="36"/>
  <c r="AY457" i="36"/>
  <c r="AB37" i="22"/>
  <c r="AB38" i="22" s="1"/>
  <c r="Y153" i="23"/>
  <c r="Y156" i="23" s="1"/>
  <c r="Y60" i="6" s="1"/>
  <c r="W72" i="6"/>
  <c r="W215" i="23"/>
  <c r="W216" i="23" s="1"/>
  <c r="AA136" i="22"/>
  <c r="AA154" i="22" s="1"/>
  <c r="AB20" i="22"/>
  <c r="E115" i="22"/>
  <c r="E114" i="22"/>
  <c r="W145" i="25"/>
  <c r="V141" i="26"/>
  <c r="H78" i="22"/>
  <c r="I78" i="22"/>
  <c r="Z161" i="23"/>
  <c r="Z164" i="23" s="1"/>
  <c r="Z61" i="6" s="1"/>
  <c r="V215" i="23"/>
  <c r="V216" i="23" s="1"/>
  <c r="V72" i="6"/>
  <c r="W68" i="6"/>
  <c r="Z122" i="22"/>
  <c r="Z164" i="22"/>
  <c r="Z41" i="26" s="1"/>
  <c r="Z42" i="26" s="1"/>
  <c r="AB132" i="26"/>
  <c r="AC193" i="6"/>
  <c r="AC196" i="6" s="1"/>
  <c r="T30" i="47"/>
  <c r="AA52" i="22"/>
  <c r="AA53" i="22" s="1"/>
  <c r="X129" i="23"/>
  <c r="X132" i="23" s="1"/>
  <c r="X133" i="23" s="1"/>
  <c r="Y131" i="23" s="1"/>
  <c r="T33" i="25"/>
  <c r="X177" i="23"/>
  <c r="X180" i="23" s="1"/>
  <c r="X63" i="6" s="1"/>
  <c r="W209" i="23"/>
  <c r="W211" i="23" s="1"/>
  <c r="AA169" i="23"/>
  <c r="AA172" i="23" s="1"/>
  <c r="AA62" i="6" s="1"/>
  <c r="Z176" i="6"/>
  <c r="Z179" i="6" s="1"/>
  <c r="Y128" i="26"/>
  <c r="W149" i="23"/>
  <c r="X147" i="23" s="1"/>
  <c r="Z141" i="23"/>
  <c r="AA139" i="23" s="1"/>
  <c r="Y114" i="26"/>
  <c r="Y116" i="26" s="1"/>
  <c r="Z120" i="22"/>
  <c r="AG79" i="22"/>
  <c r="Z115" i="26" l="1"/>
  <c r="AA155" i="22"/>
  <c r="AA115" i="26" s="1"/>
  <c r="AG123" i="6"/>
  <c r="V73" i="6"/>
  <c r="W118" i="25"/>
  <c r="W119" i="25"/>
  <c r="W121" i="25" s="1"/>
  <c r="W138" i="25"/>
  <c r="W139" i="25"/>
  <c r="W141" i="25" s="1"/>
  <c r="W128" i="25"/>
  <c r="W129" i="25"/>
  <c r="W131" i="25" s="1"/>
  <c r="AA137" i="22"/>
  <c r="Z165" i="23"/>
  <c r="AA163" i="23" s="1"/>
  <c r="AA161" i="23" s="1"/>
  <c r="AA164" i="23" s="1"/>
  <c r="AA61" i="6" s="1"/>
  <c r="Y157" i="23"/>
  <c r="Z155" i="23" s="1"/>
  <c r="Q149" i="36"/>
  <c r="AY470" i="36"/>
  <c r="Q157" i="36"/>
  <c r="AY478" i="36"/>
  <c r="Q197" i="36" s="1"/>
  <c r="Q158" i="36"/>
  <c r="AY479" i="36"/>
  <c r="Q198" i="36" s="1"/>
  <c r="X181" i="23"/>
  <c r="Y179" i="23" s="1"/>
  <c r="Y177" i="23" s="1"/>
  <c r="Y180" i="23" s="1"/>
  <c r="Y63" i="6" s="1"/>
  <c r="AG24" i="26"/>
  <c r="I122" i="23"/>
  <c r="J50" i="6"/>
  <c r="J22" i="47"/>
  <c r="T113" i="36"/>
  <c r="T109" i="36"/>
  <c r="T114" i="36"/>
  <c r="T110" i="36"/>
  <c r="T118" i="36"/>
  <c r="T115" i="36"/>
  <c r="T111" i="36"/>
  <c r="T117" i="36"/>
  <c r="T112" i="36"/>
  <c r="AD72" i="26"/>
  <c r="I19" i="25"/>
  <c r="AC39" i="36"/>
  <c r="J31" i="6"/>
  <c r="J11" i="25"/>
  <c r="I26" i="6"/>
  <c r="AG33" i="26"/>
  <c r="AG68" i="44"/>
  <c r="I42" i="44"/>
  <c r="AF29" i="26"/>
  <c r="AF37" i="26"/>
  <c r="L16" i="25"/>
  <c r="L69" i="26" s="1"/>
  <c r="O18" i="38" s="1"/>
  <c r="L96" i="6"/>
  <c r="L153" i="36"/>
  <c r="AX474" i="36"/>
  <c r="L193" i="36" s="1"/>
  <c r="Q151" i="36"/>
  <c r="AY472" i="36"/>
  <c r="Q191" i="36" s="1"/>
  <c r="AA189" i="23"/>
  <c r="AB187" i="23" s="1"/>
  <c r="AX473" i="36"/>
  <c r="L192" i="36" s="1"/>
  <c r="L152" i="36"/>
  <c r="I121" i="6"/>
  <c r="O260" i="36"/>
  <c r="L22" i="47"/>
  <c r="L50" i="6"/>
  <c r="T116" i="36"/>
  <c r="L150" i="36"/>
  <c r="AX471" i="36"/>
  <c r="L190" i="36" s="1"/>
  <c r="O119" i="36"/>
  <c r="L154" i="36"/>
  <c r="AX475" i="36"/>
  <c r="L194" i="36" s="1"/>
  <c r="Q153" i="36"/>
  <c r="AY474" i="36"/>
  <c r="Q193" i="36" s="1"/>
  <c r="L155" i="36"/>
  <c r="AX476" i="36"/>
  <c r="L195" i="36" s="1"/>
  <c r="I42" i="6"/>
  <c r="K45" i="6"/>
  <c r="AD71" i="26"/>
  <c r="I18" i="25"/>
  <c r="K16" i="25"/>
  <c r="K69" i="26" s="1"/>
  <c r="N18" i="38" s="1"/>
  <c r="K96" i="6"/>
  <c r="L151" i="36"/>
  <c r="AX472" i="36"/>
  <c r="L191" i="36" s="1"/>
  <c r="L149" i="36"/>
  <c r="AX470" i="36"/>
  <c r="Q152" i="36"/>
  <c r="AY473" i="36"/>
  <c r="Q192" i="36" s="1"/>
  <c r="Q155" i="36"/>
  <c r="AY476" i="36"/>
  <c r="Q195" i="36" s="1"/>
  <c r="I363" i="46"/>
  <c r="AY464" i="36"/>
  <c r="AX464" i="36"/>
  <c r="AG366" i="46"/>
  <c r="I366" i="46" s="1"/>
  <c r="AA21" i="35"/>
  <c r="Q61" i="36" s="1"/>
  <c r="AY471" i="36"/>
  <c r="Q190" i="36" s="1"/>
  <c r="Q150" i="36"/>
  <c r="L157" i="36"/>
  <c r="AX478" i="36"/>
  <c r="L197" i="36" s="1"/>
  <c r="I88" i="6"/>
  <c r="J91" i="6"/>
  <c r="Q154" i="36"/>
  <c r="AY475" i="36"/>
  <c r="Q194" i="36" s="1"/>
  <c r="AG26" i="26"/>
  <c r="AG352" i="46"/>
  <c r="I352" i="46" s="1"/>
  <c r="AG336" i="46"/>
  <c r="I333" i="46"/>
  <c r="L158" i="36"/>
  <c r="AX479" i="36"/>
  <c r="L198" i="36" s="1"/>
  <c r="X38" i="35"/>
  <c r="Y38" i="35"/>
  <c r="I39" i="26"/>
  <c r="Z38" i="35"/>
  <c r="W38" i="35"/>
  <c r="AC35" i="22"/>
  <c r="AB113" i="26"/>
  <c r="AA137" i="23"/>
  <c r="AA140" i="23" s="1"/>
  <c r="AA58" i="6" s="1"/>
  <c r="Z153" i="23"/>
  <c r="Z156" i="23" s="1"/>
  <c r="Z60" i="6" s="1"/>
  <c r="X145" i="23"/>
  <c r="X148" i="23" s="1"/>
  <c r="X59" i="6" s="1"/>
  <c r="AA173" i="23"/>
  <c r="AB171" i="23" s="1"/>
  <c r="T135" i="26"/>
  <c r="U26" i="47"/>
  <c r="U30" i="47" s="1"/>
  <c r="E89" i="22"/>
  <c r="E88" i="22"/>
  <c r="AA176" i="6"/>
  <c r="AA179" i="6" s="1"/>
  <c r="Z128" i="26"/>
  <c r="X57" i="6"/>
  <c r="AB52" i="22"/>
  <c r="AB53" i="22" s="1"/>
  <c r="W147" i="25"/>
  <c r="W149" i="25"/>
  <c r="W31" i="25" s="1"/>
  <c r="W83" i="26" s="1"/>
  <c r="W14" i="47"/>
  <c r="W18" i="47" s="1"/>
  <c r="W27" i="47" s="1"/>
  <c r="W187" i="6"/>
  <c r="Y129" i="23"/>
  <c r="Y132" i="23" s="1"/>
  <c r="Y133" i="23" s="1"/>
  <c r="Z131" i="23" s="1"/>
  <c r="V14" i="47"/>
  <c r="V18" i="47" s="1"/>
  <c r="V27" i="47" s="1"/>
  <c r="V187" i="6"/>
  <c r="V21" i="47"/>
  <c r="V188" i="6"/>
  <c r="Z123" i="22"/>
  <c r="W118" i="26"/>
  <c r="X209" i="23"/>
  <c r="T84" i="26"/>
  <c r="J41" i="36"/>
  <c r="AC48" i="36"/>
  <c r="AA122" i="22"/>
  <c r="AA164" i="22"/>
  <c r="AA41" i="26" s="1"/>
  <c r="AA42" i="26" s="1"/>
  <c r="AC132" i="26"/>
  <c r="AD193" i="6"/>
  <c r="AD196" i="6" s="1"/>
  <c r="W73" i="6"/>
  <c r="W77" i="6"/>
  <c r="W17" i="25" s="1"/>
  <c r="W70" i="26" s="1"/>
  <c r="AC19" i="22"/>
  <c r="Y205" i="23"/>
  <c r="Z203" i="23" s="1"/>
  <c r="AB152" i="22"/>
  <c r="X197" i="23"/>
  <c r="Y195" i="23" s="1"/>
  <c r="AB185" i="23" l="1"/>
  <c r="AB188" i="23" s="1"/>
  <c r="AB64" i="6" s="1"/>
  <c r="X135" i="25"/>
  <c r="W145" i="26"/>
  <c r="X125" i="25"/>
  <c r="W144" i="26"/>
  <c r="W143" i="26"/>
  <c r="X115" i="25"/>
  <c r="AB136" i="22"/>
  <c r="AB154" i="22" s="1"/>
  <c r="AB155" i="22" s="1"/>
  <c r="Y181" i="23"/>
  <c r="Z179" i="23" s="1"/>
  <c r="Z177" i="23" s="1"/>
  <c r="Z180" i="23" s="1"/>
  <c r="Z63" i="6" s="1"/>
  <c r="J96" i="6"/>
  <c r="J97" i="6" s="1"/>
  <c r="I91" i="6"/>
  <c r="J16" i="25"/>
  <c r="T119" i="36"/>
  <c r="J51" i="6"/>
  <c r="W25" i="35"/>
  <c r="Y25" i="35"/>
  <c r="X25" i="35"/>
  <c r="Z25" i="35"/>
  <c r="I26" i="26"/>
  <c r="L156" i="36"/>
  <c r="L159" i="36" s="1"/>
  <c r="AX477" i="36"/>
  <c r="L196" i="36" s="1"/>
  <c r="K22" i="47"/>
  <c r="I22" i="47" s="1"/>
  <c r="K50" i="6"/>
  <c r="I50" i="6" s="1"/>
  <c r="K11" i="25"/>
  <c r="K61" i="26" s="1"/>
  <c r="N10" i="38" s="1"/>
  <c r="J61" i="26"/>
  <c r="I72" i="26"/>
  <c r="W21" i="38"/>
  <c r="Y21" i="38"/>
  <c r="Z21" i="38"/>
  <c r="X21" i="38"/>
  <c r="I45" i="6"/>
  <c r="Q189" i="36"/>
  <c r="X68" i="6"/>
  <c r="X73" i="6" s="1"/>
  <c r="X149" i="23"/>
  <c r="Y147" i="23" s="1"/>
  <c r="Q156" i="36"/>
  <c r="Q159" i="36" s="1"/>
  <c r="T153" i="36" s="1"/>
  <c r="AY477" i="36"/>
  <c r="Q196" i="36" s="1"/>
  <c r="AX467" i="36"/>
  <c r="AG72" i="44"/>
  <c r="I68" i="44"/>
  <c r="J32" i="6"/>
  <c r="I31" i="6"/>
  <c r="L258" i="36"/>
  <c r="AY467" i="36"/>
  <c r="G352" i="46"/>
  <c r="F286" i="1"/>
  <c r="H286" i="1" s="1"/>
  <c r="L189" i="36"/>
  <c r="Y20" i="38"/>
  <c r="W20" i="38"/>
  <c r="Z20" i="38"/>
  <c r="I71" i="26"/>
  <c r="X20" i="38"/>
  <c r="AA165" i="23"/>
  <c r="AB163" i="23" s="1"/>
  <c r="AB161" i="23" s="1"/>
  <c r="AB164" i="23" s="1"/>
  <c r="AB61" i="6" s="1"/>
  <c r="X210" i="23"/>
  <c r="X215" i="23" s="1"/>
  <c r="X216" i="23" s="1"/>
  <c r="AA38" i="35"/>
  <c r="Q67" i="36" s="1"/>
  <c r="T67" i="36" s="1"/>
  <c r="AG15" i="47"/>
  <c r="I15" i="47" s="1"/>
  <c r="I336" i="46"/>
  <c r="T61" i="36"/>
  <c r="AY410" i="36"/>
  <c r="T66" i="36"/>
  <c r="T68" i="36"/>
  <c r="T69" i="36"/>
  <c r="AG36" i="26"/>
  <c r="I36" i="26" s="1"/>
  <c r="Y32" i="35"/>
  <c r="Y35" i="35" s="1"/>
  <c r="I33" i="26"/>
  <c r="W32" i="35"/>
  <c r="X32" i="35"/>
  <c r="X35" i="35" s="1"/>
  <c r="Z32" i="35"/>
  <c r="Z35" i="35" s="1"/>
  <c r="AG27" i="26"/>
  <c r="W23" i="35"/>
  <c r="Z23" i="35"/>
  <c r="Y23" i="35"/>
  <c r="X23" i="35"/>
  <c r="I24" i="26"/>
  <c r="AC52" i="22"/>
  <c r="AC122" i="22" s="1"/>
  <c r="V26" i="47"/>
  <c r="V30" i="47" s="1"/>
  <c r="U135" i="26"/>
  <c r="Y193" i="23"/>
  <c r="Y196" i="23" s="1"/>
  <c r="Y65" i="6" s="1"/>
  <c r="W29" i="47"/>
  <c r="W33" i="25" s="1"/>
  <c r="W84" i="26" s="1"/>
  <c r="X29" i="47"/>
  <c r="X33" i="25" s="1"/>
  <c r="X84" i="26" s="1"/>
  <c r="W188" i="6"/>
  <c r="W21" i="47"/>
  <c r="Y57" i="6"/>
  <c r="W141" i="26"/>
  <c r="X145" i="25"/>
  <c r="Z201" i="23"/>
  <c r="Z204" i="23" s="1"/>
  <c r="Z66" i="6" s="1"/>
  <c r="Y145" i="23"/>
  <c r="Y148" i="23" s="1"/>
  <c r="Y59" i="6" s="1"/>
  <c r="AC37" i="22"/>
  <c r="AC38" i="22" s="1"/>
  <c r="Z114" i="26"/>
  <c r="Z116" i="26" s="1"/>
  <c r="AA120" i="22"/>
  <c r="AA123" i="22" s="1"/>
  <c r="AB176" i="6"/>
  <c r="AB179" i="6" s="1"/>
  <c r="AA128" i="26"/>
  <c r="AC20" i="22"/>
  <c r="AD132" i="26"/>
  <c r="AE193" i="6"/>
  <c r="AE196" i="6" s="1"/>
  <c r="Z129" i="23"/>
  <c r="Z132" i="23" s="1"/>
  <c r="AB122" i="22"/>
  <c r="AB169" i="23"/>
  <c r="AB172" i="23" s="1"/>
  <c r="AB62" i="6" s="1"/>
  <c r="Z157" i="23"/>
  <c r="AA155" i="23" s="1"/>
  <c r="AA141" i="23"/>
  <c r="AB139" i="23" s="1"/>
  <c r="AB164" i="22" l="1"/>
  <c r="AB41" i="26" s="1"/>
  <c r="AB42" i="26" s="1"/>
  <c r="AB115" i="26"/>
  <c r="AC152" i="22"/>
  <c r="AB189" i="23"/>
  <c r="AC187" i="23" s="1"/>
  <c r="AC185" i="23" s="1"/>
  <c r="AC188" i="23" s="1"/>
  <c r="AC64" i="6" s="1"/>
  <c r="X26" i="35"/>
  <c r="X28" i="35" s="1"/>
  <c r="X72" i="6"/>
  <c r="AB137" i="22"/>
  <c r="AC136" i="22" s="1"/>
  <c r="AC154" i="22" s="1"/>
  <c r="I96" i="6"/>
  <c r="Z26" i="35"/>
  <c r="Z27" i="35" s="1"/>
  <c r="Z36" i="35" s="1"/>
  <c r="X128" i="25"/>
  <c r="X129" i="25"/>
  <c r="X131" i="25" s="1"/>
  <c r="X118" i="25"/>
  <c r="X119" i="25"/>
  <c r="X121" i="25" s="1"/>
  <c r="X138" i="25"/>
  <c r="X139" i="25"/>
  <c r="X141" i="25" s="1"/>
  <c r="O153" i="36"/>
  <c r="O154" i="36"/>
  <c r="O157" i="36"/>
  <c r="X77" i="6"/>
  <c r="X17" i="25" s="1"/>
  <c r="X70" i="26" s="1"/>
  <c r="T152" i="36"/>
  <c r="AY480" i="36"/>
  <c r="T154" i="36"/>
  <c r="AX480" i="36"/>
  <c r="X211" i="23"/>
  <c r="X118" i="26" s="1"/>
  <c r="T149" i="36"/>
  <c r="AA20" i="38"/>
  <c r="T151" i="36"/>
  <c r="T155" i="36"/>
  <c r="AA32" i="35"/>
  <c r="W35" i="35"/>
  <c r="AA35" i="35" s="1"/>
  <c r="Q64" i="36" s="1"/>
  <c r="T64" i="36" s="1"/>
  <c r="AG177" i="6"/>
  <c r="I177" i="6" s="1"/>
  <c r="AG73" i="44"/>
  <c r="I72" i="44"/>
  <c r="Q199" i="36"/>
  <c r="T196" i="36" s="1"/>
  <c r="J121" i="26"/>
  <c r="K48" i="6"/>
  <c r="K51" i="6" s="1"/>
  <c r="O155" i="36"/>
  <c r="J69" i="26"/>
  <c r="I16" i="25"/>
  <c r="AC36" i="36"/>
  <c r="Y197" i="23"/>
  <c r="Z195" i="23" s="1"/>
  <c r="Z193" i="23" s="1"/>
  <c r="Z196" i="23" s="1"/>
  <c r="Z65" i="6" s="1"/>
  <c r="I11" i="25"/>
  <c r="O151" i="36"/>
  <c r="K29" i="6"/>
  <c r="K32" i="6" s="1"/>
  <c r="J120" i="26"/>
  <c r="J36" i="36"/>
  <c r="O152" i="36"/>
  <c r="O158" i="36"/>
  <c r="J129" i="26"/>
  <c r="K94" i="6"/>
  <c r="K97" i="6" s="1"/>
  <c r="X27" i="35"/>
  <c r="X36" i="35" s="1"/>
  <c r="AG28" i="26"/>
  <c r="I27" i="26"/>
  <c r="G366" i="46" s="1"/>
  <c r="F287" i="1" s="1"/>
  <c r="H287" i="1" s="1"/>
  <c r="Y26" i="35"/>
  <c r="O150" i="36"/>
  <c r="AA25" i="35"/>
  <c r="Z205" i="23"/>
  <c r="AA203" i="23" s="1"/>
  <c r="AA201" i="23" s="1"/>
  <c r="AA204" i="23" s="1"/>
  <c r="AA66" i="6" s="1"/>
  <c r="Y68" i="6"/>
  <c r="Y73" i="6" s="1"/>
  <c r="AA23" i="35"/>
  <c r="W26" i="35"/>
  <c r="L199" i="36"/>
  <c r="O189" i="36" s="1"/>
  <c r="T158" i="36"/>
  <c r="T156" i="36"/>
  <c r="AA21" i="38"/>
  <c r="J66" i="26"/>
  <c r="M10" i="38"/>
  <c r="X10" i="38"/>
  <c r="W10" i="38"/>
  <c r="I61" i="26"/>
  <c r="Z10" i="38"/>
  <c r="Y10" i="38"/>
  <c r="O149" i="36"/>
  <c r="O156" i="36"/>
  <c r="T157" i="36"/>
  <c r="T150" i="36"/>
  <c r="Z57" i="6"/>
  <c r="AC176" i="6"/>
  <c r="AC179" i="6" s="1"/>
  <c r="AB128" i="26"/>
  <c r="AC113" i="26"/>
  <c r="AD35" i="22"/>
  <c r="AB173" i="23"/>
  <c r="AC171" i="23" s="1"/>
  <c r="Z133" i="23"/>
  <c r="AA131" i="23" s="1"/>
  <c r="AD19" i="22"/>
  <c r="AD20" i="22" s="1"/>
  <c r="AA153" i="23"/>
  <c r="AA156" i="23" s="1"/>
  <c r="AA60" i="6" s="1"/>
  <c r="AF193" i="6"/>
  <c r="AF196" i="6" s="1"/>
  <c r="AE132" i="26"/>
  <c r="AC155" i="22"/>
  <c r="Y149" i="23"/>
  <c r="Z147" i="23" s="1"/>
  <c r="X149" i="25"/>
  <c r="X31" i="25" s="1"/>
  <c r="X83" i="26" s="1"/>
  <c r="X147" i="25"/>
  <c r="AA114" i="26"/>
  <c r="AA116" i="26" s="1"/>
  <c r="AB120" i="22"/>
  <c r="AB123" i="22" s="1"/>
  <c r="W26" i="47"/>
  <c r="W30" i="47" s="1"/>
  <c r="V135" i="26"/>
  <c r="AB137" i="23"/>
  <c r="AB140" i="23" s="1"/>
  <c r="AB58" i="6" s="1"/>
  <c r="X14" i="47"/>
  <c r="X18" i="47" s="1"/>
  <c r="X27" i="47" s="1"/>
  <c r="X187" i="6"/>
  <c r="Z181" i="23"/>
  <c r="AA179" i="23" s="1"/>
  <c r="Y210" i="23"/>
  <c r="AC137" i="22"/>
  <c r="AB165" i="23"/>
  <c r="AC163" i="23" s="1"/>
  <c r="AC53" i="22"/>
  <c r="AC189" i="23" l="1"/>
  <c r="AD187" i="23" s="1"/>
  <c r="AD185" i="23" s="1"/>
  <c r="AD188" i="23" s="1"/>
  <c r="AD64" i="6" s="1"/>
  <c r="AC164" i="22"/>
  <c r="AC41" i="26" s="1"/>
  <c r="AC42" i="26" s="1"/>
  <c r="X188" i="6"/>
  <c r="Z28" i="35"/>
  <c r="T189" i="36"/>
  <c r="Y77" i="6"/>
  <c r="Y17" i="25" s="1"/>
  <c r="Y70" i="26" s="1"/>
  <c r="X21" i="47"/>
  <c r="Y115" i="25"/>
  <c r="X143" i="26"/>
  <c r="X145" i="26"/>
  <c r="Y135" i="25"/>
  <c r="X144" i="26"/>
  <c r="Y125" i="25"/>
  <c r="Y209" i="23"/>
  <c r="Y211" i="23" s="1"/>
  <c r="Y118" i="26" s="1"/>
  <c r="T159" i="36"/>
  <c r="AA205" i="23"/>
  <c r="AB203" i="23" s="1"/>
  <c r="AB201" i="23" s="1"/>
  <c r="AB204" i="23" s="1"/>
  <c r="AB66" i="6" s="1"/>
  <c r="K120" i="26"/>
  <c r="L29" i="6"/>
  <c r="L32" i="6" s="1"/>
  <c r="AG16" i="47"/>
  <c r="I16" i="47" s="1"/>
  <c r="I73" i="44"/>
  <c r="O159" i="36"/>
  <c r="I69" i="26"/>
  <c r="Z18" i="38"/>
  <c r="Y18" i="38"/>
  <c r="X18" i="38"/>
  <c r="W18" i="38"/>
  <c r="M18" i="38"/>
  <c r="V18" i="38" s="1"/>
  <c r="AA10" i="38"/>
  <c r="O198" i="36"/>
  <c r="O190" i="36"/>
  <c r="O195" i="36"/>
  <c r="O192" i="36"/>
  <c r="O194" i="36"/>
  <c r="O197" i="36"/>
  <c r="O191" i="36"/>
  <c r="O193" i="36"/>
  <c r="Y28" i="35"/>
  <c r="Y27" i="35"/>
  <c r="Y36" i="35" s="1"/>
  <c r="O196" i="36"/>
  <c r="T197" i="36"/>
  <c r="T193" i="36"/>
  <c r="T194" i="36"/>
  <c r="T192" i="36"/>
  <c r="T190" i="36"/>
  <c r="T195" i="36"/>
  <c r="T198" i="36"/>
  <c r="T191" i="36"/>
  <c r="M15" i="38"/>
  <c r="V10" i="38"/>
  <c r="AG29" i="26"/>
  <c r="AG37" i="26"/>
  <c r="I37" i="26" s="1"/>
  <c r="I28" i="26"/>
  <c r="AB141" i="23"/>
  <c r="AC139" i="23" s="1"/>
  <c r="AC137" i="23" s="1"/>
  <c r="AC140" i="23" s="1"/>
  <c r="AC58" i="6" s="1"/>
  <c r="AA26" i="35"/>
  <c r="W28" i="35"/>
  <c r="W27" i="35"/>
  <c r="L94" i="6"/>
  <c r="L97" i="6" s="1"/>
  <c r="K129" i="26"/>
  <c r="K121" i="26"/>
  <c r="L48" i="6"/>
  <c r="L51" i="6" s="1"/>
  <c r="AD136" i="22"/>
  <c r="AD154" i="22" s="1"/>
  <c r="AA177" i="23"/>
  <c r="AA180" i="23" s="1"/>
  <c r="AA63" i="6" s="1"/>
  <c r="W135" i="26"/>
  <c r="X26" i="47"/>
  <c r="X30" i="47" s="1"/>
  <c r="AD176" i="6"/>
  <c r="AD179" i="6" s="1"/>
  <c r="AC128" i="26"/>
  <c r="AC120" i="22"/>
  <c r="AC123" i="22" s="1"/>
  <c r="AB114" i="26"/>
  <c r="AB116" i="26" s="1"/>
  <c r="Z145" i="23"/>
  <c r="Z148" i="23" s="1"/>
  <c r="Z149" i="23" s="1"/>
  <c r="AA147" i="23" s="1"/>
  <c r="AG193" i="6"/>
  <c r="AG196" i="6" s="1"/>
  <c r="AG132" i="26" s="1"/>
  <c r="AF132" i="26"/>
  <c r="AA129" i="23"/>
  <c r="AA132" i="23" s="1"/>
  <c r="AA133" i="23" s="1"/>
  <c r="AB131" i="23" s="1"/>
  <c r="AD52" i="22"/>
  <c r="AD122" i="22" s="1"/>
  <c r="AD189" i="23"/>
  <c r="AE187" i="23" s="1"/>
  <c r="Z197" i="23"/>
  <c r="AA195" i="23" s="1"/>
  <c r="AC161" i="23"/>
  <c r="AC164" i="23" s="1"/>
  <c r="AC61" i="6" s="1"/>
  <c r="Y215" i="23"/>
  <c r="Y216" i="23" s="1"/>
  <c r="Y72" i="6"/>
  <c r="Y29" i="47"/>
  <c r="Y33" i="25" s="1"/>
  <c r="Y84" i="26" s="1"/>
  <c r="Y145" i="25"/>
  <c r="X141" i="26"/>
  <c r="AC115" i="26"/>
  <c r="AD152" i="22"/>
  <c r="AA157" i="23"/>
  <c r="AB155" i="23" s="1"/>
  <c r="AD37" i="22"/>
  <c r="AD38" i="22" s="1"/>
  <c r="AE19" i="22"/>
  <c r="AE20" i="22" s="1"/>
  <c r="AC169" i="23"/>
  <c r="AC172" i="23" s="1"/>
  <c r="AC62" i="6" s="1"/>
  <c r="AC141" i="23" l="1"/>
  <c r="AD139" i="23" s="1"/>
  <c r="AD155" i="22"/>
  <c r="Y188" i="6"/>
  <c r="Y21" i="47"/>
  <c r="Y128" i="25"/>
  <c r="Y129" i="25"/>
  <c r="Y131" i="25" s="1"/>
  <c r="Y139" i="25"/>
  <c r="Y141" i="25" s="1"/>
  <c r="Y138" i="25"/>
  <c r="Y118" i="25"/>
  <c r="Y119" i="25"/>
  <c r="Y121" i="25" s="1"/>
  <c r="AA18" i="38"/>
  <c r="AA181" i="23"/>
  <c r="AB179" i="23" s="1"/>
  <c r="AB177" i="23" s="1"/>
  <c r="AB180" i="23" s="1"/>
  <c r="AB63" i="6" s="1"/>
  <c r="Z209" i="23"/>
  <c r="T199" i="36"/>
  <c r="L129" i="26"/>
  <c r="M94" i="6"/>
  <c r="M97" i="6" s="1"/>
  <c r="L120" i="26"/>
  <c r="M29" i="6"/>
  <c r="M32" i="6" s="1"/>
  <c r="AB205" i="23"/>
  <c r="AC203" i="23" s="1"/>
  <c r="M48" i="6"/>
  <c r="M51" i="6" s="1"/>
  <c r="L121" i="26"/>
  <c r="W36" i="35"/>
  <c r="AA36" i="35" s="1"/>
  <c r="AA27" i="35"/>
  <c r="AA28" i="35"/>
  <c r="Q62" i="36"/>
  <c r="O199" i="36"/>
  <c r="AF19" i="22"/>
  <c r="AD137" i="23"/>
  <c r="AD140" i="23" s="1"/>
  <c r="AD58" i="6" s="1"/>
  <c r="AD113" i="26"/>
  <c r="AE35" i="22"/>
  <c r="AE152" i="22"/>
  <c r="AD115" i="26"/>
  <c r="AB129" i="23"/>
  <c r="AB132" i="23" s="1"/>
  <c r="AA145" i="23"/>
  <c r="AA148" i="23" s="1"/>
  <c r="AA59" i="6" s="1"/>
  <c r="AC165" i="23"/>
  <c r="AD163" i="23" s="1"/>
  <c r="AD53" i="22"/>
  <c r="X135" i="26"/>
  <c r="Y26" i="47"/>
  <c r="AC173" i="23"/>
  <c r="AD171" i="23" s="1"/>
  <c r="AB153" i="23"/>
  <c r="AB156" i="23" s="1"/>
  <c r="AB60" i="6" s="1"/>
  <c r="Y149" i="25"/>
  <c r="Y31" i="25" s="1"/>
  <c r="Y83" i="26" s="1"/>
  <c r="Y147" i="25"/>
  <c r="Y14" i="47"/>
  <c r="Y18" i="47" s="1"/>
  <c r="Y27" i="47" s="1"/>
  <c r="Y187" i="6"/>
  <c r="AE185" i="23"/>
  <c r="AE188" i="23" s="1"/>
  <c r="AE64" i="6" s="1"/>
  <c r="AA57" i="6"/>
  <c r="Z59" i="6"/>
  <c r="Z68" i="6" s="1"/>
  <c r="Z210" i="23"/>
  <c r="Z211" i="23" s="1"/>
  <c r="AE176" i="6"/>
  <c r="AE179" i="6" s="1"/>
  <c r="AD128" i="26"/>
  <c r="AE37" i="22"/>
  <c r="AC201" i="23"/>
  <c r="AC204" i="23" s="1"/>
  <c r="AC66" i="6" s="1"/>
  <c r="AD164" i="22"/>
  <c r="AD41" i="26" s="1"/>
  <c r="AD42" i="26" s="1"/>
  <c r="AA193" i="23"/>
  <c r="AA196" i="23" s="1"/>
  <c r="AA65" i="6" s="1"/>
  <c r="S29" i="39"/>
  <c r="X29" i="39"/>
  <c r="Y29" i="39"/>
  <c r="AA29" i="39"/>
  <c r="T29" i="39"/>
  <c r="R29" i="39"/>
  <c r="L29" i="39"/>
  <c r="U29" i="39"/>
  <c r="N29" i="39"/>
  <c r="V29" i="39"/>
  <c r="O29" i="39"/>
  <c r="P29" i="39"/>
  <c r="Q29" i="39"/>
  <c r="Z29" i="39"/>
  <c r="K29" i="39"/>
  <c r="M29" i="39"/>
  <c r="W29" i="39"/>
  <c r="J29" i="39"/>
  <c r="AC114" i="26"/>
  <c r="AC116" i="26" s="1"/>
  <c r="AD120" i="22"/>
  <c r="AD123" i="22" s="1"/>
  <c r="AD137" i="22"/>
  <c r="Z135" i="25" l="1"/>
  <c r="Y145" i="26"/>
  <c r="Y143" i="26"/>
  <c r="Z115" i="25"/>
  <c r="Y144" i="26"/>
  <c r="Z125" i="25"/>
  <c r="AE38" i="22"/>
  <c r="AF35" i="22" s="1"/>
  <c r="AA210" i="23"/>
  <c r="AA72" i="6" s="1"/>
  <c r="AE189" i="23"/>
  <c r="AF187" i="23" s="1"/>
  <c r="N29" i="6"/>
  <c r="N32" i="6" s="1"/>
  <c r="M120" i="26"/>
  <c r="Y30" i="47"/>
  <c r="Z26" i="47" s="1"/>
  <c r="T62" i="36"/>
  <c r="Q63" i="36"/>
  <c r="N94" i="6"/>
  <c r="N97" i="6" s="1"/>
  <c r="M129" i="26"/>
  <c r="AA197" i="23"/>
  <c r="AB195" i="23" s="1"/>
  <c r="AB193" i="23" s="1"/>
  <c r="AB196" i="23" s="1"/>
  <c r="AB65" i="6" s="1"/>
  <c r="AA149" i="23"/>
  <c r="AB147" i="23" s="1"/>
  <c r="AB145" i="23" s="1"/>
  <c r="AB148" i="23" s="1"/>
  <c r="AB59" i="6" s="1"/>
  <c r="AD141" i="23"/>
  <c r="AE139" i="23" s="1"/>
  <c r="AE137" i="23" s="1"/>
  <c r="AE140" i="23" s="1"/>
  <c r="AE58" i="6" s="1"/>
  <c r="N48" i="6"/>
  <c r="N51" i="6" s="1"/>
  <c r="M121" i="26"/>
  <c r="Z118" i="26"/>
  <c r="AA209" i="23"/>
  <c r="AA215" i="23"/>
  <c r="AA216" i="23" s="1"/>
  <c r="Z29" i="47"/>
  <c r="Z33" i="25" s="1"/>
  <c r="Z84" i="26" s="1"/>
  <c r="AE52" i="22"/>
  <c r="AE53" i="22" s="1"/>
  <c r="Z215" i="23"/>
  <c r="Z216" i="23" s="1"/>
  <c r="Z72" i="6"/>
  <c r="AF185" i="23"/>
  <c r="AF188" i="23" s="1"/>
  <c r="AF64" i="6" s="1"/>
  <c r="Z145" i="25"/>
  <c r="Y141" i="26"/>
  <c r="AD169" i="23"/>
  <c r="AD172" i="23" s="1"/>
  <c r="AD62" i="6" s="1"/>
  <c r="AD161" i="23"/>
  <c r="AD164" i="23" s="1"/>
  <c r="AD61" i="6" s="1"/>
  <c r="AE136" i="22"/>
  <c r="AE154" i="22" s="1"/>
  <c r="AE155" i="22" s="1"/>
  <c r="Z73" i="6"/>
  <c r="Z77" i="6"/>
  <c r="AB57" i="6"/>
  <c r="AF37" i="22"/>
  <c r="AE120" i="22"/>
  <c r="AD114" i="26"/>
  <c r="AC205" i="23"/>
  <c r="AD203" i="23" s="1"/>
  <c r="AF176" i="6"/>
  <c r="AF179" i="6" s="1"/>
  <c r="AE128" i="26"/>
  <c r="AA68" i="6"/>
  <c r="AB157" i="23"/>
  <c r="AC155" i="23" s="1"/>
  <c r="AB181" i="23"/>
  <c r="AC179" i="23" s="1"/>
  <c r="AB133" i="23"/>
  <c r="AC131" i="23" s="1"/>
  <c r="AD116" i="26"/>
  <c r="AF20" i="22"/>
  <c r="Y135" i="26" l="1"/>
  <c r="Z118" i="25"/>
  <c r="Z119" i="25"/>
  <c r="Z121" i="25" s="1"/>
  <c r="Z128" i="25"/>
  <c r="Z129" i="25"/>
  <c r="Z131" i="25" s="1"/>
  <c r="Z139" i="25"/>
  <c r="Z141" i="25" s="1"/>
  <c r="Z138" i="25"/>
  <c r="AE113" i="26"/>
  <c r="AA211" i="23"/>
  <c r="AD165" i="23"/>
  <c r="AE163" i="23" s="1"/>
  <c r="AE161" i="23" s="1"/>
  <c r="AE164" i="23" s="1"/>
  <c r="AE61" i="6" s="1"/>
  <c r="AE141" i="23"/>
  <c r="AF139" i="23" s="1"/>
  <c r="N121" i="26"/>
  <c r="O48" i="6"/>
  <c r="O51" i="6" s="1"/>
  <c r="N120" i="26"/>
  <c r="O29" i="6"/>
  <c r="O32" i="6" s="1"/>
  <c r="O94" i="6"/>
  <c r="O97" i="6" s="1"/>
  <c r="N129" i="26"/>
  <c r="AB68" i="6"/>
  <c r="AB73" i="6" s="1"/>
  <c r="AY411" i="36"/>
  <c r="Q65" i="36"/>
  <c r="T63" i="36"/>
  <c r="AE115" i="26"/>
  <c r="AF152" i="22"/>
  <c r="AG19" i="22"/>
  <c r="AC177" i="23"/>
  <c r="AC180" i="23" s="1"/>
  <c r="AC63" i="6" s="1"/>
  <c r="AA73" i="6"/>
  <c r="AA77" i="6"/>
  <c r="AA17" i="25" s="1"/>
  <c r="AA70" i="26" s="1"/>
  <c r="AF38" i="22"/>
  <c r="AF137" i="23"/>
  <c r="AF140" i="23" s="1"/>
  <c r="AF58" i="6" s="1"/>
  <c r="AE122" i="22"/>
  <c r="AE123" i="22" s="1"/>
  <c r="AE164" i="22"/>
  <c r="AE41" i="26" s="1"/>
  <c r="AE42" i="26" s="1"/>
  <c r="AB197" i="23"/>
  <c r="AC195" i="23" s="1"/>
  <c r="Z149" i="25"/>
  <c r="Z31" i="25" s="1"/>
  <c r="Z83" i="26" s="1"/>
  <c r="Z147" i="25"/>
  <c r="Z14" i="47"/>
  <c r="Z18" i="47" s="1"/>
  <c r="Z27" i="47" s="1"/>
  <c r="Z30" i="47" s="1"/>
  <c r="Z187" i="6"/>
  <c r="AG176" i="6"/>
  <c r="AG179" i="6" s="1"/>
  <c r="AG128" i="26" s="1"/>
  <c r="AF128" i="26"/>
  <c r="Z188" i="6"/>
  <c r="Z21" i="47"/>
  <c r="AE137" i="22"/>
  <c r="AF52" i="22"/>
  <c r="AA14" i="47"/>
  <c r="AA18" i="47" s="1"/>
  <c r="AA27" i="47" s="1"/>
  <c r="AA187" i="6"/>
  <c r="AA118" i="26"/>
  <c r="AB209" i="23"/>
  <c r="AC129" i="23"/>
  <c r="AC132" i="23" s="1"/>
  <c r="AC133" i="23" s="1"/>
  <c r="AD131" i="23" s="1"/>
  <c r="AC153" i="23"/>
  <c r="AC156" i="23" s="1"/>
  <c r="AC60" i="6" s="1"/>
  <c r="AD201" i="23"/>
  <c r="AD204" i="23" s="1"/>
  <c r="AD66" i="6" s="1"/>
  <c r="AB210" i="23"/>
  <c r="Z17" i="25"/>
  <c r="Z70" i="26" s="1"/>
  <c r="AB149" i="23"/>
  <c r="AC147" i="23" s="1"/>
  <c r="AD173" i="23"/>
  <c r="AE171" i="23" s="1"/>
  <c r="AF189" i="23"/>
  <c r="AG187" i="23" s="1"/>
  <c r="AB77" i="6" l="1"/>
  <c r="AB188" i="6" s="1"/>
  <c r="AA135" i="25"/>
  <c r="Z145" i="26"/>
  <c r="Z144" i="26"/>
  <c r="AA125" i="25"/>
  <c r="Z143" i="26"/>
  <c r="AA115" i="25"/>
  <c r="S25" i="39"/>
  <c r="U25" i="39"/>
  <c r="P25" i="39"/>
  <c r="Y25" i="39"/>
  <c r="O121" i="26"/>
  <c r="P48" i="6"/>
  <c r="P51" i="6" s="1"/>
  <c r="AD205" i="23"/>
  <c r="AE203" i="23" s="1"/>
  <c r="AE201" i="23" s="1"/>
  <c r="AE204" i="23" s="1"/>
  <c r="AE66" i="6" s="1"/>
  <c r="J25" i="39"/>
  <c r="V25" i="39"/>
  <c r="O129" i="26"/>
  <c r="P94" i="6"/>
  <c r="P97" i="6" s="1"/>
  <c r="O120" i="26"/>
  <c r="P29" i="6"/>
  <c r="P32" i="6" s="1"/>
  <c r="Q70" i="36"/>
  <c r="T70" i="36" s="1"/>
  <c r="T65" i="36"/>
  <c r="AB211" i="23"/>
  <c r="AB118" i="26" s="1"/>
  <c r="AC145" i="23"/>
  <c r="AC148" i="23" s="1"/>
  <c r="AC59" i="6" s="1"/>
  <c r="R25" i="39"/>
  <c r="N25" i="39"/>
  <c r="W25" i="39"/>
  <c r="O25" i="39"/>
  <c r="AG185" i="23"/>
  <c r="AG188" i="23" s="1"/>
  <c r="AB215" i="23"/>
  <c r="AB216" i="23" s="1"/>
  <c r="AB72" i="6"/>
  <c r="AC157" i="23"/>
  <c r="AD155" i="23" s="1"/>
  <c r="AF122" i="22"/>
  <c r="AA26" i="47"/>
  <c r="Z135" i="26"/>
  <c r="AA25" i="39"/>
  <c r="AE169" i="23"/>
  <c r="AE172" i="23" s="1"/>
  <c r="AE62" i="6" s="1"/>
  <c r="AC57" i="6"/>
  <c r="AF53" i="22"/>
  <c r="AF120" i="22"/>
  <c r="AF123" i="22" s="1"/>
  <c r="AE114" i="26"/>
  <c r="AE116" i="26" s="1"/>
  <c r="X25" i="39"/>
  <c r="AA29" i="47"/>
  <c r="AA33" i="25" s="1"/>
  <c r="AA84" i="26" s="1"/>
  <c r="AB29" i="47"/>
  <c r="AB33" i="25" s="1"/>
  <c r="AB84" i="26" s="1"/>
  <c r="AE165" i="23"/>
  <c r="AF163" i="23" s="1"/>
  <c r="T25" i="39"/>
  <c r="AA188" i="6"/>
  <c r="AA21" i="47"/>
  <c r="AC181" i="23"/>
  <c r="AD179" i="23" s="1"/>
  <c r="AA145" i="25"/>
  <c r="Z141" i="26"/>
  <c r="L25" i="39"/>
  <c r="AF136" i="22"/>
  <c r="AF154" i="22" s="1"/>
  <c r="AF155" i="22" s="1"/>
  <c r="Z25" i="39"/>
  <c r="AC193" i="23"/>
  <c r="AC196" i="23" s="1"/>
  <c r="AC65" i="6" s="1"/>
  <c r="K25" i="39"/>
  <c r="AF141" i="23"/>
  <c r="AG139" i="23" s="1"/>
  <c r="AG37" i="22"/>
  <c r="I37" i="22" s="1"/>
  <c r="I19" i="22"/>
  <c r="H19" i="22"/>
  <c r="AD129" i="23"/>
  <c r="AD132" i="23" s="1"/>
  <c r="M25" i="39"/>
  <c r="Q25" i="39"/>
  <c r="AG35" i="22"/>
  <c r="AF113" i="26"/>
  <c r="AG20" i="22"/>
  <c r="AB17" i="25" l="1"/>
  <c r="AB70" i="26" s="1"/>
  <c r="AB21" i="47"/>
  <c r="AA128" i="25"/>
  <c r="AA129" i="25"/>
  <c r="AA131" i="25" s="1"/>
  <c r="AA118" i="25"/>
  <c r="AA119" i="25"/>
  <c r="AA121" i="25" s="1"/>
  <c r="AA138" i="25"/>
  <c r="AA139" i="25"/>
  <c r="AA141" i="25" s="1"/>
  <c r="AG38" i="22"/>
  <c r="AG113" i="26" s="1"/>
  <c r="Y10" i="39" s="1"/>
  <c r="AF137" i="22"/>
  <c r="AG136" i="22" s="1"/>
  <c r="AG137" i="22" s="1"/>
  <c r="AC209" i="23"/>
  <c r="AE205" i="23"/>
  <c r="AF203" i="23" s="1"/>
  <c r="AF201" i="23" s="1"/>
  <c r="AF204" i="23" s="1"/>
  <c r="AF66" i="6" s="1"/>
  <c r="P121" i="26"/>
  <c r="Q48" i="6"/>
  <c r="Q51" i="6" s="1"/>
  <c r="Q94" i="6"/>
  <c r="Q97" i="6" s="1"/>
  <c r="P129" i="26"/>
  <c r="P120" i="26"/>
  <c r="Q29" i="6"/>
  <c r="Q32" i="6" s="1"/>
  <c r="AG152" i="22"/>
  <c r="AF115" i="26"/>
  <c r="AA147" i="25"/>
  <c r="AA149" i="25"/>
  <c r="AA31" i="25" s="1"/>
  <c r="AA83" i="26" s="1"/>
  <c r="AA10" i="39"/>
  <c r="R10" i="39"/>
  <c r="M10" i="39"/>
  <c r="S10" i="39"/>
  <c r="T10" i="39"/>
  <c r="K10" i="39"/>
  <c r="AD57" i="6"/>
  <c r="AD133" i="23"/>
  <c r="AE131" i="23" s="1"/>
  <c r="AC197" i="23"/>
  <c r="AD195" i="23" s="1"/>
  <c r="AC210" i="23"/>
  <c r="AC211" i="23" s="1"/>
  <c r="AD153" i="23"/>
  <c r="AD156" i="23" s="1"/>
  <c r="AD60" i="6" s="1"/>
  <c r="AG64" i="6"/>
  <c r="I188" i="23"/>
  <c r="E29" i="22"/>
  <c r="E30" i="22"/>
  <c r="AF114" i="26"/>
  <c r="AG120" i="22"/>
  <c r="AG52" i="22"/>
  <c r="AG53" i="22" s="1"/>
  <c r="AE173" i="23"/>
  <c r="AF171" i="23" s="1"/>
  <c r="AF164" i="22"/>
  <c r="AF41" i="26" s="1"/>
  <c r="AF42" i="26" s="1"/>
  <c r="AB14" i="47"/>
  <c r="AB18" i="47" s="1"/>
  <c r="AB27" i="47" s="1"/>
  <c r="AB187" i="6"/>
  <c r="AC149" i="23"/>
  <c r="AD147" i="23" s="1"/>
  <c r="AG137" i="23"/>
  <c r="AG140" i="23" s="1"/>
  <c r="AG141" i="23" s="1"/>
  <c r="AA30" i="47"/>
  <c r="AD177" i="23"/>
  <c r="AD180" i="23" s="1"/>
  <c r="AD63" i="6" s="1"/>
  <c r="AF161" i="23"/>
  <c r="AF164" i="23" s="1"/>
  <c r="AF61" i="6" s="1"/>
  <c r="AC68" i="6"/>
  <c r="AG189" i="23"/>
  <c r="AF116" i="26" l="1"/>
  <c r="W10" i="39"/>
  <c r="J10" i="39"/>
  <c r="Q10" i="39"/>
  <c r="AB115" i="25"/>
  <c r="AA143" i="26"/>
  <c r="AA145" i="26"/>
  <c r="AB135" i="25"/>
  <c r="AB125" i="25"/>
  <c r="AA144" i="26"/>
  <c r="O10" i="39"/>
  <c r="N10" i="39"/>
  <c r="L10" i="39"/>
  <c r="U10" i="39"/>
  <c r="P10" i="39"/>
  <c r="X10" i="39"/>
  <c r="Z10" i="39"/>
  <c r="V10" i="39"/>
  <c r="J323" i="36" s="1"/>
  <c r="AF165" i="23"/>
  <c r="AG163" i="23" s="1"/>
  <c r="AG161" i="23" s="1"/>
  <c r="AG164" i="23" s="1"/>
  <c r="AG165" i="23" s="1"/>
  <c r="Q120" i="26"/>
  <c r="R29" i="6"/>
  <c r="R32" i="6" s="1"/>
  <c r="Q121" i="26"/>
  <c r="R48" i="6"/>
  <c r="R51" i="6" s="1"/>
  <c r="Q129" i="26"/>
  <c r="R94" i="6"/>
  <c r="R97" i="6" s="1"/>
  <c r="AB26" i="47"/>
  <c r="AB30" i="47" s="1"/>
  <c r="AA135" i="26"/>
  <c r="AD145" i="23"/>
  <c r="AD148" i="23" s="1"/>
  <c r="AF169" i="23"/>
  <c r="AF172" i="23" s="1"/>
  <c r="AF62" i="6" s="1"/>
  <c r="J64" i="6"/>
  <c r="K64" i="6"/>
  <c r="L64" i="6"/>
  <c r="AC72" i="6"/>
  <c r="AC215" i="23"/>
  <c r="AC216" i="23" s="1"/>
  <c r="L323" i="36"/>
  <c r="AC29" i="47"/>
  <c r="AC33" i="25" s="1"/>
  <c r="AC84" i="26" s="1"/>
  <c r="AE129" i="23"/>
  <c r="AE132" i="23" s="1"/>
  <c r="AG122" i="22"/>
  <c r="I122" i="22" s="1"/>
  <c r="I52" i="22"/>
  <c r="H52" i="22"/>
  <c r="AG164" i="22"/>
  <c r="AD193" i="23"/>
  <c r="AD196" i="23" s="1"/>
  <c r="AD65" i="6" s="1"/>
  <c r="AA141" i="26"/>
  <c r="AB145" i="25"/>
  <c r="AC73" i="6"/>
  <c r="AC77" i="6"/>
  <c r="AC17" i="25" s="1"/>
  <c r="AC70" i="26" s="1"/>
  <c r="AD181" i="23"/>
  <c r="AE179" i="23" s="1"/>
  <c r="AG154" i="22"/>
  <c r="I154" i="22" s="1"/>
  <c r="H136" i="22"/>
  <c r="I136" i="22"/>
  <c r="AG58" i="6"/>
  <c r="I140" i="23"/>
  <c r="AD209" i="23"/>
  <c r="AC118" i="26"/>
  <c r="AF205" i="23"/>
  <c r="AG203" i="23" s="1"/>
  <c r="AD157" i="23"/>
  <c r="AE155" i="23" s="1"/>
  <c r="AB139" i="25" l="1"/>
  <c r="AB141" i="25" s="1"/>
  <c r="AB138" i="25"/>
  <c r="AB128" i="25"/>
  <c r="AB129" i="25"/>
  <c r="AB131" i="25" s="1"/>
  <c r="AB119" i="25"/>
  <c r="AB121" i="25" s="1"/>
  <c r="AB118" i="25"/>
  <c r="AG155" i="22"/>
  <c r="AG115" i="26" s="1"/>
  <c r="N12" i="39" s="1"/>
  <c r="R120" i="26"/>
  <c r="S29" i="6"/>
  <c r="S32" i="6" s="1"/>
  <c r="AD197" i="23"/>
  <c r="AE195" i="23" s="1"/>
  <c r="AE193" i="23" s="1"/>
  <c r="AE196" i="23" s="1"/>
  <c r="AE65" i="6" s="1"/>
  <c r="I64" i="6"/>
  <c r="S94" i="6"/>
  <c r="S97" i="6" s="1"/>
  <c r="R129" i="26"/>
  <c r="S48" i="6"/>
  <c r="S51" i="6" s="1"/>
  <c r="R121" i="26"/>
  <c r="E62" i="22"/>
  <c r="E63" i="22"/>
  <c r="H184" i="22"/>
  <c r="F284" i="1" s="1"/>
  <c r="H284" i="1" s="1"/>
  <c r="AE57" i="6"/>
  <c r="AD59" i="6"/>
  <c r="AD68" i="6" s="1"/>
  <c r="AD210" i="23"/>
  <c r="AD211" i="23" s="1"/>
  <c r="AG201" i="23"/>
  <c r="AG204" i="23" s="1"/>
  <c r="AG205" i="23" s="1"/>
  <c r="K58" i="6"/>
  <c r="J58" i="6"/>
  <c r="L58" i="6"/>
  <c r="AG41" i="26"/>
  <c r="I164" i="22"/>
  <c r="AF173" i="23"/>
  <c r="AG171" i="23" s="1"/>
  <c r="J12" i="39"/>
  <c r="Z12" i="39"/>
  <c r="U12" i="39"/>
  <c r="T12" i="39"/>
  <c r="AE177" i="23"/>
  <c r="AE180" i="23" s="1"/>
  <c r="AE63" i="6" s="1"/>
  <c r="AB149" i="25"/>
  <c r="AB31" i="25" s="1"/>
  <c r="AB83" i="26" s="1"/>
  <c r="AB147" i="25"/>
  <c r="AC14" i="47"/>
  <c r="AC18" i="47" s="1"/>
  <c r="AC27" i="47" s="1"/>
  <c r="AC187" i="6"/>
  <c r="AC188" i="6"/>
  <c r="AC21" i="47"/>
  <c r="AE133" i="23"/>
  <c r="AF131" i="23" s="1"/>
  <c r="AG123" i="22"/>
  <c r="AG114" i="26" s="1"/>
  <c r="AD149" i="23"/>
  <c r="AE147" i="23" s="1"/>
  <c r="AE153" i="23"/>
  <c r="AE156" i="23" s="1"/>
  <c r="AE60" i="6" s="1"/>
  <c r="E146" i="22"/>
  <c r="E147" i="22"/>
  <c r="AG61" i="6"/>
  <c r="I164" i="23"/>
  <c r="AC26" i="47"/>
  <c r="AB135" i="26"/>
  <c r="AA12" i="39" l="1"/>
  <c r="L325" i="36" s="1"/>
  <c r="AC125" i="25"/>
  <c r="AB144" i="26"/>
  <c r="AC115" i="25"/>
  <c r="AB143" i="26"/>
  <c r="AC135" i="25"/>
  <c r="AB145" i="26"/>
  <c r="P12" i="39"/>
  <c r="K12" i="39"/>
  <c r="W12" i="39"/>
  <c r="Q12" i="39"/>
  <c r="O12" i="39"/>
  <c r="S12" i="39"/>
  <c r="V12" i="39"/>
  <c r="J325" i="36" s="1"/>
  <c r="X12" i="39"/>
  <c r="L12" i="39"/>
  <c r="R12" i="39"/>
  <c r="M12" i="39"/>
  <c r="Y12" i="39"/>
  <c r="S121" i="26"/>
  <c r="T48" i="6"/>
  <c r="T51" i="6" s="1"/>
  <c r="S120" i="26"/>
  <c r="T29" i="6"/>
  <c r="T32" i="6" s="1"/>
  <c r="T94" i="6"/>
  <c r="T97" i="6" s="1"/>
  <c r="S129" i="26"/>
  <c r="AE181" i="23"/>
  <c r="AF179" i="23" s="1"/>
  <c r="AF177" i="23" s="1"/>
  <c r="AF180" i="23" s="1"/>
  <c r="AF63" i="6" s="1"/>
  <c r="AE197" i="23"/>
  <c r="AF195" i="23" s="1"/>
  <c r="AF193" i="23" s="1"/>
  <c r="AF196" i="23" s="1"/>
  <c r="AF65" i="6" s="1"/>
  <c r="AF129" i="23"/>
  <c r="AF132" i="23" s="1"/>
  <c r="AF133" i="23" s="1"/>
  <c r="AG131" i="23" s="1"/>
  <c r="AE145" i="23"/>
  <c r="AE148" i="23" s="1"/>
  <c r="AE149" i="23" s="1"/>
  <c r="AF147" i="23" s="1"/>
  <c r="AE157" i="23"/>
  <c r="AF155" i="23" s="1"/>
  <c r="P11" i="39"/>
  <c r="S11" i="39"/>
  <c r="O11" i="39"/>
  <c r="U11" i="39"/>
  <c r="U13" i="39" s="1"/>
  <c r="AA11" i="39"/>
  <c r="X11" i="39"/>
  <c r="Z11" i="39"/>
  <c r="Z13" i="39" s="1"/>
  <c r="T11" i="39"/>
  <c r="T13" i="39" s="1"/>
  <c r="R11" i="39"/>
  <c r="R13" i="39" s="1"/>
  <c r="Y11" i="39"/>
  <c r="V11" i="39"/>
  <c r="M11" i="39"/>
  <c r="Q11" i="39"/>
  <c r="L11" i="39"/>
  <c r="N11" i="39"/>
  <c r="N13" i="39" s="1"/>
  <c r="K11" i="39"/>
  <c r="W11" i="39"/>
  <c r="J11" i="39"/>
  <c r="J13" i="39" s="1"/>
  <c r="AG116" i="26"/>
  <c r="AG169" i="23"/>
  <c r="AG172" i="23" s="1"/>
  <c r="AG173" i="23" s="1"/>
  <c r="I58" i="6"/>
  <c r="AD72" i="6"/>
  <c r="AD215" i="23"/>
  <c r="AD216" i="23" s="1"/>
  <c r="AD29" i="47"/>
  <c r="AD33" i="25" s="1"/>
  <c r="AD84" i="26" s="1"/>
  <c r="AD73" i="6"/>
  <c r="AD77" i="6"/>
  <c r="AB141" i="26"/>
  <c r="AC145" i="25"/>
  <c r="AG42" i="26"/>
  <c r="I42" i="26" s="1"/>
  <c r="Z40" i="35"/>
  <c r="Z41" i="35" s="1"/>
  <c r="W40" i="35"/>
  <c r="I41" i="26"/>
  <c r="Y40" i="35"/>
  <c r="Y41" i="35" s="1"/>
  <c r="X40" i="35"/>
  <c r="X41" i="35" s="1"/>
  <c r="AG66" i="6"/>
  <c r="I204" i="23"/>
  <c r="AC30" i="47"/>
  <c r="J61" i="6"/>
  <c r="K61" i="6"/>
  <c r="L61" i="6"/>
  <c r="AE209" i="23"/>
  <c r="AD118" i="26"/>
  <c r="W13" i="39" l="1"/>
  <c r="O13" i="39"/>
  <c r="AF197" i="23"/>
  <c r="AG195" i="23" s="1"/>
  <c r="K13" i="39"/>
  <c r="Y13" i="39"/>
  <c r="X13" i="39"/>
  <c r="S13" i="39"/>
  <c r="I61" i="6"/>
  <c r="AC118" i="25"/>
  <c r="AC119" i="25"/>
  <c r="AC121" i="25" s="1"/>
  <c r="AC138" i="25"/>
  <c r="AC139" i="25"/>
  <c r="AC141" i="25" s="1"/>
  <c r="AC128" i="25"/>
  <c r="AC129" i="25"/>
  <c r="AC131" i="25" s="1"/>
  <c r="L13" i="39"/>
  <c r="Q13" i="39"/>
  <c r="P13" i="39"/>
  <c r="M13" i="39"/>
  <c r="U48" i="6"/>
  <c r="U51" i="6" s="1"/>
  <c r="T121" i="26"/>
  <c r="T129" i="26"/>
  <c r="U94" i="6"/>
  <c r="U97" i="6" s="1"/>
  <c r="U29" i="6"/>
  <c r="U32" i="6" s="1"/>
  <c r="T120" i="26"/>
  <c r="AD21" i="47"/>
  <c r="AD188" i="6"/>
  <c r="AA40" i="35"/>
  <c r="W41" i="35"/>
  <c r="AA41" i="35" s="1"/>
  <c r="AF181" i="23"/>
  <c r="AG179" i="23" s="1"/>
  <c r="AG62" i="6"/>
  <c r="I172" i="23"/>
  <c r="L324" i="36"/>
  <c r="L321" i="36" s="1"/>
  <c r="AA13" i="39"/>
  <c r="AF153" i="23"/>
  <c r="AF156" i="23" s="1"/>
  <c r="AF60" i="6" s="1"/>
  <c r="AG193" i="23"/>
  <c r="AG196" i="23" s="1"/>
  <c r="AG197" i="23" s="1"/>
  <c r="AC135" i="26"/>
  <c r="AD26" i="47"/>
  <c r="J324" i="36"/>
  <c r="J321" i="36" s="1"/>
  <c r="V13" i="39"/>
  <c r="AE59" i="6"/>
  <c r="AE68" i="6" s="1"/>
  <c r="AE210" i="23"/>
  <c r="AF57" i="6"/>
  <c r="AD14" i="47"/>
  <c r="AD18" i="47" s="1"/>
  <c r="AD27" i="47" s="1"/>
  <c r="AD187" i="6"/>
  <c r="J66" i="6"/>
  <c r="K66" i="6"/>
  <c r="L66" i="6"/>
  <c r="AC149" i="25"/>
  <c r="AC31" i="25" s="1"/>
  <c r="AC83" i="26" s="1"/>
  <c r="AC147" i="25"/>
  <c r="AD17" i="25"/>
  <c r="AD70" i="26" s="1"/>
  <c r="AF145" i="23"/>
  <c r="AF148" i="23" s="1"/>
  <c r="AF59" i="6" s="1"/>
  <c r="AG129" i="23"/>
  <c r="AG132" i="23" s="1"/>
  <c r="AC145" i="26" l="1"/>
  <c r="AD135" i="25"/>
  <c r="AC144" i="26"/>
  <c r="AD125" i="25"/>
  <c r="AD115" i="25"/>
  <c r="AC143" i="26"/>
  <c r="AF149" i="23"/>
  <c r="AG147" i="23" s="1"/>
  <c r="AG145" i="23" s="1"/>
  <c r="AG148" i="23" s="1"/>
  <c r="U129" i="26"/>
  <c r="V94" i="6"/>
  <c r="V97" i="6" s="1"/>
  <c r="U120" i="26"/>
  <c r="V29" i="6"/>
  <c r="V32" i="6" s="1"/>
  <c r="U121" i="26"/>
  <c r="V48" i="6"/>
  <c r="V51" i="6" s="1"/>
  <c r="AE215" i="23"/>
  <c r="AE216" i="23" s="1"/>
  <c r="AE72" i="6"/>
  <c r="AD30" i="47"/>
  <c r="AE29" i="47"/>
  <c r="AE33" i="25" s="1"/>
  <c r="AE84" i="26" s="1"/>
  <c r="AF68" i="6"/>
  <c r="AE211" i="23"/>
  <c r="AF157" i="23"/>
  <c r="AG155" i="23" s="1"/>
  <c r="AE73" i="6"/>
  <c r="AE77" i="6"/>
  <c r="AE17" i="25" s="1"/>
  <c r="AE70" i="26" s="1"/>
  <c r="J62" i="6"/>
  <c r="K62" i="6"/>
  <c r="L62" i="6"/>
  <c r="Q71" i="36"/>
  <c r="O256" i="36"/>
  <c r="AG57" i="6"/>
  <c r="I132" i="23"/>
  <c r="AG133" i="23"/>
  <c r="AD145" i="25"/>
  <c r="AC141" i="26"/>
  <c r="I66" i="6"/>
  <c r="AF210" i="23"/>
  <c r="AG65" i="6"/>
  <c r="I196" i="23"/>
  <c r="AG177" i="23"/>
  <c r="AG180" i="23" s="1"/>
  <c r="AD129" i="25" l="1"/>
  <c r="AD131" i="25" s="1"/>
  <c r="AD128" i="25"/>
  <c r="AD138" i="25"/>
  <c r="AD139" i="25"/>
  <c r="AD141" i="25" s="1"/>
  <c r="AD118" i="25"/>
  <c r="AD119" i="25"/>
  <c r="AD121" i="25" s="1"/>
  <c r="V121" i="26"/>
  <c r="W48" i="6"/>
  <c r="W51" i="6" s="1"/>
  <c r="I62" i="6"/>
  <c r="W94" i="6"/>
  <c r="W97" i="6" s="1"/>
  <c r="V129" i="26"/>
  <c r="W29" i="6"/>
  <c r="W32" i="6" s="1"/>
  <c r="V120" i="26"/>
  <c r="AF72" i="6"/>
  <c r="AF215" i="23"/>
  <c r="AF216" i="23" s="1"/>
  <c r="J65" i="6"/>
  <c r="K65" i="6"/>
  <c r="L65" i="6"/>
  <c r="AD147" i="25"/>
  <c r="AD149" i="25"/>
  <c r="AD31" i="25" s="1"/>
  <c r="AD83" i="26" s="1"/>
  <c r="AF209" i="23"/>
  <c r="AF211" i="23" s="1"/>
  <c r="AE118" i="26"/>
  <c r="AG63" i="6"/>
  <c r="I180" i="23"/>
  <c r="AG59" i="6"/>
  <c r="I148" i="23"/>
  <c r="AF73" i="6"/>
  <c r="AF77" i="6"/>
  <c r="AF17" i="25" s="1"/>
  <c r="AF70" i="26" s="1"/>
  <c r="AD135" i="26"/>
  <c r="AE26" i="47"/>
  <c r="AG181" i="23"/>
  <c r="K57" i="6"/>
  <c r="J57" i="6"/>
  <c r="L57" i="6"/>
  <c r="T71" i="36"/>
  <c r="Q72" i="36"/>
  <c r="T72" i="36" s="1"/>
  <c r="AE188" i="6"/>
  <c r="AE21" i="47"/>
  <c r="AG149" i="23"/>
  <c r="AG153" i="23"/>
  <c r="AG156" i="23" s="1"/>
  <c r="AE14" i="47"/>
  <c r="AE18" i="47" s="1"/>
  <c r="AE27" i="47" s="1"/>
  <c r="AE187" i="6"/>
  <c r="AD145" i="26" l="1"/>
  <c r="AE135" i="25"/>
  <c r="AD144" i="26"/>
  <c r="AE125" i="25"/>
  <c r="AD143" i="26"/>
  <c r="AE115" i="25"/>
  <c r="W129" i="26"/>
  <c r="X94" i="6"/>
  <c r="X97" i="6" s="1"/>
  <c r="W120" i="26"/>
  <c r="X29" i="6"/>
  <c r="X32" i="6" s="1"/>
  <c r="X48" i="6"/>
  <c r="X51" i="6" s="1"/>
  <c r="W121" i="26"/>
  <c r="AE30" i="47"/>
  <c r="AG60" i="6"/>
  <c r="AG68" i="6" s="1"/>
  <c r="I156" i="23"/>
  <c r="AG210" i="23"/>
  <c r="I57" i="6"/>
  <c r="J59" i="6"/>
  <c r="K59" i="6"/>
  <c r="L59" i="6"/>
  <c r="I65" i="6"/>
  <c r="AF29" i="47"/>
  <c r="AF33" i="25" s="1"/>
  <c r="AF84" i="26" s="1"/>
  <c r="AG157" i="23"/>
  <c r="AF21" i="47"/>
  <c r="AF188" i="6"/>
  <c r="AE145" i="25"/>
  <c r="AD141" i="26"/>
  <c r="AF14" i="47"/>
  <c r="AF18" i="47" s="1"/>
  <c r="AF27" i="47" s="1"/>
  <c r="AG29" i="47" s="1"/>
  <c r="AF187" i="6"/>
  <c r="J63" i="6"/>
  <c r="K63" i="6"/>
  <c r="L63" i="6"/>
  <c r="AG209" i="23"/>
  <c r="AF118" i="26"/>
  <c r="AG211" i="23" l="1"/>
  <c r="AE118" i="25"/>
  <c r="AE119" i="25"/>
  <c r="AE121" i="25" s="1"/>
  <c r="AE138" i="25"/>
  <c r="AE139" i="25"/>
  <c r="AE141" i="25" s="1"/>
  <c r="AE128" i="25"/>
  <c r="AE129" i="25"/>
  <c r="AE131" i="25" s="1"/>
  <c r="X120" i="26"/>
  <c r="Y29" i="6"/>
  <c r="Y32" i="6" s="1"/>
  <c r="I59" i="6"/>
  <c r="X121" i="26"/>
  <c r="Y48" i="6"/>
  <c r="Y51" i="6" s="1"/>
  <c r="X129" i="26"/>
  <c r="Y94" i="6"/>
  <c r="Y97" i="6" s="1"/>
  <c r="AG33" i="25"/>
  <c r="I29" i="47"/>
  <c r="AG215" i="23"/>
  <c r="AG72" i="6"/>
  <c r="I210" i="23"/>
  <c r="L263" i="36"/>
  <c r="O263" i="36"/>
  <c r="K60" i="6"/>
  <c r="K68" i="6" s="1"/>
  <c r="J60" i="6"/>
  <c r="J68" i="6" s="1"/>
  <c r="L60" i="6"/>
  <c r="L68" i="6" s="1"/>
  <c r="AG118" i="26"/>
  <c r="AG73" i="6"/>
  <c r="AG77" i="6"/>
  <c r="I63" i="6"/>
  <c r="AE147" i="25"/>
  <c r="AE149" i="25"/>
  <c r="AE31" i="25" s="1"/>
  <c r="AE83" i="26" s="1"/>
  <c r="AE135" i="26"/>
  <c r="AF26" i="47"/>
  <c r="AF30" i="47" s="1"/>
  <c r="AE145" i="26" l="1"/>
  <c r="AF135" i="25"/>
  <c r="AE144" i="26"/>
  <c r="AF125" i="25"/>
  <c r="AF115" i="25"/>
  <c r="AE143" i="26"/>
  <c r="I60" i="6"/>
  <c r="Y121" i="26"/>
  <c r="Z48" i="6"/>
  <c r="Z51" i="6" s="1"/>
  <c r="Z94" i="6"/>
  <c r="Z97" i="6" s="1"/>
  <c r="Y129" i="26"/>
  <c r="Y120" i="26"/>
  <c r="Z29" i="6"/>
  <c r="Z32" i="6" s="1"/>
  <c r="I68" i="6"/>
  <c r="J73" i="6"/>
  <c r="J77" i="6"/>
  <c r="Y15" i="39"/>
  <c r="O15" i="39"/>
  <c r="P15" i="39"/>
  <c r="L15" i="39"/>
  <c r="Z15" i="39"/>
  <c r="AA15" i="39"/>
  <c r="L329" i="36" s="1"/>
  <c r="R15" i="39"/>
  <c r="V15" i="39"/>
  <c r="J329" i="36" s="1"/>
  <c r="U15" i="39"/>
  <c r="N15" i="39"/>
  <c r="X15" i="39"/>
  <c r="T15" i="39"/>
  <c r="J15" i="39"/>
  <c r="M15" i="39"/>
  <c r="W15" i="39"/>
  <c r="Q15" i="39"/>
  <c r="S15" i="39"/>
  <c r="K15" i="39"/>
  <c r="K73" i="6"/>
  <c r="K77" i="6"/>
  <c r="I72" i="6"/>
  <c r="O259" i="36"/>
  <c r="O257" i="36" s="1"/>
  <c r="AG21" i="47"/>
  <c r="O268" i="36" s="1"/>
  <c r="AG188" i="6"/>
  <c r="L73" i="6"/>
  <c r="L77" i="6"/>
  <c r="L17" i="25" s="1"/>
  <c r="L70" i="26" s="1"/>
  <c r="AG216" i="23"/>
  <c r="I215" i="23"/>
  <c r="AF135" i="26"/>
  <c r="AG26" i="47"/>
  <c r="AF145" i="25"/>
  <c r="AE141" i="26"/>
  <c r="AG17" i="25"/>
  <c r="AG70" i="26" s="1"/>
  <c r="AG84" i="26"/>
  <c r="I33" i="25"/>
  <c r="AF138" i="25" l="1"/>
  <c r="AF139" i="25"/>
  <c r="AF141" i="25" s="1"/>
  <c r="AF128" i="25"/>
  <c r="AF129" i="25"/>
  <c r="AF131" i="25" s="1"/>
  <c r="AF118" i="25"/>
  <c r="AF119" i="25"/>
  <c r="AF121" i="25" s="1"/>
  <c r="Z120" i="26"/>
  <c r="AA29" i="6"/>
  <c r="AA32" i="6" s="1"/>
  <c r="L259" i="36"/>
  <c r="L257" i="36" s="1"/>
  <c r="Z129" i="26"/>
  <c r="AA94" i="6"/>
  <c r="AA97" i="6" s="1"/>
  <c r="Z121" i="26"/>
  <c r="AA48" i="6"/>
  <c r="AA51" i="6" s="1"/>
  <c r="I73" i="6"/>
  <c r="F74" i="6" s="1"/>
  <c r="J74" i="6"/>
  <c r="AG14" i="47"/>
  <c r="AG187" i="6"/>
  <c r="I187" i="6" s="1"/>
  <c r="I216" i="23"/>
  <c r="L188" i="6"/>
  <c r="L21" i="47"/>
  <c r="O19" i="38"/>
  <c r="I77" i="6"/>
  <c r="J21" i="47"/>
  <c r="J188" i="6"/>
  <c r="AF147" i="25"/>
  <c r="AF149" i="25"/>
  <c r="AF31" i="25" s="1"/>
  <c r="AF83" i="26" s="1"/>
  <c r="Z33" i="38"/>
  <c r="X33" i="38"/>
  <c r="I84" i="26"/>
  <c r="W33" i="38"/>
  <c r="Y33" i="38"/>
  <c r="K21" i="47"/>
  <c r="K188" i="6"/>
  <c r="K17" i="25"/>
  <c r="K70" i="26" s="1"/>
  <c r="J17" i="25"/>
  <c r="AF144" i="26" l="1"/>
  <c r="AG125" i="25"/>
  <c r="AF143" i="26"/>
  <c r="AG115" i="25"/>
  <c r="AF145" i="26"/>
  <c r="AG135" i="25"/>
  <c r="AB48" i="6"/>
  <c r="AB51" i="6" s="1"/>
  <c r="AA121" i="26"/>
  <c r="AA129" i="26"/>
  <c r="AB94" i="6"/>
  <c r="AB97" i="6" s="1"/>
  <c r="AA120" i="26"/>
  <c r="AB29" i="6"/>
  <c r="AB32" i="6" s="1"/>
  <c r="J70" i="26"/>
  <c r="AC37" i="36"/>
  <c r="I17" i="25"/>
  <c r="J36" i="25"/>
  <c r="N19" i="38"/>
  <c r="AA33" i="38"/>
  <c r="AG18" i="47"/>
  <c r="I14" i="47"/>
  <c r="AG145" i="25"/>
  <c r="AF141" i="26"/>
  <c r="I188" i="6"/>
  <c r="J189" i="6"/>
  <c r="J127" i="26"/>
  <c r="K71" i="6"/>
  <c r="K74" i="6" s="1"/>
  <c r="I21" i="47"/>
  <c r="I23" i="47" s="1"/>
  <c r="L268" i="36"/>
  <c r="AG138" i="25" l="1"/>
  <c r="AG145" i="26" s="1"/>
  <c r="AG139" i="25"/>
  <c r="AG129" i="25"/>
  <c r="AG128" i="25"/>
  <c r="AG144" i="26" s="1"/>
  <c r="AG118" i="25"/>
  <c r="AG143" i="26" s="1"/>
  <c r="AG119" i="25"/>
  <c r="AB129" i="26"/>
  <c r="AC94" i="6"/>
  <c r="AC97" i="6" s="1"/>
  <c r="AB120" i="26"/>
  <c r="AC29" i="6"/>
  <c r="AC32" i="6" s="1"/>
  <c r="AC48" i="6"/>
  <c r="AC51" i="6" s="1"/>
  <c r="AB121" i="26"/>
  <c r="J133" i="26"/>
  <c r="K186" i="6"/>
  <c r="K189" i="6" s="1"/>
  <c r="K127" i="26"/>
  <c r="L71" i="6"/>
  <c r="L74" i="6" s="1"/>
  <c r="AG27" i="47"/>
  <c r="I18" i="47"/>
  <c r="H23" i="47" s="1"/>
  <c r="F271" i="1" s="1"/>
  <c r="H271" i="1" s="1"/>
  <c r="J39" i="25"/>
  <c r="AG149" i="25"/>
  <c r="AG147" i="25"/>
  <c r="AG141" i="26" s="1"/>
  <c r="M19" i="38"/>
  <c r="I70" i="26"/>
  <c r="Z19" i="38"/>
  <c r="X19" i="38"/>
  <c r="Y19" i="38"/>
  <c r="W19" i="38"/>
  <c r="J86" i="26"/>
  <c r="R41" i="39" l="1"/>
  <c r="AA41" i="39"/>
  <c r="O41" i="39"/>
  <c r="X41" i="39"/>
  <c r="K41" i="39"/>
  <c r="J41" i="39"/>
  <c r="P41" i="39"/>
  <c r="W41" i="39"/>
  <c r="L41" i="39"/>
  <c r="S41" i="39"/>
  <c r="Q41" i="39"/>
  <c r="N41" i="39"/>
  <c r="M41" i="39"/>
  <c r="U41" i="39"/>
  <c r="V41" i="39"/>
  <c r="Z41" i="39"/>
  <c r="D144" i="26"/>
  <c r="F277" i="1" s="1"/>
  <c r="H277" i="1" s="1"/>
  <c r="Y41" i="39"/>
  <c r="T41" i="39"/>
  <c r="AG121" i="25"/>
  <c r="I121" i="25" s="1"/>
  <c r="I119" i="25"/>
  <c r="AG141" i="25"/>
  <c r="I141" i="25" s="1"/>
  <c r="I139" i="25"/>
  <c r="AG131" i="25"/>
  <c r="I131" i="25" s="1"/>
  <c r="I129" i="25"/>
  <c r="Z40" i="39"/>
  <c r="T40" i="39"/>
  <c r="L40" i="39"/>
  <c r="S40" i="39"/>
  <c r="U40" i="39"/>
  <c r="J40" i="39"/>
  <c r="P40" i="39"/>
  <c r="W40" i="39"/>
  <c r="M40" i="39"/>
  <c r="K40" i="39"/>
  <c r="Q40" i="39"/>
  <c r="D143" i="26"/>
  <c r="F276" i="1" s="1"/>
  <c r="H276" i="1" s="1"/>
  <c r="N40" i="39"/>
  <c r="R40" i="39"/>
  <c r="O40" i="39"/>
  <c r="AA40" i="39"/>
  <c r="V40" i="39"/>
  <c r="X40" i="39"/>
  <c r="Y40" i="39"/>
  <c r="V42" i="39"/>
  <c r="AA42" i="39"/>
  <c r="Z42" i="39"/>
  <c r="P42" i="39"/>
  <c r="T42" i="39"/>
  <c r="J42" i="39"/>
  <c r="N42" i="39"/>
  <c r="K42" i="39"/>
  <c r="W42" i="39"/>
  <c r="D145" i="26"/>
  <c r="F278" i="1" s="1"/>
  <c r="H278" i="1" s="1"/>
  <c r="R42" i="39"/>
  <c r="Q42" i="39"/>
  <c r="U42" i="39"/>
  <c r="S42" i="39"/>
  <c r="Y42" i="39"/>
  <c r="X42" i="39"/>
  <c r="O42" i="39"/>
  <c r="L42" i="39"/>
  <c r="M42" i="39"/>
  <c r="AD29" i="6"/>
  <c r="AD32" i="6" s="1"/>
  <c r="AC120" i="26"/>
  <c r="AD48" i="6"/>
  <c r="AD51" i="6" s="1"/>
  <c r="AC121" i="26"/>
  <c r="AC129" i="26"/>
  <c r="AD94" i="6"/>
  <c r="AD97" i="6" s="1"/>
  <c r="AA19" i="38"/>
  <c r="V19" i="38"/>
  <c r="M35" i="38"/>
  <c r="V38" i="39"/>
  <c r="N38" i="39"/>
  <c r="W38" i="39"/>
  <c r="K38" i="39"/>
  <c r="Z38" i="39"/>
  <c r="S38" i="39"/>
  <c r="J38" i="39"/>
  <c r="M38" i="39"/>
  <c r="D141" i="26"/>
  <c r="F274" i="1" s="1"/>
  <c r="H274" i="1" s="1"/>
  <c r="P38" i="39"/>
  <c r="Y38" i="39"/>
  <c r="U38" i="39"/>
  <c r="L38" i="39"/>
  <c r="O38" i="39"/>
  <c r="X38" i="39"/>
  <c r="T38" i="39"/>
  <c r="Q38" i="39"/>
  <c r="R38" i="39"/>
  <c r="AA38" i="39"/>
  <c r="J42" i="25"/>
  <c r="J43" i="25" s="1"/>
  <c r="J45" i="25" s="1"/>
  <c r="L127" i="26"/>
  <c r="M71" i="6"/>
  <c r="M74" i="6" s="1"/>
  <c r="I27" i="47"/>
  <c r="AG30" i="47"/>
  <c r="AG135" i="26" s="1"/>
  <c r="L186" i="6"/>
  <c r="L189" i="6" s="1"/>
  <c r="K133" i="26"/>
  <c r="AG31" i="25"/>
  <c r="I149" i="25"/>
  <c r="AD129" i="26" l="1"/>
  <c r="AE94" i="6"/>
  <c r="AE97" i="6" s="1"/>
  <c r="AE48" i="6"/>
  <c r="AE51" i="6" s="1"/>
  <c r="AD121" i="26"/>
  <c r="AE29" i="6"/>
  <c r="AE32" i="6" s="1"/>
  <c r="AD120" i="26"/>
  <c r="Y32" i="39"/>
  <c r="T32" i="39"/>
  <c r="L32" i="39"/>
  <c r="W32" i="39"/>
  <c r="Z32" i="39"/>
  <c r="P32" i="39"/>
  <c r="AA32" i="39"/>
  <c r="M32" i="39"/>
  <c r="X32" i="39"/>
  <c r="O32" i="39"/>
  <c r="N32" i="39"/>
  <c r="Q32" i="39"/>
  <c r="V32" i="39"/>
  <c r="K32" i="39"/>
  <c r="J32" i="39"/>
  <c r="S32" i="39"/>
  <c r="U32" i="39"/>
  <c r="R32" i="39"/>
  <c r="M186" i="6"/>
  <c r="M189" i="6" s="1"/>
  <c r="L133" i="26"/>
  <c r="J83" i="25"/>
  <c r="J84" i="25" s="1"/>
  <c r="J90" i="26"/>
  <c r="J63" i="25"/>
  <c r="AG83" i="26"/>
  <c r="I31" i="25"/>
  <c r="M127" i="26"/>
  <c r="N71" i="6"/>
  <c r="N74" i="6" s="1"/>
  <c r="J46" i="25"/>
  <c r="J51" i="25" s="1"/>
  <c r="J56" i="25" s="1"/>
  <c r="J61" i="25" s="1"/>
  <c r="J98" i="25"/>
  <c r="J100" i="25" s="1"/>
  <c r="J93" i="26"/>
  <c r="M42" i="38" s="1"/>
  <c r="AE129" i="26" l="1"/>
  <c r="AF94" i="6"/>
  <c r="AF97" i="6" s="1"/>
  <c r="AF48" i="6"/>
  <c r="AF51" i="6" s="1"/>
  <c r="AE121" i="26"/>
  <c r="AF29" i="6"/>
  <c r="AF32" i="6" s="1"/>
  <c r="AE120" i="26"/>
  <c r="W32" i="38"/>
  <c r="Z32" i="38"/>
  <c r="I83" i="26"/>
  <c r="Y32" i="38"/>
  <c r="X32" i="38"/>
  <c r="K97" i="25"/>
  <c r="J142" i="26"/>
  <c r="J146" i="26" s="1"/>
  <c r="M39" i="38"/>
  <c r="N186" i="6"/>
  <c r="N189" i="6" s="1"/>
  <c r="M133" i="26"/>
  <c r="K82" i="25"/>
  <c r="J150" i="26"/>
  <c r="N127" i="26"/>
  <c r="O71" i="6"/>
  <c r="O74" i="6" s="1"/>
  <c r="J68" i="25"/>
  <c r="J152" i="25" s="1"/>
  <c r="J67" i="25"/>
  <c r="AE123" i="26" l="1"/>
  <c r="AG48" i="6"/>
  <c r="AG51" i="6" s="1"/>
  <c r="AG121" i="26" s="1"/>
  <c r="AF121" i="26"/>
  <c r="AF129" i="26"/>
  <c r="AG94" i="6"/>
  <c r="AG97" i="6" s="1"/>
  <c r="AG129" i="26" s="1"/>
  <c r="AG29" i="6"/>
  <c r="AG32" i="6" s="1"/>
  <c r="AF120" i="26"/>
  <c r="AF123" i="26" s="1"/>
  <c r="J74" i="25"/>
  <c r="J76" i="25" s="1"/>
  <c r="J69" i="25"/>
  <c r="J97" i="26"/>
  <c r="J78" i="25"/>
  <c r="O127" i="26"/>
  <c r="P71" i="6"/>
  <c r="P74" i="6" s="1"/>
  <c r="K106" i="25"/>
  <c r="K101" i="25"/>
  <c r="K104" i="25" s="1"/>
  <c r="K29" i="25" s="1"/>
  <c r="K82" i="26" s="1"/>
  <c r="N31" i="38" s="1"/>
  <c r="K107" i="25"/>
  <c r="K111" i="25" s="1"/>
  <c r="K112" i="25" s="1"/>
  <c r="K99" i="25" s="1"/>
  <c r="K30" i="25" s="1"/>
  <c r="AA32" i="38"/>
  <c r="K85" i="25"/>
  <c r="N133" i="26"/>
  <c r="O186" i="6"/>
  <c r="O189" i="6" s="1"/>
  <c r="J26" i="39" l="1"/>
  <c r="R26" i="39"/>
  <c r="N26" i="39"/>
  <c r="AA26" i="39"/>
  <c r="AG327" i="36" s="1"/>
  <c r="Q26" i="39"/>
  <c r="Z26" i="39"/>
  <c r="O26" i="39"/>
  <c r="V26" i="39"/>
  <c r="AE327" i="36" s="1"/>
  <c r="L26" i="39"/>
  <c r="K26" i="39"/>
  <c r="Y26" i="39"/>
  <c r="M26" i="39"/>
  <c r="X26" i="39"/>
  <c r="W26" i="39"/>
  <c r="T26" i="39"/>
  <c r="P26" i="39"/>
  <c r="U26" i="39"/>
  <c r="S26" i="39"/>
  <c r="AG120" i="26"/>
  <c r="Y18" i="39"/>
  <c r="L18" i="39"/>
  <c r="AA18" i="39"/>
  <c r="L332" i="36" s="1"/>
  <c r="U18" i="39"/>
  <c r="P18" i="39"/>
  <c r="Z18" i="39"/>
  <c r="N18" i="39"/>
  <c r="S18" i="39"/>
  <c r="R18" i="39"/>
  <c r="M18" i="39"/>
  <c r="W18" i="39"/>
  <c r="V18" i="39"/>
  <c r="J332" i="36" s="1"/>
  <c r="K18" i="39"/>
  <c r="J18" i="39"/>
  <c r="Q18" i="39"/>
  <c r="T18" i="39"/>
  <c r="X18" i="39"/>
  <c r="O18" i="39"/>
  <c r="K15" i="25"/>
  <c r="K35" i="25"/>
  <c r="J77" i="25"/>
  <c r="K108" i="25"/>
  <c r="Q71" i="6"/>
  <c r="Q74" i="6" s="1"/>
  <c r="P127" i="26"/>
  <c r="M46" i="38"/>
  <c r="M47" i="38" s="1"/>
  <c r="M49" i="38" s="1"/>
  <c r="M54" i="38" s="1"/>
  <c r="M56" i="38" s="1"/>
  <c r="J98" i="26"/>
  <c r="J100" i="26" s="1"/>
  <c r="J105" i="26" s="1"/>
  <c r="J107" i="26" s="1"/>
  <c r="J125" i="26"/>
  <c r="K66" i="25"/>
  <c r="AX432" i="36"/>
  <c r="O133" i="26"/>
  <c r="P186" i="6"/>
  <c r="P189" i="6" s="1"/>
  <c r="S17" i="39" l="1"/>
  <c r="P17" i="39"/>
  <c r="Y17" i="39"/>
  <c r="O17" i="39"/>
  <c r="M17" i="39"/>
  <c r="R17" i="39"/>
  <c r="J17" i="39"/>
  <c r="N17" i="39"/>
  <c r="Q17" i="39"/>
  <c r="Z17" i="39"/>
  <c r="U17" i="39"/>
  <c r="T17" i="39"/>
  <c r="K17" i="39"/>
  <c r="AA17" i="39"/>
  <c r="L331" i="36" s="1"/>
  <c r="X17" i="39"/>
  <c r="V17" i="39"/>
  <c r="J331" i="36" s="1"/>
  <c r="L17" i="39"/>
  <c r="W17" i="39"/>
  <c r="AG123" i="26"/>
  <c r="M57" i="38"/>
  <c r="N55" i="38"/>
  <c r="R71" i="6"/>
  <c r="R74" i="6" s="1"/>
  <c r="Q127" i="26"/>
  <c r="P133" i="26"/>
  <c r="Q186" i="6"/>
  <c r="Q189" i="6" s="1"/>
  <c r="K70" i="25"/>
  <c r="K71" i="25"/>
  <c r="K28" i="25" s="1"/>
  <c r="K36" i="25" s="1"/>
  <c r="J108" i="26"/>
  <c r="K106" i="26"/>
  <c r="J122" i="26"/>
  <c r="J123" i="26" s="1"/>
  <c r="AX431" i="36"/>
  <c r="K44" i="26"/>
  <c r="N43" i="35" s="1"/>
  <c r="K65" i="26"/>
  <c r="K81" i="26" l="1"/>
  <c r="K43" i="26"/>
  <c r="Q133" i="26"/>
  <c r="R186" i="6"/>
  <c r="R189" i="6" s="1"/>
  <c r="S71" i="6"/>
  <c r="S74" i="6" s="1"/>
  <c r="R127" i="26"/>
  <c r="K39" i="25"/>
  <c r="K42" i="25" s="1"/>
  <c r="N14" i="38"/>
  <c r="N15" i="38" s="1"/>
  <c r="K66" i="26"/>
  <c r="K43" i="25" l="1"/>
  <c r="K45" i="25" s="1"/>
  <c r="K63" i="25" s="1"/>
  <c r="K90" i="26"/>
  <c r="N39" i="38" s="1"/>
  <c r="K83" i="25"/>
  <c r="K84" i="25" s="1"/>
  <c r="R133" i="26"/>
  <c r="S186" i="6"/>
  <c r="S189" i="6" s="1"/>
  <c r="N30" i="38"/>
  <c r="N35" i="38" s="1"/>
  <c r="K86" i="26"/>
  <c r="T71" i="6"/>
  <c r="T74" i="6" s="1"/>
  <c r="S127" i="26"/>
  <c r="K47" i="26"/>
  <c r="N42" i="35"/>
  <c r="N46" i="35" s="1"/>
  <c r="T127" i="26" l="1"/>
  <c r="U71" i="6"/>
  <c r="U74" i="6" s="1"/>
  <c r="K150" i="26"/>
  <c r="L82" i="25"/>
  <c r="K68" i="25"/>
  <c r="K152" i="25" s="1"/>
  <c r="T186" i="6"/>
  <c r="T189" i="6" s="1"/>
  <c r="S133" i="26"/>
  <c r="K46" i="25"/>
  <c r="K51" i="25" s="1"/>
  <c r="K56" i="25" s="1"/>
  <c r="K61" i="25" s="1"/>
  <c r="K67" i="25" s="1"/>
  <c r="K93" i="26"/>
  <c r="N42" i="38" s="1"/>
  <c r="K98" i="25"/>
  <c r="K100" i="25" s="1"/>
  <c r="K74" i="25" l="1"/>
  <c r="K76" i="25" s="1"/>
  <c r="K78" i="25"/>
  <c r="K97" i="26"/>
  <c r="K69" i="25"/>
  <c r="U127" i="26"/>
  <c r="V71" i="6"/>
  <c r="V74" i="6" s="1"/>
  <c r="L85" i="25"/>
  <c r="L97" i="25"/>
  <c r="K142" i="26"/>
  <c r="K146" i="26" s="1"/>
  <c r="T133" i="26"/>
  <c r="U186" i="6"/>
  <c r="U189" i="6" s="1"/>
  <c r="K98" i="26" l="1"/>
  <c r="K100" i="26" s="1"/>
  <c r="K105" i="26" s="1"/>
  <c r="K107" i="26" s="1"/>
  <c r="N46" i="38"/>
  <c r="N47" i="38" s="1"/>
  <c r="N49" i="38" s="1"/>
  <c r="N54" i="38" s="1"/>
  <c r="N56" i="38" s="1"/>
  <c r="L107" i="25"/>
  <c r="L111" i="25" s="1"/>
  <c r="L112" i="25" s="1"/>
  <c r="L99" i="25" s="1"/>
  <c r="L30" i="25" s="1"/>
  <c r="L106" i="25"/>
  <c r="L101" i="25"/>
  <c r="L104" i="25" s="1"/>
  <c r="L29" i="25" s="1"/>
  <c r="L82" i="26" s="1"/>
  <c r="O31" i="38" s="1"/>
  <c r="V186" i="6"/>
  <c r="V189" i="6" s="1"/>
  <c r="U133" i="26"/>
  <c r="K77" i="25"/>
  <c r="L15" i="25"/>
  <c r="L35" i="25"/>
  <c r="V127" i="26"/>
  <c r="W71" i="6"/>
  <c r="W74" i="6" s="1"/>
  <c r="L66" i="25"/>
  <c r="AY432" i="36"/>
  <c r="K125" i="26"/>
  <c r="L108" i="25" l="1"/>
  <c r="L71" i="25"/>
  <c r="L70" i="25"/>
  <c r="W186" i="6"/>
  <c r="W189" i="6" s="1"/>
  <c r="V133" i="26"/>
  <c r="N57" i="38"/>
  <c r="O55" i="38"/>
  <c r="L65" i="26"/>
  <c r="L44" i="26"/>
  <c r="O43" i="35" s="1"/>
  <c r="W127" i="26"/>
  <c r="X71" i="6"/>
  <c r="X74" i="6" s="1"/>
  <c r="K108" i="26"/>
  <c r="L106" i="26"/>
  <c r="K122" i="26"/>
  <c r="K123" i="26" s="1"/>
  <c r="AY431" i="36"/>
  <c r="L28" i="25" l="1"/>
  <c r="L81" i="26" s="1"/>
  <c r="Y71" i="6"/>
  <c r="Y74" i="6" s="1"/>
  <c r="X127" i="26"/>
  <c r="O14" i="38"/>
  <c r="O15" i="38" s="1"/>
  <c r="L66" i="26"/>
  <c r="W133" i="26"/>
  <c r="X186" i="6"/>
  <c r="X189" i="6" s="1"/>
  <c r="L36" i="25" l="1"/>
  <c r="L39" i="25" s="1"/>
  <c r="L43" i="26"/>
  <c r="L47" i="26" s="1"/>
  <c r="Z71" i="6"/>
  <c r="Z74" i="6" s="1"/>
  <c r="Y127" i="26"/>
  <c r="X133" i="26"/>
  <c r="Y186" i="6"/>
  <c r="Y189" i="6" s="1"/>
  <c r="O30" i="38"/>
  <c r="O35" i="38" s="1"/>
  <c r="L86" i="26"/>
  <c r="O42" i="35" l="1"/>
  <c r="O46" i="35" s="1"/>
  <c r="Z186" i="6"/>
  <c r="Z189" i="6" s="1"/>
  <c r="Y133" i="26"/>
  <c r="Z127" i="26"/>
  <c r="AA71" i="6"/>
  <c r="AA74" i="6" s="1"/>
  <c r="L42" i="25"/>
  <c r="L43" i="25" s="1"/>
  <c r="L45" i="25" s="1"/>
  <c r="L46" i="25" l="1"/>
  <c r="L51" i="25" s="1"/>
  <c r="L56" i="25" s="1"/>
  <c r="L61" i="25" s="1"/>
  <c r="L93" i="26"/>
  <c r="O42" i="38" s="1"/>
  <c r="L98" i="25"/>
  <c r="L100" i="25" s="1"/>
  <c r="L83" i="25"/>
  <c r="L84" i="25" s="1"/>
  <c r="L90" i="26"/>
  <c r="L63" i="25"/>
  <c r="Z133" i="26"/>
  <c r="AA186" i="6"/>
  <c r="AA189" i="6" s="1"/>
  <c r="AA127" i="26"/>
  <c r="AB71" i="6"/>
  <c r="AB74" i="6" s="1"/>
  <c r="L142" i="26" l="1"/>
  <c r="L146" i="26" s="1"/>
  <c r="M97" i="25"/>
  <c r="AA133" i="26"/>
  <c r="AB186" i="6"/>
  <c r="AB189" i="6" s="1"/>
  <c r="M82" i="25"/>
  <c r="L150" i="26"/>
  <c r="AB127" i="26"/>
  <c r="AC71" i="6"/>
  <c r="AC74" i="6" s="1"/>
  <c r="L67" i="25"/>
  <c r="L68" i="25"/>
  <c r="L152" i="25" s="1"/>
  <c r="O39" i="38"/>
  <c r="L74" i="25" l="1"/>
  <c r="L76" i="25" s="1"/>
  <c r="L77" i="25" s="1"/>
  <c r="AD71" i="6"/>
  <c r="AD74" i="6" s="1"/>
  <c r="AC127" i="26"/>
  <c r="AC186" i="6"/>
  <c r="AC189" i="6" s="1"/>
  <c r="AB133" i="26"/>
  <c r="L97" i="26"/>
  <c r="L78" i="25"/>
  <c r="L69" i="25"/>
  <c r="M106" i="25"/>
  <c r="M107" i="25"/>
  <c r="M111" i="25" s="1"/>
  <c r="M112" i="25" s="1"/>
  <c r="M99" i="25" s="1"/>
  <c r="M30" i="25" s="1"/>
  <c r="M101" i="25"/>
  <c r="M104" i="25" s="1"/>
  <c r="M29" i="25" s="1"/>
  <c r="M82" i="26" s="1"/>
  <c r="P31" i="38" s="1"/>
  <c r="M85" i="25"/>
  <c r="M35" i="25" l="1"/>
  <c r="M15" i="25"/>
  <c r="M44" i="26" s="1"/>
  <c r="P43" i="35" s="1"/>
  <c r="M66" i="25"/>
  <c r="AZ432" i="36"/>
  <c r="L125" i="26"/>
  <c r="M108" i="25"/>
  <c r="AD186" i="6"/>
  <c r="AD189" i="6" s="1"/>
  <c r="AC133" i="26"/>
  <c r="O46" i="38"/>
  <c r="O47" i="38" s="1"/>
  <c r="O49" i="38" s="1"/>
  <c r="O54" i="38" s="1"/>
  <c r="O56" i="38" s="1"/>
  <c r="L98" i="26"/>
  <c r="L100" i="26" s="1"/>
  <c r="L105" i="26" s="1"/>
  <c r="L107" i="26" s="1"/>
  <c r="AE71" i="6"/>
  <c r="AE74" i="6" s="1"/>
  <c r="AD127" i="26"/>
  <c r="M65" i="26" l="1"/>
  <c r="P14" i="38" s="1"/>
  <c r="P15" i="38" s="1"/>
  <c r="AE127" i="26"/>
  <c r="AF71" i="6"/>
  <c r="AF74" i="6" s="1"/>
  <c r="AD133" i="26"/>
  <c r="AE186" i="6"/>
  <c r="AE189" i="6" s="1"/>
  <c r="O57" i="38"/>
  <c r="P55" i="38"/>
  <c r="M106" i="26"/>
  <c r="L122" i="26"/>
  <c r="L123" i="26" s="1"/>
  <c r="L108" i="26"/>
  <c r="AZ431" i="36"/>
  <c r="M71" i="25"/>
  <c r="M28" i="25" s="1"/>
  <c r="M70" i="25"/>
  <c r="M66" i="26" l="1"/>
  <c r="AF127" i="26"/>
  <c r="AG71" i="6"/>
  <c r="AG74" i="6" s="1"/>
  <c r="M43" i="26"/>
  <c r="M81" i="26"/>
  <c r="M36" i="25"/>
  <c r="AF186" i="6"/>
  <c r="AF189" i="6" s="1"/>
  <c r="AE133" i="26"/>
  <c r="P42" i="35" l="1"/>
  <c r="P46" i="35" s="1"/>
  <c r="M47" i="26"/>
  <c r="AG127" i="26"/>
  <c r="AG186" i="6"/>
  <c r="AG189" i="6" s="1"/>
  <c r="AG133" i="26" s="1"/>
  <c r="AF133" i="26"/>
  <c r="M39" i="25"/>
  <c r="M42" i="25" s="1"/>
  <c r="P30" i="38"/>
  <c r="P35" i="38" s="1"/>
  <c r="M86" i="26"/>
  <c r="U30" i="39" l="1"/>
  <c r="K30" i="39"/>
  <c r="X30" i="39"/>
  <c r="R30" i="39"/>
  <c r="M30" i="39"/>
  <c r="V30" i="39"/>
  <c r="AE325" i="36" s="1"/>
  <c r="Y30" i="39"/>
  <c r="W30" i="39"/>
  <c r="S30" i="39"/>
  <c r="P30" i="39"/>
  <c r="T30" i="39"/>
  <c r="Q30" i="39"/>
  <c r="Z30" i="39"/>
  <c r="N30" i="39"/>
  <c r="J30" i="39"/>
  <c r="L30" i="39"/>
  <c r="AA30" i="39"/>
  <c r="AG325" i="36" s="1"/>
  <c r="O30" i="39"/>
  <c r="M43" i="25"/>
  <c r="M45" i="25" s="1"/>
  <c r="M90" i="26"/>
  <c r="P39" i="38" s="1"/>
  <c r="M83" i="25"/>
  <c r="M84" i="25" s="1"/>
  <c r="W24" i="39"/>
  <c r="AA24" i="39"/>
  <c r="AG322" i="36" s="1"/>
  <c r="R24" i="39"/>
  <c r="Q24" i="39"/>
  <c r="Y24" i="39"/>
  <c r="L24" i="39"/>
  <c r="S24" i="39"/>
  <c r="V24" i="39"/>
  <c r="AE322" i="36" s="1"/>
  <c r="U24" i="39"/>
  <c r="X24" i="39"/>
  <c r="Z24" i="39"/>
  <c r="P24" i="39"/>
  <c r="T24" i="39"/>
  <c r="M24" i="39"/>
  <c r="K24" i="39"/>
  <c r="N24" i="39"/>
  <c r="O24" i="39"/>
  <c r="J24" i="39"/>
  <c r="M46" i="25" l="1"/>
  <c r="M51" i="25" s="1"/>
  <c r="M56" i="25" s="1"/>
  <c r="M61" i="25" s="1"/>
  <c r="M93" i="26"/>
  <c r="P42" i="38" s="1"/>
  <c r="M98" i="25"/>
  <c r="M100" i="25" s="1"/>
  <c r="N82" i="25"/>
  <c r="M150" i="26"/>
  <c r="M63" i="25"/>
  <c r="N85" i="25" l="1"/>
  <c r="N97" i="25"/>
  <c r="M142" i="26"/>
  <c r="M146" i="26" s="1"/>
  <c r="M67" i="25"/>
  <c r="M68" i="25"/>
  <c r="N101" i="25" l="1"/>
  <c r="N104" i="25" s="1"/>
  <c r="N29" i="25" s="1"/>
  <c r="N82" i="26" s="1"/>
  <c r="Q31" i="38" s="1"/>
  <c r="N106" i="25"/>
  <c r="N107" i="25"/>
  <c r="N111" i="25" s="1"/>
  <c r="N112" i="25" s="1"/>
  <c r="N99" i="25" s="1"/>
  <c r="N30" i="25" s="1"/>
  <c r="M74" i="25"/>
  <c r="M76" i="25" s="1"/>
  <c r="M152" i="25"/>
  <c r="M78" i="25"/>
  <c r="M97" i="26"/>
  <c r="M69" i="25"/>
  <c r="N66" i="25" l="1"/>
  <c r="BA432" i="36"/>
  <c r="M125" i="26"/>
  <c r="N15" i="25"/>
  <c r="M77" i="25"/>
  <c r="N35" i="25"/>
  <c r="M98" i="26"/>
  <c r="M100" i="26" s="1"/>
  <c r="M105" i="26" s="1"/>
  <c r="M107" i="26" s="1"/>
  <c r="P46" i="38"/>
  <c r="P47" i="38" s="1"/>
  <c r="P49" i="38" s="1"/>
  <c r="P54" i="38" s="1"/>
  <c r="P56" i="38" s="1"/>
  <c r="N108" i="25"/>
  <c r="N44" i="26" l="1"/>
  <c r="Q43" i="35" s="1"/>
  <c r="N65" i="26"/>
  <c r="BA431" i="36"/>
  <c r="N106" i="26"/>
  <c r="M122" i="26"/>
  <c r="M123" i="26" s="1"/>
  <c r="M108" i="26"/>
  <c r="P57" i="38"/>
  <c r="Q55" i="38"/>
  <c r="N71" i="25"/>
  <c r="N28" i="25" s="1"/>
  <c r="N70" i="25"/>
  <c r="N81" i="26" l="1"/>
  <c r="N43" i="26"/>
  <c r="N36" i="25"/>
  <c r="N66" i="26"/>
  <c r="Q14" i="38"/>
  <c r="Q15" i="38" s="1"/>
  <c r="N39" i="25" l="1"/>
  <c r="N47" i="26"/>
  <c r="Q42" i="35"/>
  <c r="Q46" i="35" s="1"/>
  <c r="N86" i="26"/>
  <c r="Q30" i="38"/>
  <c r="Q35" i="38" s="1"/>
  <c r="N42" i="25" l="1"/>
  <c r="N83" i="25" l="1"/>
  <c r="N84" i="25" s="1"/>
  <c r="N90" i="26"/>
  <c r="N43" i="25"/>
  <c r="N45" i="25" s="1"/>
  <c r="N63" i="25" s="1"/>
  <c r="N46" i="25" l="1"/>
  <c r="N51" i="25" s="1"/>
  <c r="N56" i="25" s="1"/>
  <c r="N61" i="25" s="1"/>
  <c r="N93" i="26"/>
  <c r="Q42" i="38" s="1"/>
  <c r="N98" i="25"/>
  <c r="N100" i="25" s="1"/>
  <c r="N67" i="25"/>
  <c r="N68" i="25"/>
  <c r="N152" i="25" s="1"/>
  <c r="Q39" i="38"/>
  <c r="O82" i="25"/>
  <c r="O85" i="25" s="1"/>
  <c r="N150" i="26"/>
  <c r="N142" i="26" l="1"/>
  <c r="N146" i="26" s="1"/>
  <c r="O97" i="25"/>
  <c r="N97" i="26"/>
  <c r="N78" i="25"/>
  <c r="N69" i="25"/>
  <c r="N74" i="25"/>
  <c r="N76" i="25" s="1"/>
  <c r="Q46" i="38" l="1"/>
  <c r="Q47" i="38" s="1"/>
  <c r="Q49" i="38" s="1"/>
  <c r="Q54" i="38" s="1"/>
  <c r="Q56" i="38" s="1"/>
  <c r="N98" i="26"/>
  <c r="N100" i="26" s="1"/>
  <c r="N105" i="26" s="1"/>
  <c r="N107" i="26" s="1"/>
  <c r="O107" i="25"/>
  <c r="O111" i="25" s="1"/>
  <c r="O112" i="25" s="1"/>
  <c r="O99" i="25" s="1"/>
  <c r="O30" i="25" s="1"/>
  <c r="O101" i="25"/>
  <c r="O104" i="25" s="1"/>
  <c r="O29" i="25" s="1"/>
  <c r="O82" i="26" s="1"/>
  <c r="R31" i="38" s="1"/>
  <c r="O106" i="25"/>
  <c r="N77" i="25"/>
  <c r="O15" i="25"/>
  <c r="O35" i="25"/>
  <c r="N125" i="26"/>
  <c r="O66" i="25"/>
  <c r="BB432" i="36"/>
  <c r="O108" i="25" l="1"/>
  <c r="O65" i="26"/>
  <c r="O44" i="26"/>
  <c r="R43" i="35" s="1"/>
  <c r="O71" i="25"/>
  <c r="O70" i="25"/>
  <c r="N108" i="26"/>
  <c r="O106" i="26"/>
  <c r="N122" i="26"/>
  <c r="N123" i="26" s="1"/>
  <c r="BB431" i="36"/>
  <c r="R55" i="38"/>
  <c r="Q57" i="38"/>
  <c r="O28" i="25" l="1"/>
  <c r="O36" i="25" s="1"/>
  <c r="O39" i="25" s="1"/>
  <c r="O42" i="25" s="1"/>
  <c r="R14" i="38"/>
  <c r="R15" i="38" s="1"/>
  <c r="O66" i="26"/>
  <c r="O81" i="26" l="1"/>
  <c r="O86" i="26" s="1"/>
  <c r="O43" i="26"/>
  <c r="O47" i="26" s="1"/>
  <c r="O43" i="25"/>
  <c r="O45" i="25" s="1"/>
  <c r="O90" i="26"/>
  <c r="O83" i="25"/>
  <c r="O84" i="25" s="1"/>
  <c r="R42" i="35" l="1"/>
  <c r="R46" i="35" s="1"/>
  <c r="R30" i="38"/>
  <c r="R35" i="38" s="1"/>
  <c r="O46" i="25"/>
  <c r="O51" i="25" s="1"/>
  <c r="O56" i="25" s="1"/>
  <c r="O61" i="25" s="1"/>
  <c r="O93" i="26"/>
  <c r="R42" i="38" s="1"/>
  <c r="O98" i="25"/>
  <c r="O100" i="25" s="1"/>
  <c r="O150" i="26"/>
  <c r="P82" i="25"/>
  <c r="P85" i="25" s="1"/>
  <c r="R39" i="38"/>
  <c r="O63" i="25"/>
  <c r="P97" i="25" l="1"/>
  <c r="O142" i="26"/>
  <c r="O146" i="26" s="1"/>
  <c r="O68" i="25"/>
  <c r="O152" i="25" s="1"/>
  <c r="O67" i="25"/>
  <c r="O97" i="26" l="1"/>
  <c r="O78" i="25"/>
  <c r="O69" i="25"/>
  <c r="O74" i="25"/>
  <c r="O76" i="25" s="1"/>
  <c r="P106" i="25"/>
  <c r="P107" i="25"/>
  <c r="P111" i="25" s="1"/>
  <c r="P112" i="25" s="1"/>
  <c r="P99" i="25" s="1"/>
  <c r="P30" i="25" s="1"/>
  <c r="P101" i="25"/>
  <c r="P104" i="25" s="1"/>
  <c r="P29" i="25" s="1"/>
  <c r="P82" i="26" s="1"/>
  <c r="S31" i="38" s="1"/>
  <c r="BC432" i="36" l="1"/>
  <c r="O125" i="26"/>
  <c r="P66" i="25"/>
  <c r="P35" i="25"/>
  <c r="O77" i="25"/>
  <c r="P15" i="25"/>
  <c r="P108" i="25"/>
  <c r="R46" i="38"/>
  <c r="R47" i="38" s="1"/>
  <c r="R49" i="38" s="1"/>
  <c r="R54" i="38" s="1"/>
  <c r="R56" i="38" s="1"/>
  <c r="O98" i="26"/>
  <c r="O100" i="26" s="1"/>
  <c r="O105" i="26" s="1"/>
  <c r="O107" i="26" s="1"/>
  <c r="S55" i="38" l="1"/>
  <c r="R57" i="38"/>
  <c r="P71" i="25"/>
  <c r="P28" i="25" s="1"/>
  <c r="P70" i="25"/>
  <c r="P44" i="26"/>
  <c r="S43" i="35" s="1"/>
  <c r="P65" i="26"/>
  <c r="O122" i="26"/>
  <c r="O123" i="26" s="1"/>
  <c r="BC431" i="36"/>
  <c r="P106" i="26"/>
  <c r="O108" i="26"/>
  <c r="P66" i="26" l="1"/>
  <c r="S14" i="38"/>
  <c r="S15" i="38" s="1"/>
  <c r="P36" i="25"/>
  <c r="P43" i="26"/>
  <c r="P81" i="26"/>
  <c r="P47" i="26" l="1"/>
  <c r="S42" i="35"/>
  <c r="S46" i="35" s="1"/>
  <c r="P39" i="25"/>
  <c r="S30" i="38"/>
  <c r="S35" i="38" s="1"/>
  <c r="P86" i="26"/>
  <c r="P42" i="25" l="1"/>
  <c r="P43" i="25" s="1"/>
  <c r="P45" i="25" l="1"/>
  <c r="P46" i="25" s="1"/>
  <c r="P51" i="25" s="1"/>
  <c r="P56" i="25" s="1"/>
  <c r="P61" i="25" s="1"/>
  <c r="P83" i="25"/>
  <c r="P84" i="25" s="1"/>
  <c r="P90" i="26"/>
  <c r="P63" i="25" l="1"/>
  <c r="P68" i="25" s="1"/>
  <c r="P152" i="25" s="1"/>
  <c r="S39" i="38"/>
  <c r="P150" i="26"/>
  <c r="Q82" i="25"/>
  <c r="Q85" i="25" s="1"/>
  <c r="P93" i="26"/>
  <c r="S42" i="38" s="1"/>
  <c r="P98" i="25"/>
  <c r="P100" i="25" s="1"/>
  <c r="P67" i="25" l="1"/>
  <c r="P69" i="25" s="1"/>
  <c r="Q97" i="25"/>
  <c r="P142" i="26"/>
  <c r="P146" i="26" s="1"/>
  <c r="P97" i="26" l="1"/>
  <c r="S46" i="38" s="1"/>
  <c r="S47" i="38" s="1"/>
  <c r="S49" i="38" s="1"/>
  <c r="S54" i="38" s="1"/>
  <c r="S56" i="38" s="1"/>
  <c r="S57" i="38" s="1"/>
  <c r="P74" i="25"/>
  <c r="P76" i="25" s="1"/>
  <c r="Q15" i="25" s="1"/>
  <c r="Q65" i="26" s="1"/>
  <c r="P78" i="25"/>
  <c r="P125" i="26"/>
  <c r="Q66" i="25"/>
  <c r="BD432" i="36"/>
  <c r="Q106" i="25"/>
  <c r="Q101" i="25"/>
  <c r="Q104" i="25" s="1"/>
  <c r="Q29" i="25" s="1"/>
  <c r="Q82" i="26" s="1"/>
  <c r="T31" i="38" s="1"/>
  <c r="Q107" i="25"/>
  <c r="Q111" i="25" s="1"/>
  <c r="Q112" i="25" s="1"/>
  <c r="Q99" i="25" s="1"/>
  <c r="Q30" i="25" s="1"/>
  <c r="T55" i="38" l="1"/>
  <c r="Q44" i="26"/>
  <c r="T43" i="35" s="1"/>
  <c r="Q35" i="25"/>
  <c r="P77" i="25"/>
  <c r="P98" i="26"/>
  <c r="P100" i="26" s="1"/>
  <c r="P105" i="26" s="1"/>
  <c r="P107" i="26" s="1"/>
  <c r="BD431" i="36" s="1"/>
  <c r="Q108" i="25"/>
  <c r="T14" i="38"/>
  <c r="Q66" i="26"/>
  <c r="Q71" i="25"/>
  <c r="Q70" i="25"/>
  <c r="Q106" i="26" l="1"/>
  <c r="P122" i="26"/>
  <c r="P123" i="26" s="1"/>
  <c r="P108" i="26"/>
  <c r="Q28" i="25"/>
  <c r="Q36" i="25" s="1"/>
  <c r="T15" i="38"/>
  <c r="Q81" i="26" l="1"/>
  <c r="Q86" i="26" s="1"/>
  <c r="Q43" i="26"/>
  <c r="Q47" i="26" s="1"/>
  <c r="Q39" i="25"/>
  <c r="T42" i="35" l="1"/>
  <c r="T46" i="35" s="1"/>
  <c r="T30" i="38"/>
  <c r="T35" i="38" s="1"/>
  <c r="Q42" i="25"/>
  <c r="Q43" i="25" s="1"/>
  <c r="Q45" i="25" s="1"/>
  <c r="Q46" i="25" l="1"/>
  <c r="Q51" i="25" s="1"/>
  <c r="Q56" i="25" s="1"/>
  <c r="Q61" i="25" s="1"/>
  <c r="Q93" i="26"/>
  <c r="T42" i="38" s="1"/>
  <c r="Q98" i="25"/>
  <c r="Q100" i="25" s="1"/>
  <c r="Q90" i="26"/>
  <c r="Q83" i="25"/>
  <c r="Q84" i="25" s="1"/>
  <c r="Q63" i="25"/>
  <c r="R97" i="25" l="1"/>
  <c r="Q142" i="26"/>
  <c r="Q146" i="26" s="1"/>
  <c r="T39" i="38"/>
  <c r="Q67" i="25"/>
  <c r="Q68" i="25"/>
  <c r="Q152" i="25" s="1"/>
  <c r="R82" i="25"/>
  <c r="R85" i="25" s="1"/>
  <c r="Q150" i="26"/>
  <c r="Q74" i="25" l="1"/>
  <c r="Q76" i="25" s="1"/>
  <c r="Q97" i="26"/>
  <c r="Q78" i="25"/>
  <c r="Q69" i="25"/>
  <c r="R106" i="25"/>
  <c r="R107" i="25"/>
  <c r="R111" i="25" s="1"/>
  <c r="R112" i="25" s="1"/>
  <c r="R99" i="25" s="1"/>
  <c r="R30" i="25" s="1"/>
  <c r="R101" i="25"/>
  <c r="R104" i="25" s="1"/>
  <c r="R29" i="25" s="1"/>
  <c r="R82" i="26" s="1"/>
  <c r="U31" i="38" s="1"/>
  <c r="V31" i="38" s="1"/>
  <c r="T46" i="38" l="1"/>
  <c r="Q98" i="26"/>
  <c r="Q100" i="26" s="1"/>
  <c r="Q105" i="26" s="1"/>
  <c r="Q107" i="26" s="1"/>
  <c r="R108" i="25"/>
  <c r="R35" i="25"/>
  <c r="Q77" i="25"/>
  <c r="R15" i="25"/>
  <c r="BE432" i="36"/>
  <c r="Q125" i="26"/>
  <c r="R66" i="25"/>
  <c r="R65" i="26" l="1"/>
  <c r="R44" i="26"/>
  <c r="U43" i="35" s="1"/>
  <c r="V43" i="35" s="1"/>
  <c r="R70" i="25"/>
  <c r="R71" i="25"/>
  <c r="R28" i="25" s="1"/>
  <c r="Q122" i="26"/>
  <c r="Q123" i="26" s="1"/>
  <c r="Q108" i="26"/>
  <c r="BE431" i="36"/>
  <c r="R106" i="26"/>
  <c r="T47" i="38"/>
  <c r="T49" i="38" s="1"/>
  <c r="T54" i="38" s="1"/>
  <c r="T56" i="38" s="1"/>
  <c r="U55" i="38" l="1"/>
  <c r="T57" i="38"/>
  <c r="R36" i="25"/>
  <c r="R39" i="25" s="1"/>
  <c r="R42" i="25" s="1"/>
  <c r="R81" i="26"/>
  <c r="R43" i="26"/>
  <c r="R66" i="26"/>
  <c r="U14" i="38"/>
  <c r="U30" i="38" l="1"/>
  <c r="R86" i="26"/>
  <c r="U15" i="38"/>
  <c r="V14" i="38"/>
  <c r="V15" i="38" s="1"/>
  <c r="R43" i="25"/>
  <c r="R83" i="25"/>
  <c r="R84" i="25" s="1"/>
  <c r="R90" i="26"/>
  <c r="U42" i="35"/>
  <c r="R47" i="26"/>
  <c r="U46" i="35" l="1"/>
  <c r="V46" i="35" s="1"/>
  <c r="V42" i="35"/>
  <c r="L73" i="36" s="1"/>
  <c r="U39" i="38"/>
  <c r="S82" i="25"/>
  <c r="S85" i="25" s="1"/>
  <c r="R150" i="26"/>
  <c r="J36" i="47"/>
  <c r="R45" i="25"/>
  <c r="R46" i="25" s="1"/>
  <c r="R51" i="25" s="1"/>
  <c r="R56" i="25" s="1"/>
  <c r="R61" i="25" s="1"/>
  <c r="U35" i="38"/>
  <c r="V30" i="38"/>
  <c r="V35" i="38" s="1"/>
  <c r="J40" i="47" l="1"/>
  <c r="J41" i="47" s="1"/>
  <c r="K39" i="47" s="1"/>
  <c r="V39" i="38"/>
  <c r="L74" i="36"/>
  <c r="O74" i="36" s="1"/>
  <c r="O73" i="36"/>
  <c r="R63" i="25"/>
  <c r="R93" i="26"/>
  <c r="R98" i="25"/>
  <c r="R100" i="25" s="1"/>
  <c r="S97" i="25" l="1"/>
  <c r="R142" i="26"/>
  <c r="R146" i="26" s="1"/>
  <c r="U42" i="38"/>
  <c r="L279" i="36"/>
  <c r="R67" i="25"/>
  <c r="R68" i="25"/>
  <c r="R152" i="25" s="1"/>
  <c r="J43" i="47"/>
  <c r="J45" i="47" s="1"/>
  <c r="R97" i="26" l="1"/>
  <c r="R78" i="25"/>
  <c r="R69" i="25"/>
  <c r="R74" i="25"/>
  <c r="R76" i="25" s="1"/>
  <c r="V42" i="38"/>
  <c r="S60" i="47"/>
  <c r="S62" i="47" s="1"/>
  <c r="S70" i="47" s="1"/>
  <c r="S34" i="25" s="1"/>
  <c r="K65" i="47"/>
  <c r="U60" i="47"/>
  <c r="U62" i="47" s="1"/>
  <c r="U70" i="47" s="1"/>
  <c r="U34" i="25" s="1"/>
  <c r="U85" i="26" s="1"/>
  <c r="Q65" i="47"/>
  <c r="X60" i="47"/>
  <c r="X62" i="47" s="1"/>
  <c r="X70" i="47" s="1"/>
  <c r="X34" i="25" s="1"/>
  <c r="X85" i="26" s="1"/>
  <c r="Y60" i="47"/>
  <c r="Y62" i="47" s="1"/>
  <c r="Y70" i="47" s="1"/>
  <c r="Y34" i="25" s="1"/>
  <c r="Y85" i="26" s="1"/>
  <c r="P65" i="47"/>
  <c r="V60" i="47"/>
  <c r="V62" i="47" s="1"/>
  <c r="V70" i="47" s="1"/>
  <c r="V34" i="25" s="1"/>
  <c r="V85" i="26" s="1"/>
  <c r="R65" i="47"/>
  <c r="AA60" i="47"/>
  <c r="AA62" i="47" s="1"/>
  <c r="AA70" i="47" s="1"/>
  <c r="AA34" i="25" s="1"/>
  <c r="AA85" i="26" s="1"/>
  <c r="L65" i="47"/>
  <c r="W60" i="47"/>
  <c r="W62" i="47" s="1"/>
  <c r="W70" i="47" s="1"/>
  <c r="W34" i="25" s="1"/>
  <c r="W85" i="26" s="1"/>
  <c r="AC60" i="47"/>
  <c r="AC62" i="47" s="1"/>
  <c r="AC70" i="47" s="1"/>
  <c r="AC34" i="25" s="1"/>
  <c r="AC85" i="26" s="1"/>
  <c r="O65" i="47"/>
  <c r="M65" i="47"/>
  <c r="F174" i="1"/>
  <c r="J65" i="47"/>
  <c r="T60" i="47"/>
  <c r="T62" i="47" s="1"/>
  <c r="T70" i="47" s="1"/>
  <c r="T34" i="25" s="1"/>
  <c r="T85" i="26" s="1"/>
  <c r="Z60" i="47"/>
  <c r="Z62" i="47" s="1"/>
  <c r="Z70" i="47" s="1"/>
  <c r="Z34" i="25" s="1"/>
  <c r="Z85" i="26" s="1"/>
  <c r="AB60" i="47"/>
  <c r="AB62" i="47" s="1"/>
  <c r="AB70" i="47" s="1"/>
  <c r="AB34" i="25" s="1"/>
  <c r="AB85" i="26" s="1"/>
  <c r="N65" i="47"/>
  <c r="AD60" i="47"/>
  <c r="AD62" i="47" s="1"/>
  <c r="AD70" i="47" s="1"/>
  <c r="AD34" i="25" s="1"/>
  <c r="AD85" i="26" s="1"/>
  <c r="S107" i="25"/>
  <c r="S111" i="25" s="1"/>
  <c r="S112" i="25" s="1"/>
  <c r="S99" i="25" s="1"/>
  <c r="S30" i="25" s="1"/>
  <c r="S101" i="25"/>
  <c r="S104" i="25" s="1"/>
  <c r="S29" i="25" s="1"/>
  <c r="S82" i="26" s="1"/>
  <c r="S106" i="25"/>
  <c r="S108" i="25" l="1"/>
  <c r="O69" i="47"/>
  <c r="O48" i="26"/>
  <c r="K48" i="26"/>
  <c r="K69" i="47"/>
  <c r="S15" i="25"/>
  <c r="R77" i="25"/>
  <c r="S35" i="25"/>
  <c r="R48" i="26"/>
  <c r="R69" i="47"/>
  <c r="AC49" i="36"/>
  <c r="S85" i="26"/>
  <c r="Q48" i="26"/>
  <c r="Q69" i="47"/>
  <c r="N69" i="47"/>
  <c r="N48" i="26"/>
  <c r="J69" i="47"/>
  <c r="J71" i="47" s="1"/>
  <c r="J48" i="26"/>
  <c r="R125" i="26"/>
  <c r="BF432" i="36"/>
  <c r="S66" i="25"/>
  <c r="M69" i="47"/>
  <c r="M48" i="26"/>
  <c r="L48" i="26"/>
  <c r="L69" i="47"/>
  <c r="P48" i="26"/>
  <c r="P69" i="47"/>
  <c r="U46" i="38"/>
  <c r="R98" i="26"/>
  <c r="R100" i="26" s="1"/>
  <c r="R105" i="26" s="1"/>
  <c r="R107" i="26" s="1"/>
  <c r="S70" i="25" l="1"/>
  <c r="S71" i="25"/>
  <c r="S28" i="25" s="1"/>
  <c r="S36" i="25" s="1"/>
  <c r="J134" i="26"/>
  <c r="J136" i="26" s="1"/>
  <c r="K68" i="47"/>
  <c r="K71" i="47" s="1"/>
  <c r="Q49" i="26"/>
  <c r="Q55" i="26" s="1"/>
  <c r="T47" i="35"/>
  <c r="T48" i="35" s="1"/>
  <c r="U47" i="35"/>
  <c r="U48" i="35" s="1"/>
  <c r="R49" i="26"/>
  <c r="R55" i="26" s="1"/>
  <c r="O49" i="26"/>
  <c r="O55" i="26" s="1"/>
  <c r="R47" i="35"/>
  <c r="R48" i="35" s="1"/>
  <c r="R108" i="26"/>
  <c r="BF431" i="36"/>
  <c r="S106" i="26"/>
  <c r="R122" i="26"/>
  <c r="R123" i="26" s="1"/>
  <c r="L49" i="26"/>
  <c r="L55" i="26" s="1"/>
  <c r="O47" i="35"/>
  <c r="O48" i="35" s="1"/>
  <c r="Q47" i="35"/>
  <c r="Q48" i="35" s="1"/>
  <c r="N49" i="26"/>
  <c r="N55" i="26" s="1"/>
  <c r="N47" i="35"/>
  <c r="N48" i="35" s="1"/>
  <c r="K49" i="26"/>
  <c r="K55" i="26" s="1"/>
  <c r="V46" i="38"/>
  <c r="U47" i="38"/>
  <c r="U49" i="38" s="1"/>
  <c r="U54" i="38" s="1"/>
  <c r="U56" i="38" s="1"/>
  <c r="U57" i="38" s="1"/>
  <c r="P47" i="35"/>
  <c r="P48" i="35" s="1"/>
  <c r="M49" i="26"/>
  <c r="M55" i="26" s="1"/>
  <c r="P49" i="26"/>
  <c r="P55" i="26" s="1"/>
  <c r="S47" i="35"/>
  <c r="S48" i="35" s="1"/>
  <c r="J49" i="26"/>
  <c r="M47" i="35"/>
  <c r="S65" i="26"/>
  <c r="S66" i="26" s="1"/>
  <c r="S44" i="26"/>
  <c r="V47" i="38" l="1"/>
  <c r="V49" i="38" s="1"/>
  <c r="V54" i="38" s="1"/>
  <c r="V56" i="38" s="1"/>
  <c r="L281" i="36"/>
  <c r="L280" i="36"/>
  <c r="M48" i="35"/>
  <c r="V47" i="35"/>
  <c r="L68" i="47"/>
  <c r="L71" i="47" s="1"/>
  <c r="K134" i="26"/>
  <c r="K136" i="26" s="1"/>
  <c r="S81" i="26"/>
  <c r="S86" i="26" s="1"/>
  <c r="S43" i="26"/>
  <c r="S47" i="26" s="1"/>
  <c r="S39" i="25"/>
  <c r="S42" i="25" s="1"/>
  <c r="J50" i="26"/>
  <c r="K50" i="26" s="1"/>
  <c r="L50" i="26" s="1"/>
  <c r="M50" i="26" s="1"/>
  <c r="N50" i="26" s="1"/>
  <c r="O50" i="26" s="1"/>
  <c r="P50" i="26" s="1"/>
  <c r="Q50" i="26" s="1"/>
  <c r="R50" i="26" s="1"/>
  <c r="J55" i="26"/>
  <c r="J56" i="26" s="1"/>
  <c r="J138" i="26"/>
  <c r="J139" i="26"/>
  <c r="J148" i="26" s="1"/>
  <c r="K138" i="26" l="1"/>
  <c r="K139" i="26"/>
  <c r="K148" i="26" s="1"/>
  <c r="L284" i="36"/>
  <c r="S43" i="25"/>
  <c r="S45" i="25" s="1"/>
  <c r="S83" i="25"/>
  <c r="S84" i="25" s="1"/>
  <c r="S90" i="26"/>
  <c r="M68" i="47"/>
  <c r="M71" i="47" s="1"/>
  <c r="L134" i="26"/>
  <c r="L136" i="26" s="1"/>
  <c r="L267" i="36"/>
  <c r="L75" i="36"/>
  <c r="AA55" i="38"/>
  <c r="W55" i="38"/>
  <c r="V57" i="38"/>
  <c r="J151" i="26"/>
  <c r="J152" i="26" s="1"/>
  <c r="J154" i="26" s="1"/>
  <c r="K54" i="26"/>
  <c r="K56" i="26" s="1"/>
  <c r="V48" i="35"/>
  <c r="L255" i="36" s="1"/>
  <c r="M49" i="35"/>
  <c r="N49" i="35" s="1"/>
  <c r="O49" i="35" s="1"/>
  <c r="P49" i="35" s="1"/>
  <c r="Q49" i="35" s="1"/>
  <c r="R49" i="35" s="1"/>
  <c r="S49" i="35" s="1"/>
  <c r="T49" i="35" s="1"/>
  <c r="U49" i="35" s="1"/>
  <c r="V49" i="35" s="1"/>
  <c r="T82" i="25" l="1"/>
  <c r="T85" i="25" s="1"/>
  <c r="S150" i="26"/>
  <c r="L76" i="36"/>
  <c r="O75" i="36"/>
  <c r="L269" i="36"/>
  <c r="L286" i="36" s="1"/>
  <c r="L138" i="26"/>
  <c r="L139" i="26"/>
  <c r="L148" i="26" s="1"/>
  <c r="S46" i="25"/>
  <c r="S51" i="25" s="1"/>
  <c r="S56" i="25" s="1"/>
  <c r="S61" i="25" s="1"/>
  <c r="S98" i="25"/>
  <c r="S100" i="25" s="1"/>
  <c r="S93" i="26"/>
  <c r="S63" i="25"/>
  <c r="L54" i="26"/>
  <c r="L56" i="26" s="1"/>
  <c r="K151" i="26"/>
  <c r="K152" i="26" s="1"/>
  <c r="K154" i="26" s="1"/>
  <c r="K155" i="26" s="1"/>
  <c r="N68" i="47"/>
  <c r="N71" i="47" s="1"/>
  <c r="M134" i="26"/>
  <c r="M136" i="26" s="1"/>
  <c r="M139" i="26" l="1"/>
  <c r="M148" i="26" s="1"/>
  <c r="M138" i="26"/>
  <c r="S67" i="25"/>
  <c r="S68" i="25"/>
  <c r="O68" i="47"/>
  <c r="O71" i="47" s="1"/>
  <c r="N134" i="26"/>
  <c r="N136" i="26" s="1"/>
  <c r="S142" i="26"/>
  <c r="S146" i="26" s="1"/>
  <c r="T97" i="25"/>
  <c r="AX426" i="36"/>
  <c r="L288" i="36"/>
  <c r="AX412" i="36"/>
  <c r="L77" i="36"/>
  <c r="O76" i="36"/>
  <c r="L151" i="26"/>
  <c r="L152" i="26" s="1"/>
  <c r="L154" i="26" s="1"/>
  <c r="L155" i="26" s="1"/>
  <c r="M54" i="26"/>
  <c r="M56" i="26" s="1"/>
  <c r="AX427" i="36" l="1"/>
  <c r="O287" i="36"/>
  <c r="N138" i="26"/>
  <c r="N139" i="26"/>
  <c r="N148" i="26" s="1"/>
  <c r="S78" i="25"/>
  <c r="S69" i="25"/>
  <c r="O134" i="26"/>
  <c r="O136" i="26" s="1"/>
  <c r="P68" i="47"/>
  <c r="P71" i="47" s="1"/>
  <c r="T101" i="25"/>
  <c r="T104" i="25" s="1"/>
  <c r="T29" i="25" s="1"/>
  <c r="T82" i="26" s="1"/>
  <c r="T106" i="25"/>
  <c r="T107" i="25"/>
  <c r="T111" i="25" s="1"/>
  <c r="T112" i="25" s="1"/>
  <c r="T99" i="25" s="1"/>
  <c r="T30" i="25" s="1"/>
  <c r="S97" i="26"/>
  <c r="S98" i="26" s="1"/>
  <c r="S100" i="26" s="1"/>
  <c r="S105" i="26" s="1"/>
  <c r="S107" i="26" s="1"/>
  <c r="S152" i="25"/>
  <c r="N54" i="26"/>
  <c r="N56" i="26" s="1"/>
  <c r="M151" i="26"/>
  <c r="M152" i="26" s="1"/>
  <c r="M154" i="26" s="1"/>
  <c r="M155" i="26" s="1"/>
  <c r="S74" i="25"/>
  <c r="S76" i="25" s="1"/>
  <c r="BG431" i="36" l="1"/>
  <c r="S108" i="26"/>
  <c r="T106" i="26"/>
  <c r="S122" i="26"/>
  <c r="S123" i="26" s="1"/>
  <c r="Q68" i="47"/>
  <c r="Q71" i="47" s="1"/>
  <c r="P134" i="26"/>
  <c r="P136" i="26" s="1"/>
  <c r="O139" i="26"/>
  <c r="O148" i="26" s="1"/>
  <c r="O138" i="26"/>
  <c r="N151" i="26"/>
  <c r="N152" i="26" s="1"/>
  <c r="N154" i="26" s="1"/>
  <c r="N155" i="26" s="1"/>
  <c r="O54" i="26"/>
  <c r="O56" i="26" s="1"/>
  <c r="T108" i="25"/>
  <c r="T66" i="25"/>
  <c r="S125" i="26"/>
  <c r="BG432" i="36"/>
  <c r="S77" i="25"/>
  <c r="T15" i="25"/>
  <c r="T35" i="25"/>
  <c r="T44" i="26" l="1"/>
  <c r="T65" i="26"/>
  <c r="T66" i="26" s="1"/>
  <c r="T70" i="25"/>
  <c r="T71" i="25"/>
  <c r="T28" i="25" s="1"/>
  <c r="T36" i="25" s="1"/>
  <c r="T39" i="25" s="1"/>
  <c r="T42" i="25" s="1"/>
  <c r="T43" i="25" s="1"/>
  <c r="T45" i="25" s="1"/>
  <c r="T63" i="25" s="1"/>
  <c r="O151" i="26"/>
  <c r="O152" i="26" s="1"/>
  <c r="O154" i="26" s="1"/>
  <c r="O155" i="26" s="1"/>
  <c r="P54" i="26"/>
  <c r="P56" i="26" s="1"/>
  <c r="P139" i="26"/>
  <c r="P148" i="26" s="1"/>
  <c r="P138" i="26"/>
  <c r="Q134" i="26"/>
  <c r="Q136" i="26" s="1"/>
  <c r="R68" i="47"/>
  <c r="R71" i="47" s="1"/>
  <c r="P151" i="26" l="1"/>
  <c r="P152" i="26" s="1"/>
  <c r="P154" i="26" s="1"/>
  <c r="P155" i="26" s="1"/>
  <c r="Q54" i="26"/>
  <c r="Q56" i="26" s="1"/>
  <c r="Q138" i="26"/>
  <c r="Q139" i="26"/>
  <c r="Q148" i="26" s="1"/>
  <c r="R134" i="26"/>
  <c r="R136" i="26" s="1"/>
  <c r="S68" i="47"/>
  <c r="T90" i="26"/>
  <c r="T83" i="25"/>
  <c r="T84" i="25" s="1"/>
  <c r="T81" i="26"/>
  <c r="T86" i="26" s="1"/>
  <c r="T43" i="26"/>
  <c r="T47" i="26" s="1"/>
  <c r="T46" i="25"/>
  <c r="T51" i="25" s="1"/>
  <c r="T56" i="25" s="1"/>
  <c r="T61" i="25" s="1"/>
  <c r="T67" i="25"/>
  <c r="T68" i="25"/>
  <c r="T98" i="25"/>
  <c r="T93" i="26"/>
  <c r="R139" i="26" l="1"/>
  <c r="R148" i="26" s="1"/>
  <c r="R138" i="26"/>
  <c r="Q151" i="26"/>
  <c r="Q152" i="26" s="1"/>
  <c r="Q154" i="26" s="1"/>
  <c r="Q155" i="26" s="1"/>
  <c r="R54" i="26"/>
  <c r="R56" i="26" s="1"/>
  <c r="T74" i="25"/>
  <c r="T76" i="25" s="1"/>
  <c r="U15" i="25" s="1"/>
  <c r="T100" i="25"/>
  <c r="U82" i="25"/>
  <c r="T150" i="26"/>
  <c r="T78" i="25"/>
  <c r="T97" i="26"/>
  <c r="T98" i="26" s="1"/>
  <c r="T69" i="25"/>
  <c r="T152" i="25"/>
  <c r="R151" i="26" l="1"/>
  <c r="R152" i="26" s="1"/>
  <c r="R154" i="26" s="1"/>
  <c r="R155" i="26" s="1"/>
  <c r="S54" i="26"/>
  <c r="T77" i="25"/>
  <c r="U35" i="25"/>
  <c r="T100" i="26"/>
  <c r="T105" i="26" s="1"/>
  <c r="U66" i="25"/>
  <c r="BH432" i="36"/>
  <c r="T125" i="26"/>
  <c r="U65" i="26"/>
  <c r="U44" i="26"/>
  <c r="J40" i="36"/>
  <c r="U85" i="25"/>
  <c r="U97" i="25"/>
  <c r="T142" i="26"/>
  <c r="U106" i="25" l="1"/>
  <c r="U101" i="25"/>
  <c r="U104" i="25" s="1"/>
  <c r="U107" i="25"/>
  <c r="U66" i="26"/>
  <c r="U71" i="25"/>
  <c r="U70" i="25"/>
  <c r="T107" i="26"/>
  <c r="T146" i="26"/>
  <c r="U111" i="25" l="1"/>
  <c r="U106" i="26"/>
  <c r="T122" i="26"/>
  <c r="BH431" i="36"/>
  <c r="T108" i="26"/>
  <c r="U29" i="25"/>
  <c r="U108" i="25"/>
  <c r="T123" i="26" l="1"/>
  <c r="U82" i="26"/>
  <c r="U28" i="25"/>
  <c r="U112" i="25"/>
  <c r="U99" i="25" l="1"/>
  <c r="U43" i="26"/>
  <c r="U81" i="26"/>
  <c r="AC46" i="36"/>
  <c r="U47" i="26" l="1"/>
  <c r="U30" i="25"/>
  <c r="U86" i="26"/>
  <c r="U36" i="25" l="1"/>
  <c r="U39" i="25" l="1"/>
  <c r="U42" i="25" l="1"/>
  <c r="U43" i="25" s="1"/>
  <c r="U45" i="25" l="1"/>
  <c r="U46" i="25" s="1"/>
  <c r="U51" i="25" s="1"/>
  <c r="U56" i="25" s="1"/>
  <c r="U61" i="25" s="1"/>
  <c r="U83" i="25"/>
  <c r="U90" i="26"/>
  <c r="J42" i="36"/>
  <c r="U63" i="25" l="1"/>
  <c r="U67" i="25" s="1"/>
  <c r="U84" i="25"/>
  <c r="U98" i="25"/>
  <c r="U93" i="26"/>
  <c r="J43" i="36"/>
  <c r="U68" i="25" l="1"/>
  <c r="U69" i="25" s="1"/>
  <c r="U100" i="25"/>
  <c r="U78" i="25"/>
  <c r="J47" i="36"/>
  <c r="J52" i="36" s="1"/>
  <c r="M43" i="36" s="1"/>
  <c r="P43" i="36" s="1"/>
  <c r="V82" i="25"/>
  <c r="U150" i="26"/>
  <c r="U74" i="25" l="1"/>
  <c r="U76" i="25" s="1"/>
  <c r="V35" i="25" s="1"/>
  <c r="U152" i="25"/>
  <c r="AC47" i="36" s="1"/>
  <c r="U97" i="26"/>
  <c r="U98" i="26" s="1"/>
  <c r="V66" i="25"/>
  <c r="U125" i="26"/>
  <c r="BI432" i="36"/>
  <c r="V85" i="25"/>
  <c r="M37" i="36"/>
  <c r="P37" i="36" s="1"/>
  <c r="M44" i="36"/>
  <c r="P44" i="36" s="1"/>
  <c r="M41" i="36"/>
  <c r="P41" i="36" s="1"/>
  <c r="M39" i="36"/>
  <c r="P39" i="36" s="1"/>
  <c r="M46" i="36"/>
  <c r="P46" i="36" s="1"/>
  <c r="M36" i="36"/>
  <c r="M38" i="36"/>
  <c r="P38" i="36" s="1"/>
  <c r="M45" i="36"/>
  <c r="P45" i="36" s="1"/>
  <c r="M40" i="36"/>
  <c r="P40" i="36" s="1"/>
  <c r="M42" i="36"/>
  <c r="P42" i="36" s="1"/>
  <c r="M47" i="36"/>
  <c r="P47" i="36" s="1"/>
  <c r="V97" i="25"/>
  <c r="U142" i="26"/>
  <c r="U77" i="25" l="1"/>
  <c r="V15" i="25"/>
  <c r="V44" i="26" s="1"/>
  <c r="V71" i="25"/>
  <c r="V70" i="25"/>
  <c r="M52" i="36"/>
  <c r="P36" i="36"/>
  <c r="U100" i="26"/>
  <c r="U105" i="26" s="1"/>
  <c r="U146" i="26"/>
  <c r="V106" i="25"/>
  <c r="V107" i="25"/>
  <c r="V101" i="25"/>
  <c r="V104" i="25" s="1"/>
  <c r="V65" i="26" l="1"/>
  <c r="V66" i="26" s="1"/>
  <c r="V29" i="25"/>
  <c r="V108" i="25"/>
  <c r="U107" i="26"/>
  <c r="V111" i="25"/>
  <c r="V112" i="25" l="1"/>
  <c r="BI431" i="36"/>
  <c r="AC50" i="36" s="1"/>
  <c r="U122" i="26"/>
  <c r="U108" i="26"/>
  <c r="V106" i="26"/>
  <c r="V28" i="25"/>
  <c r="V82" i="26"/>
  <c r="V43" i="26" l="1"/>
  <c r="V81" i="26"/>
  <c r="U123" i="26"/>
  <c r="AC52" i="36"/>
  <c r="V99" i="25"/>
  <c r="V86" i="26" l="1"/>
  <c r="AF44" i="36"/>
  <c r="AI44" i="36" s="1"/>
  <c r="AF38" i="36"/>
  <c r="AI38" i="36" s="1"/>
  <c r="AF36" i="36"/>
  <c r="AF42" i="36"/>
  <c r="AI42" i="36" s="1"/>
  <c r="AF37" i="36"/>
  <c r="AI37" i="36" s="1"/>
  <c r="AF45" i="36"/>
  <c r="AI45" i="36" s="1"/>
  <c r="AF40" i="36"/>
  <c r="AI40" i="36" s="1"/>
  <c r="AF39" i="36"/>
  <c r="AI39" i="36" s="1"/>
  <c r="AF48" i="36"/>
  <c r="AI48" i="36" s="1"/>
  <c r="AF41" i="36"/>
  <c r="AI41" i="36" s="1"/>
  <c r="AF51" i="36"/>
  <c r="AI51" i="36" s="1"/>
  <c r="AF43" i="36"/>
  <c r="AI43" i="36" s="1"/>
  <c r="AF49" i="36"/>
  <c r="AI49" i="36" s="1"/>
  <c r="AF46" i="36"/>
  <c r="AI46" i="36" s="1"/>
  <c r="M54" i="36"/>
  <c r="J54" i="36"/>
  <c r="F263" i="1" s="1"/>
  <c r="H263" i="1" s="1"/>
  <c r="AF47" i="36"/>
  <c r="AI47" i="36" s="1"/>
  <c r="V47" i="26"/>
  <c r="V30" i="25"/>
  <c r="AF50" i="36"/>
  <c r="AI50" i="36" s="1"/>
  <c r="V36" i="25" l="1"/>
  <c r="AI36" i="36"/>
  <c r="AF52" i="36"/>
  <c r="V39" i="25" l="1"/>
  <c r="V42" i="25" l="1"/>
  <c r="V43" i="25" s="1"/>
  <c r="V45" i="25" l="1"/>
  <c r="V46" i="25" s="1"/>
  <c r="V51" i="25" s="1"/>
  <c r="V56" i="25" s="1"/>
  <c r="V61" i="25" s="1"/>
  <c r="V83" i="25"/>
  <c r="V90" i="26"/>
  <c r="V63" i="25" l="1"/>
  <c r="V67" i="25" s="1"/>
  <c r="V84" i="25"/>
  <c r="V98" i="25"/>
  <c r="V93" i="26"/>
  <c r="V68" i="25" l="1"/>
  <c r="V74" i="25" s="1"/>
  <c r="V76" i="25" s="1"/>
  <c r="V100" i="25"/>
  <c r="W82" i="25"/>
  <c r="V150" i="26"/>
  <c r="V78" i="25"/>
  <c r="V97" i="26" l="1"/>
  <c r="V98" i="26" s="1"/>
  <c r="V69" i="25"/>
  <c r="W66" i="25" s="1"/>
  <c r="V152" i="25"/>
  <c r="W15" i="25"/>
  <c r="W35" i="25"/>
  <c r="V77" i="25"/>
  <c r="W85" i="25"/>
  <c r="W97" i="25"/>
  <c r="V142" i="26"/>
  <c r="V125" i="26" l="1"/>
  <c r="W65" i="26"/>
  <c r="W44" i="26"/>
  <c r="W106" i="25"/>
  <c r="W101" i="25"/>
  <c r="W104" i="25" s="1"/>
  <c r="W107" i="25"/>
  <c r="V146" i="26"/>
  <c r="V100" i="26"/>
  <c r="V105" i="26" s="1"/>
  <c r="W71" i="25"/>
  <c r="W70" i="25"/>
  <c r="W111" i="25" l="1"/>
  <c r="W29" i="25"/>
  <c r="W66" i="26"/>
  <c r="V107" i="26"/>
  <c r="W108" i="25"/>
  <c r="W28" i="25" s="1"/>
  <c r="W43" i="26" l="1"/>
  <c r="W81" i="26"/>
  <c r="W82" i="26"/>
  <c r="V108" i="26"/>
  <c r="W106" i="26"/>
  <c r="V122" i="26"/>
  <c r="W112" i="25"/>
  <c r="W99" i="25" l="1"/>
  <c r="V123" i="26"/>
  <c r="W86" i="26"/>
  <c r="W47" i="26"/>
  <c r="W30" i="25" l="1"/>
  <c r="W36" i="25" l="1"/>
  <c r="W39" i="25" l="1"/>
  <c r="W42" i="25" l="1"/>
  <c r="W83" i="25" l="1"/>
  <c r="W90" i="26"/>
  <c r="W43" i="25"/>
  <c r="W45" i="25" l="1"/>
  <c r="W84" i="25"/>
  <c r="W98" i="25" l="1"/>
  <c r="W93" i="26"/>
  <c r="W63" i="25"/>
  <c r="W46" i="25"/>
  <c r="W51" i="25" s="1"/>
  <c r="W56" i="25" s="1"/>
  <c r="W61" i="25" s="1"/>
  <c r="X82" i="25"/>
  <c r="W150" i="26"/>
  <c r="W67" i="25" l="1"/>
  <c r="W68" i="25"/>
  <c r="X85" i="25"/>
  <c r="W100" i="25"/>
  <c r="X97" i="25" l="1"/>
  <c r="W142" i="26"/>
  <c r="W152" i="25"/>
  <c r="W97" i="26"/>
  <c r="W78" i="25"/>
  <c r="W69" i="25"/>
  <c r="W74" i="25"/>
  <c r="W76" i="25" s="1"/>
  <c r="W146" i="26" l="1"/>
  <c r="X66" i="25"/>
  <c r="W125" i="26"/>
  <c r="X35" i="25"/>
  <c r="X15" i="25"/>
  <c r="W77" i="25"/>
  <c r="W98" i="26"/>
  <c r="X107" i="25"/>
  <c r="X101" i="25"/>
  <c r="X104" i="25" s="1"/>
  <c r="X106" i="25"/>
  <c r="W100" i="26" l="1"/>
  <c r="W105" i="26" s="1"/>
  <c r="X108" i="25"/>
  <c r="X29" i="25"/>
  <c r="X111" i="25"/>
  <c r="X65" i="26"/>
  <c r="X44" i="26"/>
  <c r="X71" i="25"/>
  <c r="X70" i="25"/>
  <c r="X66" i="26" l="1"/>
  <c r="X82" i="26"/>
  <c r="X28" i="25"/>
  <c r="X112" i="25"/>
  <c r="W107" i="26"/>
  <c r="X99" i="25" l="1"/>
  <c r="W108" i="26"/>
  <c r="X106" i="26"/>
  <c r="W122" i="26"/>
  <c r="X43" i="26"/>
  <c r="X81" i="26"/>
  <c r="X47" i="26" l="1"/>
  <c r="X86" i="26"/>
  <c r="W123" i="26"/>
  <c r="X30" i="25"/>
  <c r="X36" i="25" l="1"/>
  <c r="X39" i="25" l="1"/>
  <c r="X42" i="25" l="1"/>
  <c r="X43" i="25" s="1"/>
  <c r="X45" i="25" l="1"/>
  <c r="X46" i="25" s="1"/>
  <c r="X51" i="25" s="1"/>
  <c r="X56" i="25" s="1"/>
  <c r="X61" i="25" s="1"/>
  <c r="X83" i="25"/>
  <c r="X84" i="25" s="1"/>
  <c r="X90" i="26"/>
  <c r="X63" i="25" l="1"/>
  <c r="X67" i="25" s="1"/>
  <c r="Y82" i="25"/>
  <c r="X150" i="26"/>
  <c r="X98" i="25"/>
  <c r="X100" i="25" s="1"/>
  <c r="X93" i="26"/>
  <c r="X68" i="25" l="1"/>
  <c r="X152" i="25" s="1"/>
  <c r="Y97" i="25"/>
  <c r="X142" i="26"/>
  <c r="X146" i="26" s="1"/>
  <c r="X78" i="25"/>
  <c r="Y85" i="25"/>
  <c r="X97" i="26" l="1"/>
  <c r="X98" i="26" s="1"/>
  <c r="X100" i="26" s="1"/>
  <c r="X105" i="26" s="1"/>
  <c r="X107" i="26" s="1"/>
  <c r="X122" i="26" s="1"/>
  <c r="X123" i="26" s="1"/>
  <c r="X74" i="25"/>
  <c r="X76" i="25" s="1"/>
  <c r="Y15" i="25" s="1"/>
  <c r="X69" i="25"/>
  <c r="X125" i="26" s="1"/>
  <c r="Y106" i="25"/>
  <c r="Y101" i="25"/>
  <c r="Y104" i="25" s="1"/>
  <c r="Y29" i="25" s="1"/>
  <c r="Y82" i="26" s="1"/>
  <c r="Y107" i="25"/>
  <c r="Y111" i="25" s="1"/>
  <c r="Y112" i="25" s="1"/>
  <c r="Y99" i="25" s="1"/>
  <c r="Y30" i="25" s="1"/>
  <c r="X108" i="26" l="1"/>
  <c r="Y106" i="26"/>
  <c r="Y66" i="25"/>
  <c r="Y71" i="25" s="1"/>
  <c r="X77" i="25"/>
  <c r="Y35" i="25"/>
  <c r="Y108" i="25"/>
  <c r="Y65" i="26"/>
  <c r="Y66" i="26" s="1"/>
  <c r="Y44" i="26"/>
  <c r="Y70" i="25" l="1"/>
  <c r="Y28" i="25"/>
  <c r="Y36" i="25" s="1"/>
  <c r="Y39" i="25" s="1"/>
  <c r="Y81" i="26" l="1"/>
  <c r="Y86" i="26" s="1"/>
  <c r="Y43" i="26"/>
  <c r="Y47" i="26" s="1"/>
  <c r="Y42" i="25"/>
  <c r="Y43" i="25" s="1"/>
  <c r="Y45" i="25" l="1"/>
  <c r="Y46" i="25" s="1"/>
  <c r="Y51" i="25" s="1"/>
  <c r="Y56" i="25" s="1"/>
  <c r="Y61" i="25" s="1"/>
  <c r="Y83" i="25"/>
  <c r="Y84" i="25" s="1"/>
  <c r="Y90" i="26"/>
  <c r="Y63" i="25" l="1"/>
  <c r="Y67" i="25" s="1"/>
  <c r="Z82" i="25"/>
  <c r="Y150" i="26"/>
  <c r="Y98" i="25"/>
  <c r="Y100" i="25" s="1"/>
  <c r="Y93" i="26"/>
  <c r="Y68" i="25" l="1"/>
  <c r="Y152" i="25" s="1"/>
  <c r="Z97" i="25"/>
  <c r="Y142" i="26"/>
  <c r="Y146" i="26" s="1"/>
  <c r="Z85" i="25"/>
  <c r="Y78" i="25"/>
  <c r="Y97" i="26" l="1"/>
  <c r="Y98" i="26" s="1"/>
  <c r="Y100" i="26" s="1"/>
  <c r="Y105" i="26" s="1"/>
  <c r="Y107" i="26" s="1"/>
  <c r="Y108" i="26" s="1"/>
  <c r="Y74" i="25"/>
  <c r="Y76" i="25" s="1"/>
  <c r="Z15" i="25" s="1"/>
  <c r="Z65" i="26" s="1"/>
  <c r="Z66" i="26" s="1"/>
  <c r="Y69" i="25"/>
  <c r="Z66" i="25" s="1"/>
  <c r="Z101" i="25"/>
  <c r="Z104" i="25" s="1"/>
  <c r="Z29" i="25" s="1"/>
  <c r="Z82" i="26" s="1"/>
  <c r="Z106" i="25"/>
  <c r="Z107" i="25"/>
  <c r="Z111" i="25" s="1"/>
  <c r="Z112" i="25" s="1"/>
  <c r="Z99" i="25" s="1"/>
  <c r="Z30" i="25" s="1"/>
  <c r="Y122" i="26" l="1"/>
  <c r="Y123" i="26" s="1"/>
  <c r="Z106" i="26"/>
  <c r="Y125" i="26"/>
  <c r="Z44" i="26"/>
  <c r="Z35" i="25"/>
  <c r="Y77" i="25"/>
  <c r="Z108" i="25"/>
  <c r="Z71" i="25"/>
  <c r="Z70" i="25"/>
  <c r="Z28" i="25" l="1"/>
  <c r="Z81" i="26" s="1"/>
  <c r="Z86" i="26" s="1"/>
  <c r="Z36" i="25" l="1"/>
  <c r="Z39" i="25" s="1"/>
  <c r="Z43" i="26"/>
  <c r="Z47" i="26" s="1"/>
  <c r="Z42" i="25" l="1"/>
  <c r="Z43" i="25" s="1"/>
  <c r="Z45" i="25" l="1"/>
  <c r="Z46" i="25" s="1"/>
  <c r="Z51" i="25" s="1"/>
  <c r="Z56" i="25" s="1"/>
  <c r="Z61" i="25" s="1"/>
  <c r="Z90" i="26"/>
  <c r="Z83" i="25"/>
  <c r="Z84" i="25" s="1"/>
  <c r="Z63" i="25" l="1"/>
  <c r="Z67" i="25" s="1"/>
  <c r="AA82" i="25"/>
  <c r="Z150" i="26"/>
  <c r="Z98" i="25"/>
  <c r="Z100" i="25" s="1"/>
  <c r="Z93" i="26"/>
  <c r="Z68" i="25" l="1"/>
  <c r="Z152" i="25" s="1"/>
  <c r="Z78" i="25"/>
  <c r="AA97" i="25"/>
  <c r="Z142" i="26"/>
  <c r="Z146" i="26" s="1"/>
  <c r="AA85" i="25"/>
  <c r="Z97" i="26" l="1"/>
  <c r="Z98" i="26" s="1"/>
  <c r="Z100" i="26" s="1"/>
  <c r="Z105" i="26" s="1"/>
  <c r="Z107" i="26" s="1"/>
  <c r="Z122" i="26" s="1"/>
  <c r="Z123" i="26" s="1"/>
  <c r="Z74" i="25"/>
  <c r="Z76" i="25" s="1"/>
  <c r="AA15" i="25" s="1"/>
  <c r="Z69" i="25"/>
  <c r="Z125" i="26" s="1"/>
  <c r="AA106" i="25"/>
  <c r="AA101" i="25"/>
  <c r="AA104" i="25" s="1"/>
  <c r="AA29" i="25" s="1"/>
  <c r="AA82" i="26" s="1"/>
  <c r="AA107" i="25"/>
  <c r="AA111" i="25" s="1"/>
  <c r="AA112" i="25" s="1"/>
  <c r="AA99" i="25" s="1"/>
  <c r="AA30" i="25" s="1"/>
  <c r="AA66" i="25" l="1"/>
  <c r="AA70" i="25" s="1"/>
  <c r="Z77" i="25"/>
  <c r="AA35" i="25"/>
  <c r="Z108" i="26"/>
  <c r="AA106" i="26"/>
  <c r="AA108" i="25"/>
  <c r="AA65" i="26"/>
  <c r="AA66" i="26" s="1"/>
  <c r="AA44" i="26"/>
  <c r="AA71" i="25" l="1"/>
  <c r="AA28" i="25" s="1"/>
  <c r="AA36" i="25" s="1"/>
  <c r="AA39" i="25" s="1"/>
  <c r="AA81" i="26" l="1"/>
  <c r="AA86" i="26" s="1"/>
  <c r="AA43" i="26"/>
  <c r="AA47" i="26" s="1"/>
  <c r="AA42" i="25"/>
  <c r="AA83" i="25" l="1"/>
  <c r="AA84" i="25" s="1"/>
  <c r="AA90" i="26"/>
  <c r="AA43" i="25"/>
  <c r="AA45" i="25" l="1"/>
  <c r="AA46" i="25" s="1"/>
  <c r="AA51" i="25" s="1"/>
  <c r="AA56" i="25" s="1"/>
  <c r="AA61" i="25" s="1"/>
  <c r="AB82" i="25"/>
  <c r="AA150" i="26"/>
  <c r="AB85" i="25" l="1"/>
  <c r="AA98" i="25"/>
  <c r="AA100" i="25" s="1"/>
  <c r="AA93" i="26"/>
  <c r="AA63" i="25"/>
  <c r="AA67" i="25" l="1"/>
  <c r="AA68" i="25"/>
  <c r="AA152" i="25" s="1"/>
  <c r="AB97" i="25"/>
  <c r="AA142" i="26"/>
  <c r="AA146" i="26" s="1"/>
  <c r="AA97" i="26" l="1"/>
  <c r="AA98" i="26" s="1"/>
  <c r="AA100" i="26" s="1"/>
  <c r="AA105" i="26" s="1"/>
  <c r="AA107" i="26" s="1"/>
  <c r="AA78" i="25"/>
  <c r="AA69" i="25"/>
  <c r="AB101" i="25"/>
  <c r="AB104" i="25" s="1"/>
  <c r="AB29" i="25" s="1"/>
  <c r="AB82" i="26" s="1"/>
  <c r="AB106" i="25"/>
  <c r="AB107" i="25"/>
  <c r="AB111" i="25" s="1"/>
  <c r="AB112" i="25" s="1"/>
  <c r="AB99" i="25" s="1"/>
  <c r="AB30" i="25" s="1"/>
  <c r="AA74" i="25"/>
  <c r="AA76" i="25" s="1"/>
  <c r="AB108" i="25" l="1"/>
  <c r="AB15" i="25"/>
  <c r="AB35" i="25"/>
  <c r="AA77" i="25"/>
  <c r="AB66" i="25"/>
  <c r="AA125" i="26"/>
  <c r="AA108" i="26"/>
  <c r="AB106" i="26"/>
  <c r="AA122" i="26"/>
  <c r="AA123" i="26" s="1"/>
  <c r="AB70" i="25" l="1"/>
  <c r="AB71" i="25"/>
  <c r="AB28" i="25" s="1"/>
  <c r="AB36" i="25" s="1"/>
  <c r="AB65" i="26"/>
  <c r="AB66" i="26" s="1"/>
  <c r="AB44" i="26"/>
  <c r="AB43" i="26" l="1"/>
  <c r="AB47" i="26" s="1"/>
  <c r="AB81" i="26"/>
  <c r="AB86" i="26" s="1"/>
  <c r="AB39" i="25"/>
  <c r="AB42" i="25" l="1"/>
  <c r="AB43" i="25" s="1"/>
  <c r="AB45" i="25" l="1"/>
  <c r="AB46" i="25" s="1"/>
  <c r="AB51" i="25" s="1"/>
  <c r="AB56" i="25" s="1"/>
  <c r="AB61" i="25" s="1"/>
  <c r="AB83" i="25"/>
  <c r="AB84" i="25" s="1"/>
  <c r="AB90" i="26"/>
  <c r="AB63" i="25" l="1"/>
  <c r="AB67" i="25" s="1"/>
  <c r="AC82" i="25"/>
  <c r="AB150" i="26"/>
  <c r="AB98" i="25"/>
  <c r="AB100" i="25" s="1"/>
  <c r="AB93" i="26"/>
  <c r="AB68" i="25" l="1"/>
  <c r="AB152" i="25" s="1"/>
  <c r="AC97" i="25"/>
  <c r="AB142" i="26"/>
  <c r="AB146" i="26" s="1"/>
  <c r="AB78" i="25"/>
  <c r="AC85" i="25"/>
  <c r="AB69" i="25" l="1"/>
  <c r="AC66" i="25" s="1"/>
  <c r="AB97" i="26"/>
  <c r="AB98" i="26" s="1"/>
  <c r="AB100" i="26" s="1"/>
  <c r="AB105" i="26" s="1"/>
  <c r="AB107" i="26" s="1"/>
  <c r="AB122" i="26" s="1"/>
  <c r="AB123" i="26" s="1"/>
  <c r="AB74" i="25"/>
  <c r="AB76" i="25" s="1"/>
  <c r="AC35" i="25" s="1"/>
  <c r="AC107" i="25"/>
  <c r="AC111" i="25" s="1"/>
  <c r="AC112" i="25" s="1"/>
  <c r="AC99" i="25" s="1"/>
  <c r="AC30" i="25" s="1"/>
  <c r="AC106" i="25"/>
  <c r="AC101" i="25"/>
  <c r="AC104" i="25" s="1"/>
  <c r="AC29" i="25" s="1"/>
  <c r="AC82" i="26" s="1"/>
  <c r="AB125" i="26" l="1"/>
  <c r="AC106" i="26"/>
  <c r="AC15" i="25"/>
  <c r="AC44" i="26" s="1"/>
  <c r="AB108" i="26"/>
  <c r="AB77" i="25"/>
  <c r="AC108" i="25"/>
  <c r="AC71" i="25"/>
  <c r="AC70" i="25"/>
  <c r="AC65" i="26" l="1"/>
  <c r="AC66" i="26" s="1"/>
  <c r="AC28" i="25"/>
  <c r="AC36" i="25" s="1"/>
  <c r="AC39" i="25" s="1"/>
  <c r="AC81" i="26" l="1"/>
  <c r="AC86" i="26" s="1"/>
  <c r="AC43" i="26"/>
  <c r="AC47" i="26" s="1"/>
  <c r="AC42" i="25"/>
  <c r="AC90" i="26" l="1"/>
  <c r="AC83" i="25"/>
  <c r="AC84" i="25" s="1"/>
  <c r="AC43" i="25"/>
  <c r="AC45" i="25" l="1"/>
  <c r="AC46" i="25" s="1"/>
  <c r="AC51" i="25" s="1"/>
  <c r="AC56" i="25" s="1"/>
  <c r="AC61" i="25" s="1"/>
  <c r="AD82" i="25"/>
  <c r="AC150" i="26"/>
  <c r="AD85" i="25" l="1"/>
  <c r="AC98" i="25"/>
  <c r="AC100" i="25" s="1"/>
  <c r="AC93" i="26"/>
  <c r="AC63" i="25"/>
  <c r="AC67" i="25" l="1"/>
  <c r="AC68" i="25"/>
  <c r="AC152" i="25" s="1"/>
  <c r="AD97" i="25"/>
  <c r="AC142" i="26"/>
  <c r="AC146" i="26" s="1"/>
  <c r="AD107" i="25" l="1"/>
  <c r="AD111" i="25" s="1"/>
  <c r="AD106" i="25"/>
  <c r="AD110" i="25"/>
  <c r="AD101" i="25"/>
  <c r="AD104" i="25" s="1"/>
  <c r="AD29" i="25" s="1"/>
  <c r="AD82" i="26" s="1"/>
  <c r="AC78" i="25"/>
  <c r="AC97" i="26"/>
  <c r="AC98" i="26" s="1"/>
  <c r="AC100" i="26" s="1"/>
  <c r="AC105" i="26" s="1"/>
  <c r="AC107" i="26" s="1"/>
  <c r="AC69" i="25"/>
  <c r="AC74" i="25"/>
  <c r="AC76" i="25" s="1"/>
  <c r="AD108" i="25" l="1"/>
  <c r="AC122" i="26"/>
  <c r="AC123" i="26" s="1"/>
  <c r="AC108" i="26"/>
  <c r="AD106" i="26"/>
  <c r="AD112" i="25"/>
  <c r="AD99" i="25" s="1"/>
  <c r="AD30" i="25" s="1"/>
  <c r="I110" i="25"/>
  <c r="AD66" i="25"/>
  <c r="AC125" i="26"/>
  <c r="AD35" i="25"/>
  <c r="AD15" i="25"/>
  <c r="AC77" i="25"/>
  <c r="AD65" i="26" l="1"/>
  <c r="AD66" i="26" s="1"/>
  <c r="AD44" i="26"/>
  <c r="AD71" i="25"/>
  <c r="AD28" i="25" s="1"/>
  <c r="AD70" i="25"/>
  <c r="AD43" i="26" l="1"/>
  <c r="AD47" i="26" s="1"/>
  <c r="AD81" i="26"/>
  <c r="AD86" i="26" s="1"/>
  <c r="AD36" i="25"/>
  <c r="AD39" i="25" l="1"/>
  <c r="AD42" i="25" l="1"/>
  <c r="AD43" i="25" s="1"/>
  <c r="AD45" i="25" l="1"/>
  <c r="AD46" i="25" s="1"/>
  <c r="AD51" i="25" s="1"/>
  <c r="AD56" i="25" s="1"/>
  <c r="AD61" i="25" s="1"/>
  <c r="AD83" i="25"/>
  <c r="AD84" i="25" s="1"/>
  <c r="AD90" i="26"/>
  <c r="AD63" i="25" l="1"/>
  <c r="AD68" i="25" s="1"/>
  <c r="AD152" i="25" s="1"/>
  <c r="AE82" i="25"/>
  <c r="AD150" i="26"/>
  <c r="AD98" i="25"/>
  <c r="AD100" i="25" s="1"/>
  <c r="AD93" i="26"/>
  <c r="AD67" i="25" l="1"/>
  <c r="AD74" i="25" s="1"/>
  <c r="AD76" i="25" s="1"/>
  <c r="AE97" i="25"/>
  <c r="AD142" i="26"/>
  <c r="AD146" i="26" s="1"/>
  <c r="AE85" i="25"/>
  <c r="AD69" i="25" l="1"/>
  <c r="AE66" i="25" s="1"/>
  <c r="AD78" i="25"/>
  <c r="AD97" i="26"/>
  <c r="AD98" i="26" s="1"/>
  <c r="AD100" i="26" s="1"/>
  <c r="AD105" i="26" s="1"/>
  <c r="AD107" i="26" s="1"/>
  <c r="AD122" i="26" s="1"/>
  <c r="AE35" i="25"/>
  <c r="AD77" i="25"/>
  <c r="AE15" i="25"/>
  <c r="AE101" i="25"/>
  <c r="AE104" i="25" s="1"/>
  <c r="AE29" i="25" s="1"/>
  <c r="AE82" i="26" s="1"/>
  <c r="AE106" i="25"/>
  <c r="AE107" i="25"/>
  <c r="AE111" i="25" s="1"/>
  <c r="AE112" i="25" s="1"/>
  <c r="AE99" i="25" s="1"/>
  <c r="AE30" i="25" s="1"/>
  <c r="AD125" i="26" l="1"/>
  <c r="AD108" i="26"/>
  <c r="I108" i="26" s="1"/>
  <c r="F265" i="1" s="1"/>
  <c r="H265" i="1" s="1"/>
  <c r="AE106" i="26"/>
  <c r="AE71" i="25"/>
  <c r="AE70" i="25"/>
  <c r="AE108" i="25"/>
  <c r="AE65" i="26"/>
  <c r="AE66" i="26" s="1"/>
  <c r="AE44" i="26"/>
  <c r="AD123" i="26"/>
  <c r="AA19" i="39"/>
  <c r="O19" i="39"/>
  <c r="O20" i="39" s="1"/>
  <c r="P19" i="39"/>
  <c r="P20" i="39" s="1"/>
  <c r="R19" i="39"/>
  <c r="R20" i="39" s="1"/>
  <c r="Y19" i="39"/>
  <c r="Y20" i="39" s="1"/>
  <c r="L19" i="39"/>
  <c r="L20" i="39" s="1"/>
  <c r="Q19" i="39"/>
  <c r="Q20" i="39" s="1"/>
  <c r="X19" i="39"/>
  <c r="X20" i="39" s="1"/>
  <c r="N19" i="39"/>
  <c r="N20" i="39" s="1"/>
  <c r="T19" i="39"/>
  <c r="T20" i="39" s="1"/>
  <c r="V19" i="39"/>
  <c r="K19" i="39"/>
  <c r="K20" i="39" s="1"/>
  <c r="U19" i="39"/>
  <c r="U20" i="39" s="1"/>
  <c r="W19" i="39"/>
  <c r="W20" i="39" s="1"/>
  <c r="J19" i="39"/>
  <c r="J20" i="39" s="1"/>
  <c r="S19" i="39"/>
  <c r="S20" i="39" s="1"/>
  <c r="Z19" i="39"/>
  <c r="Z20" i="39" s="1"/>
  <c r="M19" i="39"/>
  <c r="M20" i="39" s="1"/>
  <c r="V20" i="39" l="1"/>
  <c r="J333" i="36"/>
  <c r="J327" i="36" s="1"/>
  <c r="AA20" i="39"/>
  <c r="L333" i="36"/>
  <c r="L327" i="36" s="1"/>
  <c r="AE28" i="25"/>
  <c r="L335" i="36" l="1"/>
  <c r="J335" i="36"/>
  <c r="AE43" i="26"/>
  <c r="AE47" i="26" s="1"/>
  <c r="AE81" i="26"/>
  <c r="AE49" i="26" l="1"/>
  <c r="AE55" i="26" s="1"/>
  <c r="K36" i="47"/>
  <c r="K40" i="47" s="1"/>
  <c r="K41" i="47" s="1"/>
  <c r="L39" i="47" s="1"/>
  <c r="K43" i="47" l="1"/>
  <c r="K45" i="47" s="1"/>
  <c r="AG60" i="47" s="1"/>
  <c r="AG62" i="47" s="1"/>
  <c r="AG70" i="47" s="1"/>
  <c r="AG34" i="25" s="1"/>
  <c r="AG85" i="26" s="1"/>
  <c r="V65" i="47" l="1"/>
  <c r="V69" i="47" s="1"/>
  <c r="T65" i="47"/>
  <c r="T48" i="26" s="1"/>
  <c r="T49" i="26" s="1"/>
  <c r="T55" i="26" s="1"/>
  <c r="AF60" i="47"/>
  <c r="AF62" i="47" s="1"/>
  <c r="AF70" i="47" s="1"/>
  <c r="AF34" i="25" s="1"/>
  <c r="AF85" i="26" s="1"/>
  <c r="S65" i="47"/>
  <c r="S69" i="47" s="1"/>
  <c r="U65" i="47"/>
  <c r="U48" i="26" s="1"/>
  <c r="U49" i="26" s="1"/>
  <c r="U55" i="26" s="1"/>
  <c r="AE60" i="47"/>
  <c r="AE62" i="47" s="1"/>
  <c r="X65" i="47"/>
  <c r="X48" i="26" s="1"/>
  <c r="X49" i="26" s="1"/>
  <c r="X55" i="26" s="1"/>
  <c r="AA65" i="47"/>
  <c r="AA69" i="47" s="1"/>
  <c r="AD65" i="47"/>
  <c r="AD69" i="47" s="1"/>
  <c r="AB65" i="47"/>
  <c r="AB69" i="47" s="1"/>
  <c r="W65" i="47"/>
  <c r="W69" i="47" s="1"/>
  <c r="Z65" i="47"/>
  <c r="Z48" i="26" s="1"/>
  <c r="Z49" i="26" s="1"/>
  <c r="Z55" i="26" s="1"/>
  <c r="Y65" i="47"/>
  <c r="G174" i="1"/>
  <c r="AC65" i="47"/>
  <c r="V48" i="26" l="1"/>
  <c r="V49" i="26" s="1"/>
  <c r="V55" i="26" s="1"/>
  <c r="T69" i="47"/>
  <c r="S48" i="26"/>
  <c r="S49" i="26" s="1"/>
  <c r="X69" i="47"/>
  <c r="I60" i="47"/>
  <c r="W48" i="26"/>
  <c r="W49" i="26" s="1"/>
  <c r="W55" i="26" s="1"/>
  <c r="U69" i="47"/>
  <c r="Z69" i="47"/>
  <c r="AD48" i="26"/>
  <c r="AD49" i="26" s="1"/>
  <c r="AD55" i="26" s="1"/>
  <c r="AB48" i="26"/>
  <c r="AB49" i="26" s="1"/>
  <c r="AB55" i="26" s="1"/>
  <c r="AA48" i="26"/>
  <c r="AA49" i="26" s="1"/>
  <c r="AA55" i="26" s="1"/>
  <c r="I65" i="47"/>
  <c r="AC69" i="47"/>
  <c r="AC48" i="26"/>
  <c r="AC49" i="26" s="1"/>
  <c r="AC55" i="26" s="1"/>
  <c r="Y69" i="47"/>
  <c r="Y48" i="26"/>
  <c r="Y49" i="26" s="1"/>
  <c r="Y55" i="26" s="1"/>
  <c r="S71" i="47"/>
  <c r="AE70" i="47"/>
  <c r="I62" i="47"/>
  <c r="I69" i="47" l="1"/>
  <c r="I48" i="26"/>
  <c r="Y47" i="35"/>
  <c r="W47" i="35"/>
  <c r="X47" i="35"/>
  <c r="Z47" i="35"/>
  <c r="S134" i="26"/>
  <c r="T68" i="47"/>
  <c r="T71" i="47" s="1"/>
  <c r="AE34" i="25"/>
  <c r="I70" i="47"/>
  <c r="S55" i="26"/>
  <c r="S50" i="26"/>
  <c r="T50" i="26" s="1"/>
  <c r="U50" i="26" s="1"/>
  <c r="V50" i="26" s="1"/>
  <c r="W50" i="26" s="1"/>
  <c r="X50" i="26" s="1"/>
  <c r="Y50" i="26" s="1"/>
  <c r="Z50" i="26" s="1"/>
  <c r="AA50" i="26" s="1"/>
  <c r="AB50" i="26" s="1"/>
  <c r="AC50" i="26" s="1"/>
  <c r="AD50" i="26" s="1"/>
  <c r="F72" i="47" l="1"/>
  <c r="G72" i="47" s="1"/>
  <c r="AA47" i="35"/>
  <c r="Q75" i="36" s="1"/>
  <c r="T75" i="36" s="1"/>
  <c r="T134" i="26"/>
  <c r="T136" i="26" s="1"/>
  <c r="U68" i="47"/>
  <c r="U71" i="47" s="1"/>
  <c r="S56" i="26"/>
  <c r="S136" i="26"/>
  <c r="AE50" i="26"/>
  <c r="AE36" i="25"/>
  <c r="AE85" i="26"/>
  <c r="I34" i="25"/>
  <c r="O267" i="36" l="1"/>
  <c r="U134" i="26"/>
  <c r="V68" i="47"/>
  <c r="V71" i="47" s="1"/>
  <c r="S138" i="26"/>
  <c r="S139" i="26"/>
  <c r="S148" i="26" s="1"/>
  <c r="T138" i="26"/>
  <c r="T139" i="26"/>
  <c r="T148" i="26" s="1"/>
  <c r="AE39" i="25"/>
  <c r="AE86" i="26"/>
  <c r="I85" i="26"/>
  <c r="W34" i="38"/>
  <c r="X34" i="38"/>
  <c r="Z34" i="38"/>
  <c r="Y34" i="38"/>
  <c r="T54" i="26"/>
  <c r="T56" i="26" s="1"/>
  <c r="S151" i="26"/>
  <c r="AA34" i="38" l="1"/>
  <c r="T151" i="26"/>
  <c r="T152" i="26" s="1"/>
  <c r="T154" i="26" s="1"/>
  <c r="U54" i="26"/>
  <c r="U56" i="26" s="1"/>
  <c r="W68" i="47"/>
  <c r="W71" i="47" s="1"/>
  <c r="V134" i="26"/>
  <c r="V136" i="26" s="1"/>
  <c r="S152" i="26"/>
  <c r="S154" i="26" s="1"/>
  <c r="AE42" i="25"/>
  <c r="AE43" i="25" s="1"/>
  <c r="U136" i="26"/>
  <c r="AE83" i="25" l="1"/>
  <c r="AE90" i="26"/>
  <c r="V139" i="26"/>
  <c r="V148" i="26" s="1"/>
  <c r="V138" i="26"/>
  <c r="V54" i="26"/>
  <c r="V56" i="26" s="1"/>
  <c r="U151" i="26"/>
  <c r="U138" i="26"/>
  <c r="U139" i="26"/>
  <c r="U148" i="26" s="1"/>
  <c r="W134" i="26"/>
  <c r="X68" i="47"/>
  <c r="X71" i="47" s="1"/>
  <c r="AE45" i="25"/>
  <c r="AE46" i="25" s="1"/>
  <c r="AE51" i="25" s="1"/>
  <c r="AE56" i="25" s="1"/>
  <c r="AE61" i="25" s="1"/>
  <c r="S155" i="26"/>
  <c r="T155" i="26"/>
  <c r="AE84" i="25" l="1"/>
  <c r="W136" i="26"/>
  <c r="AE98" i="25"/>
  <c r="AE93" i="26"/>
  <c r="U152" i="26"/>
  <c r="U154" i="26" s="1"/>
  <c r="AE63" i="25"/>
  <c r="X134" i="26"/>
  <c r="Y68" i="47"/>
  <c r="Y71" i="47" s="1"/>
  <c r="V151" i="26"/>
  <c r="V152" i="26" s="1"/>
  <c r="V154" i="26" s="1"/>
  <c r="W54" i="26"/>
  <c r="W56" i="26" s="1"/>
  <c r="U155" i="26" l="1"/>
  <c r="V155" i="26"/>
  <c r="AE150" i="26"/>
  <c r="AF82" i="25"/>
  <c r="Y134" i="26"/>
  <c r="Z68" i="47"/>
  <c r="Z71" i="47" s="1"/>
  <c r="W138" i="26"/>
  <c r="W139" i="26"/>
  <c r="W148" i="26" s="1"/>
  <c r="AE68" i="25"/>
  <c r="AE67" i="25"/>
  <c r="X54" i="26"/>
  <c r="X56" i="26" s="1"/>
  <c r="W151" i="26"/>
  <c r="X136" i="26"/>
  <c r="AE100" i="25"/>
  <c r="AE74" i="25" l="1"/>
  <c r="AE76" i="25" s="1"/>
  <c r="AF15" i="25" s="1"/>
  <c r="X139" i="26"/>
  <c r="X148" i="26" s="1"/>
  <c r="X138" i="26"/>
  <c r="AE69" i="25"/>
  <c r="AE97" i="26"/>
  <c r="AE78" i="25"/>
  <c r="AA68" i="47"/>
  <c r="AA71" i="47" s="1"/>
  <c r="Z134" i="26"/>
  <c r="W152" i="26"/>
  <c r="W154" i="26" s="1"/>
  <c r="Y136" i="26"/>
  <c r="AE142" i="26"/>
  <c r="AF97" i="25"/>
  <c r="X151" i="26"/>
  <c r="Y54" i="26"/>
  <c r="Y56" i="26" s="1"/>
  <c r="AE152" i="25"/>
  <c r="AF85" i="25"/>
  <c r="AE77" i="25" l="1"/>
  <c r="AF35" i="25"/>
  <c r="W155" i="26"/>
  <c r="Z136" i="26"/>
  <c r="Z54" i="26"/>
  <c r="Z56" i="26" s="1"/>
  <c r="Y151" i="26"/>
  <c r="Y138" i="26"/>
  <c r="Y139" i="26"/>
  <c r="Y148" i="26" s="1"/>
  <c r="AA134" i="26"/>
  <c r="AB68" i="47"/>
  <c r="AB71" i="47" s="1"/>
  <c r="AE98" i="26"/>
  <c r="X152" i="26"/>
  <c r="X154" i="26" s="1"/>
  <c r="AE125" i="26"/>
  <c r="AF66" i="25"/>
  <c r="AE146" i="26"/>
  <c r="AF107" i="25"/>
  <c r="AF106" i="25"/>
  <c r="AF101" i="25"/>
  <c r="AF104" i="25" s="1"/>
  <c r="AF65" i="26"/>
  <c r="AF44" i="26"/>
  <c r="X155" i="26" l="1"/>
  <c r="AF66" i="26"/>
  <c r="AF29" i="25"/>
  <c r="AA136" i="26"/>
  <c r="Y152" i="26"/>
  <c r="Y154" i="26" s="1"/>
  <c r="Y155" i="26" s="1"/>
  <c r="AF108" i="25"/>
  <c r="AE100" i="26"/>
  <c r="AE105" i="26" s="1"/>
  <c r="Z151" i="26"/>
  <c r="AA54" i="26"/>
  <c r="AA56" i="26" s="1"/>
  <c r="AF71" i="25"/>
  <c r="AF70" i="25"/>
  <c r="AF111" i="25"/>
  <c r="AB134" i="26"/>
  <c r="AB136" i="26" s="1"/>
  <c r="AC68" i="47"/>
  <c r="AC71" i="47" s="1"/>
  <c r="Z138" i="26"/>
  <c r="Z139" i="26"/>
  <c r="Z148" i="26" s="1"/>
  <c r="AA139" i="26" l="1"/>
  <c r="AA148" i="26" s="1"/>
  <c r="AA138" i="26"/>
  <c r="AF28" i="25"/>
  <c r="AF112" i="25"/>
  <c r="AB54" i="26"/>
  <c r="AB56" i="26" s="1"/>
  <c r="AA151" i="26"/>
  <c r="AA152" i="26" s="1"/>
  <c r="AC134" i="26"/>
  <c r="AC136" i="26" s="1"/>
  <c r="AD68" i="47"/>
  <c r="AD71" i="47" s="1"/>
  <c r="AB138" i="26"/>
  <c r="AB139" i="26"/>
  <c r="AB148" i="26" s="1"/>
  <c r="Z152" i="26"/>
  <c r="Z154" i="26" s="1"/>
  <c r="Z155" i="26" s="1"/>
  <c r="AF82" i="26"/>
  <c r="AF99" i="25" l="1"/>
  <c r="AE68" i="47"/>
  <c r="AE71" i="47" s="1"/>
  <c r="AD134" i="26"/>
  <c r="AD136" i="26" s="1"/>
  <c r="AC138" i="26"/>
  <c r="AC139" i="26"/>
  <c r="AC148" i="26" s="1"/>
  <c r="AB151" i="26"/>
  <c r="AB152" i="26" s="1"/>
  <c r="AB154" i="26" s="1"/>
  <c r="AC54" i="26"/>
  <c r="AC56" i="26" s="1"/>
  <c r="AF43" i="26"/>
  <c r="AF81" i="26"/>
  <c r="AA154" i="26"/>
  <c r="AA155" i="26" s="1"/>
  <c r="AB155" i="26" l="1"/>
  <c r="AF47" i="26"/>
  <c r="AD54" i="26"/>
  <c r="AD56" i="26" s="1"/>
  <c r="AC151" i="26"/>
  <c r="AC152" i="26" s="1"/>
  <c r="AC154" i="26" s="1"/>
  <c r="AC155" i="26" s="1"/>
  <c r="AD138" i="26"/>
  <c r="AD139" i="26"/>
  <c r="AD148" i="26" s="1"/>
  <c r="AF30" i="25"/>
  <c r="AF86" i="26"/>
  <c r="AE134" i="26"/>
  <c r="AE136" i="26" s="1"/>
  <c r="AF68" i="47"/>
  <c r="AF71" i="47" s="1"/>
  <c r="AE139" i="26" l="1"/>
  <c r="AE148" i="26" s="1"/>
  <c r="AE138" i="26"/>
  <c r="AF36" i="25"/>
  <c r="AD151" i="26"/>
  <c r="AD152" i="26" s="1"/>
  <c r="AD154" i="26" s="1"/>
  <c r="AD155" i="26" s="1"/>
  <c r="AE54" i="26"/>
  <c r="AE56" i="26" s="1"/>
  <c r="AF49" i="26"/>
  <c r="AF134" i="26"/>
  <c r="AG68" i="47"/>
  <c r="AG71" i="47" s="1"/>
  <c r="AG134" i="26" s="1"/>
  <c r="AE151" i="26" l="1"/>
  <c r="AE152" i="26" s="1"/>
  <c r="AE154" i="26" s="1"/>
  <c r="AE155" i="26" s="1"/>
  <c r="AF54" i="26"/>
  <c r="AF55" i="26"/>
  <c r="AF50" i="26"/>
  <c r="X31" i="39"/>
  <c r="O31" i="39"/>
  <c r="AA31" i="39"/>
  <c r="AG326" i="36" s="1"/>
  <c r="P31" i="39"/>
  <c r="K31" i="39"/>
  <c r="V31" i="39"/>
  <c r="AE326" i="36" s="1"/>
  <c r="T31" i="39"/>
  <c r="J31" i="39"/>
  <c r="Z31" i="39"/>
  <c r="L31" i="39"/>
  <c r="M31" i="39"/>
  <c r="R31" i="39"/>
  <c r="W31" i="39"/>
  <c r="S31" i="39"/>
  <c r="Y31" i="39"/>
  <c r="U31" i="39"/>
  <c r="N31" i="39"/>
  <c r="Q31" i="39"/>
  <c r="AF39" i="25"/>
  <c r="AF56" i="26" l="1"/>
  <c r="AF42" i="25"/>
  <c r="AF43" i="25" s="1"/>
  <c r="AF45" i="25" l="1"/>
  <c r="AF90" i="26"/>
  <c r="AF83" i="25"/>
  <c r="AF151" i="26"/>
  <c r="AG54" i="26"/>
  <c r="AF84" i="25" l="1"/>
  <c r="AF98" i="25"/>
  <c r="AF93" i="26"/>
  <c r="AF63" i="25"/>
  <c r="AF46" i="25"/>
  <c r="AF51" i="25" s="1"/>
  <c r="AF56" i="25" s="1"/>
  <c r="AF61" i="25" s="1"/>
  <c r="AF100" i="25" l="1"/>
  <c r="AG82" i="25"/>
  <c r="AF150" i="26"/>
  <c r="AF67" i="25"/>
  <c r="AF68" i="25"/>
  <c r="AF152" i="26" l="1"/>
  <c r="AF152" i="25"/>
  <c r="AG85" i="25"/>
  <c r="AF74" i="25"/>
  <c r="AF76" i="25" s="1"/>
  <c r="AG97" i="25"/>
  <c r="AF142" i="26"/>
  <c r="AF97" i="26"/>
  <c r="AF78" i="25"/>
  <c r="AF69" i="25"/>
  <c r="AG15" i="25" l="1"/>
  <c r="AG35" i="25"/>
  <c r="AF77" i="25"/>
  <c r="AF98" i="26"/>
  <c r="AF125" i="26"/>
  <c r="AG66" i="25"/>
  <c r="AF146" i="26"/>
  <c r="AG106" i="25"/>
  <c r="AG101" i="25"/>
  <c r="AG104" i="25" s="1"/>
  <c r="AG107" i="25"/>
  <c r="AG29" i="25" l="1"/>
  <c r="I104" i="25"/>
  <c r="AF136" i="26"/>
  <c r="AG108" i="25"/>
  <c r="I108" i="25" s="1"/>
  <c r="I106" i="25"/>
  <c r="AF100" i="26"/>
  <c r="AF105" i="26" s="1"/>
  <c r="AG44" i="26"/>
  <c r="AG65" i="26"/>
  <c r="I15" i="25"/>
  <c r="AG111" i="25"/>
  <c r="I107" i="25"/>
  <c r="AG71" i="25"/>
  <c r="AG70" i="25"/>
  <c r="AG112" i="25" l="1"/>
  <c r="I111" i="25"/>
  <c r="W43" i="35"/>
  <c r="X43" i="35"/>
  <c r="Y43" i="35"/>
  <c r="Z43" i="35"/>
  <c r="I44" i="26"/>
  <c r="AF139" i="26"/>
  <c r="AF148" i="26" s="1"/>
  <c r="AF154" i="26" s="1"/>
  <c r="AF155" i="26" s="1"/>
  <c r="AF138" i="26"/>
  <c r="AG28" i="25"/>
  <c r="I71" i="25"/>
  <c r="AG66" i="26"/>
  <c r="I65" i="26"/>
  <c r="X14" i="38"/>
  <c r="X15" i="38" s="1"/>
  <c r="Z14" i="38"/>
  <c r="Z15" i="38" s="1"/>
  <c r="W14" i="38"/>
  <c r="Y14" i="38"/>
  <c r="Y15" i="38" s="1"/>
  <c r="AG82" i="26"/>
  <c r="I29" i="25"/>
  <c r="X31" i="38" l="1"/>
  <c r="I82" i="26"/>
  <c r="Z31" i="38"/>
  <c r="Y31" i="38"/>
  <c r="W31" i="38"/>
  <c r="AA43" i="35"/>
  <c r="AG43" i="26"/>
  <c r="AG81" i="26"/>
  <c r="I28" i="25"/>
  <c r="AA14" i="38"/>
  <c r="AA15" i="38" s="1"/>
  <c r="W15" i="38"/>
  <c r="I66" i="26"/>
  <c r="AG99" i="25"/>
  <c r="I112" i="25"/>
  <c r="AG47" i="26" l="1"/>
  <c r="W42" i="35"/>
  <c r="I43" i="26"/>
  <c r="Z42" i="35"/>
  <c r="Z46" i="35" s="1"/>
  <c r="Z48" i="35" s="1"/>
  <c r="X42" i="35"/>
  <c r="X46" i="35" s="1"/>
  <c r="X48" i="35" s="1"/>
  <c r="Y42" i="35"/>
  <c r="Y46" i="35" s="1"/>
  <c r="Y48" i="35" s="1"/>
  <c r="AG30" i="25"/>
  <c r="I99" i="25"/>
  <c r="AG86" i="26"/>
  <c r="X30" i="38"/>
  <c r="X35" i="38" s="1"/>
  <c r="Y30" i="38"/>
  <c r="Y35" i="38" s="1"/>
  <c r="Z30" i="38"/>
  <c r="Z35" i="38" s="1"/>
  <c r="I81" i="26"/>
  <c r="W30" i="38"/>
  <c r="AA31" i="38"/>
  <c r="AA30" i="38" l="1"/>
  <c r="AA35" i="38" s="1"/>
  <c r="W35" i="38"/>
  <c r="I30" i="25"/>
  <c r="AG36" i="25"/>
  <c r="I86" i="26"/>
  <c r="AG49" i="26"/>
  <c r="L36" i="47"/>
  <c r="I47" i="26"/>
  <c r="W46" i="35"/>
  <c r="AA42" i="35"/>
  <c r="Q73" i="36" s="1"/>
  <c r="AA46" i="35" l="1"/>
  <c r="W48" i="35"/>
  <c r="L40" i="47"/>
  <c r="L41" i="47" s="1"/>
  <c r="M39" i="47" s="1"/>
  <c r="Q74" i="36"/>
  <c r="T73" i="36"/>
  <c r="AG55" i="26"/>
  <c r="I49" i="26"/>
  <c r="AG50" i="26"/>
  <c r="AG39" i="25"/>
  <c r="I55" i="26" l="1"/>
  <c r="AG56" i="26"/>
  <c r="AG151" i="26" s="1"/>
  <c r="L43" i="47"/>
  <c r="L45" i="47" s="1"/>
  <c r="AG42" i="25"/>
  <c r="AG43" i="25" s="1"/>
  <c r="Q76" i="36"/>
  <c r="Q77" i="36" s="1"/>
  <c r="T74" i="36"/>
  <c r="AA48" i="35"/>
  <c r="O255" i="36" s="1"/>
  <c r="O269" i="36" s="1"/>
  <c r="W49" i="35"/>
  <c r="X49" i="35" s="1"/>
  <c r="Y49" i="35" s="1"/>
  <c r="Z49" i="35" s="1"/>
  <c r="AA49" i="35" s="1"/>
  <c r="I50" i="35" s="1"/>
  <c r="F266" i="1" s="1"/>
  <c r="H266" i="1" s="1"/>
  <c r="M40" i="47"/>
  <c r="M43" i="47" s="1"/>
  <c r="M45" i="47" s="1"/>
  <c r="AG45" i="25" l="1"/>
  <c r="AG46" i="25" s="1"/>
  <c r="AG51" i="25" s="1"/>
  <c r="AG56" i="25" s="1"/>
  <c r="AG61" i="25" s="1"/>
  <c r="M41" i="47"/>
  <c r="N39" i="47" s="1"/>
  <c r="T76" i="36"/>
  <c r="AY412" i="36"/>
  <c r="I78" i="36"/>
  <c r="F269" i="1" s="1"/>
  <c r="H269" i="1" s="1"/>
  <c r="T48" i="39"/>
  <c r="U48" i="39"/>
  <c r="W48" i="39"/>
  <c r="V48" i="39"/>
  <c r="AE333" i="36" s="1"/>
  <c r="Z48" i="39"/>
  <c r="R48" i="39"/>
  <c r="O48" i="39"/>
  <c r="X48" i="39"/>
  <c r="P48" i="39"/>
  <c r="M48" i="39"/>
  <c r="Y48" i="39"/>
  <c r="L48" i="39"/>
  <c r="S48" i="39"/>
  <c r="AA48" i="39"/>
  <c r="AG333" i="36" s="1"/>
  <c r="Q48" i="39"/>
  <c r="N48" i="39"/>
  <c r="J48" i="39"/>
  <c r="K48" i="39"/>
  <c r="AG83" i="25"/>
  <c r="AG90" i="26"/>
  <c r="I42" i="25"/>
  <c r="J12" i="36" s="1"/>
  <c r="AG63" i="25" l="1"/>
  <c r="AG67" i="25" s="1"/>
  <c r="N40" i="47"/>
  <c r="N43" i="47" s="1"/>
  <c r="N45" i="47" s="1"/>
  <c r="I45" i="47" s="1"/>
  <c r="J11" i="36"/>
  <c r="AX394" i="36"/>
  <c r="AZ394" i="36" s="1"/>
  <c r="W39" i="38"/>
  <c r="I90" i="26"/>
  <c r="Z39" i="38"/>
  <c r="Y39" i="38"/>
  <c r="X39" i="38"/>
  <c r="I83" i="25"/>
  <c r="AG84" i="25"/>
  <c r="AG150" i="26" s="1"/>
  <c r="AG98" i="25"/>
  <c r="AG93" i="26"/>
  <c r="I45" i="25"/>
  <c r="J14" i="36" s="1"/>
  <c r="AG68" i="25" l="1"/>
  <c r="AG69" i="25" s="1"/>
  <c r="AX395" i="36"/>
  <c r="AZ395" i="36" s="1"/>
  <c r="AG152" i="26"/>
  <c r="P47" i="39"/>
  <c r="P49" i="39" s="1"/>
  <c r="L47" i="39"/>
  <c r="L49" i="39" s="1"/>
  <c r="Y47" i="39"/>
  <c r="Y49" i="39" s="1"/>
  <c r="U47" i="39"/>
  <c r="U49" i="39" s="1"/>
  <c r="R47" i="39"/>
  <c r="R49" i="39" s="1"/>
  <c r="Q47" i="39"/>
  <c r="Q49" i="39" s="1"/>
  <c r="V47" i="39"/>
  <c r="M47" i="39"/>
  <c r="M49" i="39" s="1"/>
  <c r="W47" i="39"/>
  <c r="W49" i="39" s="1"/>
  <c r="J47" i="39"/>
  <c r="J49" i="39" s="1"/>
  <c r="N47" i="39"/>
  <c r="N49" i="39" s="1"/>
  <c r="Z47" i="39"/>
  <c r="Z49" i="39" s="1"/>
  <c r="T47" i="39"/>
  <c r="T49" i="39" s="1"/>
  <c r="AA47" i="39"/>
  <c r="S47" i="39"/>
  <c r="S49" i="39" s="1"/>
  <c r="K47" i="39"/>
  <c r="K49" i="39" s="1"/>
  <c r="O47" i="39"/>
  <c r="O49" i="39" s="1"/>
  <c r="X47" i="39"/>
  <c r="X49" i="39" s="1"/>
  <c r="Z42" i="38"/>
  <c r="X42" i="38"/>
  <c r="I93" i="26"/>
  <c r="Y42" i="38"/>
  <c r="W42" i="38"/>
  <c r="AA39" i="38"/>
  <c r="J26" i="36"/>
  <c r="AG78" i="25"/>
  <c r="I78" i="25" s="1"/>
  <c r="H78" i="25" s="1"/>
  <c r="I67" i="25"/>
  <c r="I98" i="25"/>
  <c r="AG100" i="25"/>
  <c r="AG142" i="26" s="1"/>
  <c r="N41" i="47"/>
  <c r="AG97" i="26" l="1"/>
  <c r="AG98" i="26" s="1"/>
  <c r="I98" i="26" s="1"/>
  <c r="I68" i="25"/>
  <c r="AG152" i="25"/>
  <c r="I152" i="25" s="1"/>
  <c r="AG74" i="25"/>
  <c r="AG76" i="25" s="1"/>
  <c r="AG77" i="25" s="1"/>
  <c r="I77" i="25" s="1"/>
  <c r="F264" i="1" s="1"/>
  <c r="H264" i="1" s="1"/>
  <c r="AA42" i="38"/>
  <c r="AG146" i="26"/>
  <c r="X39" i="39"/>
  <c r="X43" i="39" s="1"/>
  <c r="D142" i="26"/>
  <c r="F275" i="1" s="1"/>
  <c r="H275" i="1" s="1"/>
  <c r="T39" i="39"/>
  <c r="T43" i="39" s="1"/>
  <c r="S39" i="39"/>
  <c r="S43" i="39" s="1"/>
  <c r="M39" i="39"/>
  <c r="M43" i="39" s="1"/>
  <c r="N39" i="39"/>
  <c r="N43" i="39" s="1"/>
  <c r="K39" i="39"/>
  <c r="K43" i="39" s="1"/>
  <c r="J39" i="39"/>
  <c r="J43" i="39" s="1"/>
  <c r="Z39" i="39"/>
  <c r="Z43" i="39" s="1"/>
  <c r="W39" i="39"/>
  <c r="W43" i="39" s="1"/>
  <c r="V39" i="39"/>
  <c r="V43" i="39" s="1"/>
  <c r="AE329" i="36" s="1"/>
  <c r="Q39" i="39"/>
  <c r="Q43" i="39" s="1"/>
  <c r="L39" i="39"/>
  <c r="L43" i="39" s="1"/>
  <c r="U39" i="39"/>
  <c r="U43" i="39" s="1"/>
  <c r="P39" i="39"/>
  <c r="P43" i="39" s="1"/>
  <c r="R39" i="39"/>
  <c r="R43" i="39" s="1"/>
  <c r="Y39" i="39"/>
  <c r="Y43" i="39" s="1"/>
  <c r="AA39" i="39"/>
  <c r="AA43" i="39" s="1"/>
  <c r="AG329" i="36" s="1"/>
  <c r="O39" i="39"/>
  <c r="O43" i="39" s="1"/>
  <c r="AE332" i="36"/>
  <c r="AE331" i="36" s="1"/>
  <c r="V49" i="39"/>
  <c r="AG125" i="26"/>
  <c r="H69" i="25"/>
  <c r="AG332" i="36"/>
  <c r="AG331" i="36" s="1"/>
  <c r="AA49" i="39"/>
  <c r="O279" i="36"/>
  <c r="W46" i="38" l="1"/>
  <c r="W47" i="38" s="1"/>
  <c r="W49" i="38" s="1"/>
  <c r="W54" i="38" s="1"/>
  <c r="W56" i="38" s="1"/>
  <c r="AG100" i="26"/>
  <c r="AG105" i="26" s="1"/>
  <c r="I105" i="26" s="1"/>
  <c r="I97" i="26"/>
  <c r="Y46" i="38"/>
  <c r="Y47" i="38" s="1"/>
  <c r="Y49" i="38" s="1"/>
  <c r="Y54" i="38" s="1"/>
  <c r="Z46" i="38"/>
  <c r="Z47" i="38" s="1"/>
  <c r="Z49" i="38" s="1"/>
  <c r="Z54" i="38" s="1"/>
  <c r="H77" i="25"/>
  <c r="X46" i="38"/>
  <c r="X47" i="38" s="1"/>
  <c r="X49" i="38" s="1"/>
  <c r="X54" i="38" s="1"/>
  <c r="J18" i="36"/>
  <c r="I133" i="1"/>
  <c r="AG136" i="26"/>
  <c r="M22" i="39"/>
  <c r="M33" i="39" s="1"/>
  <c r="X22" i="39"/>
  <c r="X33" i="39" s="1"/>
  <c r="AA22" i="39"/>
  <c r="S22" i="39"/>
  <c r="S33" i="39" s="1"/>
  <c r="U22" i="39"/>
  <c r="U33" i="39" s="1"/>
  <c r="Q22" i="39"/>
  <c r="Q33" i="39" s="1"/>
  <c r="W22" i="39"/>
  <c r="W33" i="39" s="1"/>
  <c r="T22" i="39"/>
  <c r="T33" i="39" s="1"/>
  <c r="N22" i="39"/>
  <c r="N33" i="39" s="1"/>
  <c r="K22" i="39"/>
  <c r="K33" i="39" s="1"/>
  <c r="O22" i="39"/>
  <c r="O33" i="39" s="1"/>
  <c r="Y22" i="39"/>
  <c r="Y33" i="39" s="1"/>
  <c r="R22" i="39"/>
  <c r="R33" i="39" s="1"/>
  <c r="Z22" i="39"/>
  <c r="Z33" i="39" s="1"/>
  <c r="V22" i="39"/>
  <c r="L22" i="39"/>
  <c r="L33" i="39" s="1"/>
  <c r="J22" i="39"/>
  <c r="J33" i="39" s="1"/>
  <c r="P22" i="39"/>
  <c r="P33" i="39" s="1"/>
  <c r="AA46" i="38" l="1"/>
  <c r="O280" i="36" s="1"/>
  <c r="O35" i="39"/>
  <c r="O36" i="39"/>
  <c r="O45" i="39" s="1"/>
  <c r="O51" i="39" s="1"/>
  <c r="X55" i="38"/>
  <c r="X56" i="38" s="1"/>
  <c r="W57" i="38"/>
  <c r="J36" i="39"/>
  <c r="J45" i="39" s="1"/>
  <c r="J51" i="39" s="1"/>
  <c r="J35" i="39"/>
  <c r="N36" i="39"/>
  <c r="N45" i="39" s="1"/>
  <c r="N51" i="39" s="1"/>
  <c r="N35" i="39"/>
  <c r="U35" i="39"/>
  <c r="U36" i="39"/>
  <c r="U45" i="39" s="1"/>
  <c r="U51" i="39" s="1"/>
  <c r="M36" i="39"/>
  <c r="M45" i="39" s="1"/>
  <c r="M51" i="39" s="1"/>
  <c r="M35" i="39"/>
  <c r="AE323" i="36"/>
  <c r="AE321" i="36" s="1"/>
  <c r="V33" i="39"/>
  <c r="AA33" i="39"/>
  <c r="AG323" i="36"/>
  <c r="AG321" i="36" s="1"/>
  <c r="P36" i="39"/>
  <c r="P45" i="39" s="1"/>
  <c r="P51" i="39" s="1"/>
  <c r="P35" i="39"/>
  <c r="R36" i="39"/>
  <c r="R45" i="39" s="1"/>
  <c r="R51" i="39" s="1"/>
  <c r="R35" i="39"/>
  <c r="L35" i="39"/>
  <c r="L36" i="39"/>
  <c r="L45" i="39" s="1"/>
  <c r="L51" i="39" s="1"/>
  <c r="Y36" i="39"/>
  <c r="Y45" i="39" s="1"/>
  <c r="Y51" i="39" s="1"/>
  <c r="Y35" i="39"/>
  <c r="T36" i="39"/>
  <c r="T45" i="39" s="1"/>
  <c r="T51" i="39" s="1"/>
  <c r="T35" i="39"/>
  <c r="S36" i="39"/>
  <c r="S45" i="39" s="1"/>
  <c r="S51" i="39" s="1"/>
  <c r="S52" i="39" s="1"/>
  <c r="S35" i="39"/>
  <c r="AG139" i="26"/>
  <c r="AG148" i="26" s="1"/>
  <c r="AG154" i="26" s="1"/>
  <c r="AG138" i="26"/>
  <c r="W35" i="39"/>
  <c r="W36" i="39"/>
  <c r="W45" i="39" s="1"/>
  <c r="W51" i="39" s="1"/>
  <c r="Z36" i="39"/>
  <c r="Z45" i="39" s="1"/>
  <c r="Z51" i="39" s="1"/>
  <c r="Z35" i="39"/>
  <c r="K36" i="39"/>
  <c r="K45" i="39" s="1"/>
  <c r="K51" i="39" s="1"/>
  <c r="K35" i="39"/>
  <c r="Q35" i="39"/>
  <c r="Q36" i="39"/>
  <c r="Q45" i="39" s="1"/>
  <c r="Q51" i="39" s="1"/>
  <c r="X35" i="39"/>
  <c r="X36" i="39"/>
  <c r="X45" i="39" s="1"/>
  <c r="X51" i="39" s="1"/>
  <c r="AX399" i="36"/>
  <c r="AZ399" i="36" s="1"/>
  <c r="J13" i="36"/>
  <c r="O281" i="36" l="1"/>
  <c r="O284" i="36" s="1"/>
  <c r="O286" i="36" s="1"/>
  <c r="AA47" i="38"/>
  <c r="AA49" i="38" s="1"/>
  <c r="AA54" i="38" s="1"/>
  <c r="AA56" i="38" s="1"/>
  <c r="AA57" i="38" s="1"/>
  <c r="X52" i="39"/>
  <c r="Q52" i="39"/>
  <c r="K52" i="39"/>
  <c r="U52" i="39"/>
  <c r="L52" i="39"/>
  <c r="O52" i="39"/>
  <c r="Z52" i="39"/>
  <c r="Y52" i="39"/>
  <c r="BA395" i="36"/>
  <c r="BA397" i="36"/>
  <c r="BA399" i="36"/>
  <c r="BA396" i="36"/>
  <c r="BA394" i="36"/>
  <c r="BA398" i="36"/>
  <c r="AG335" i="36"/>
  <c r="L337" i="36" s="1"/>
  <c r="V36" i="39"/>
  <c r="V45" i="39" s="1"/>
  <c r="V51" i="39" s="1"/>
  <c r="V52" i="39" s="1"/>
  <c r="V35" i="39"/>
  <c r="R52" i="39"/>
  <c r="AA35" i="39"/>
  <c r="AA36" i="39"/>
  <c r="AA45" i="39" s="1"/>
  <c r="M52" i="39"/>
  <c r="N52" i="39"/>
  <c r="Y55" i="38"/>
  <c r="Y56" i="38" s="1"/>
  <c r="X57" i="38"/>
  <c r="AX404" i="36"/>
  <c r="J25" i="36"/>
  <c r="J27" i="36"/>
  <c r="AX405" i="36"/>
  <c r="J19" i="36"/>
  <c r="AG155" i="26"/>
  <c r="I155" i="26" s="1"/>
  <c r="I154" i="26"/>
  <c r="F259" i="1" s="1"/>
  <c r="H259" i="1" s="1"/>
  <c r="T52" i="39"/>
  <c r="P52" i="39"/>
  <c r="AE335" i="36"/>
  <c r="J337" i="36" s="1"/>
  <c r="I58" i="38" l="1"/>
  <c r="F267" i="1" s="1"/>
  <c r="H267" i="1" s="1"/>
  <c r="W52" i="39"/>
  <c r="F261" i="1"/>
  <c r="H261" i="1" s="1"/>
  <c r="AA51" i="39"/>
  <c r="I53" i="39"/>
  <c r="F268" i="1" s="1"/>
  <c r="H268" i="1" s="1"/>
  <c r="J24" i="36"/>
  <c r="M26" i="36" s="1"/>
  <c r="M16" i="36"/>
  <c r="M15" i="36"/>
  <c r="M17" i="36"/>
  <c r="M12" i="36"/>
  <c r="M14" i="36"/>
  <c r="M11" i="36"/>
  <c r="M18" i="36"/>
  <c r="BC394" i="36"/>
  <c r="BD394" i="36"/>
  <c r="BC395" i="36"/>
  <c r="BD395" i="36"/>
  <c r="Y57" i="38"/>
  <c r="Z55" i="38"/>
  <c r="Z56" i="38" s="1"/>
  <c r="Z57" i="38" s="1"/>
  <c r="M13" i="36"/>
  <c r="BC396" i="36"/>
  <c r="BD396" i="36"/>
  <c r="O288" i="36"/>
  <c r="AY427" i="36" s="1"/>
  <c r="AY426" i="36"/>
  <c r="I289" i="36"/>
  <c r="F270" i="1" s="1"/>
  <c r="H270" i="1" s="1"/>
  <c r="BC399" i="36"/>
  <c r="BD399" i="36"/>
  <c r="BC398" i="36"/>
  <c r="BD398" i="36"/>
  <c r="BC397" i="36"/>
  <c r="BD397" i="36"/>
  <c r="M25" i="36" l="1"/>
  <c r="M19" i="36"/>
  <c r="I57" i="38"/>
  <c r="AA52" i="39"/>
  <c r="I52" i="39" s="1"/>
  <c r="I51" i="39"/>
  <c r="F260" i="1" s="1"/>
  <c r="H260" i="1" s="1"/>
  <c r="H293" i="1" s="1"/>
  <c r="D3" i="3" s="1"/>
  <c r="M24" i="36"/>
  <c r="D3" i="44" l="1"/>
  <c r="D3" i="26"/>
  <c r="D3" i="21"/>
  <c r="D3" i="35"/>
  <c r="D3" i="47"/>
  <c r="D3" i="6"/>
  <c r="D3" i="22"/>
  <c r="D3" i="38"/>
  <c r="D3" i="25"/>
  <c r="D3" i="46"/>
  <c r="D3" i="39"/>
  <c r="D3" i="23"/>
  <c r="D3" i="24"/>
  <c r="D3" i="1"/>
  <c r="G4" i="36"/>
</calcChain>
</file>

<file path=xl/comments1.xml><?xml version="1.0" encoding="utf-8"?>
<comments xmlns="http://schemas.openxmlformats.org/spreadsheetml/2006/main">
  <authors>
    <author>www.financial-modelling-videos.de</author>
  </authors>
  <commentList>
    <comment ref="C36" authorId="0">
      <text>
        <r>
          <rPr>
            <b/>
            <sz val="8"/>
            <color indexed="81"/>
            <rFont val="Tahoma"/>
            <family val="2"/>
          </rPr>
          <t>www.excel-financial-model.com:</t>
        </r>
        <r>
          <rPr>
            <sz val="8"/>
            <color indexed="81"/>
            <rFont val="Tahoma"/>
            <family val="2"/>
          </rPr>
          <t xml:space="preserve">
includes "cash at bank" form opening balance (is used)
</t>
        </r>
      </text>
    </comment>
    <comment ref="C47" authorId="0">
      <text>
        <r>
          <rPr>
            <b/>
            <sz val="8"/>
            <color indexed="81"/>
            <rFont val="Tahoma"/>
            <family val="2"/>
          </rPr>
          <t>www.excel-financial-model.com:</t>
        </r>
        <r>
          <rPr>
            <sz val="8"/>
            <color indexed="81"/>
            <rFont val="Tahoma"/>
            <family val="2"/>
          </rPr>
          <t xml:space="preserve">
Enthält ggf. mehrfache Ziehungen, da auch Rückführungen stattfinden 
können sofern Liquidität vorhanden ist. Maximalbetrag ist oben bei 
Finanzierungsquellen ablesbar, weitere Details =&gt; Blatt "Finanzierung"
</t>
        </r>
      </text>
    </comment>
    <comment ref="V47" authorId="0">
      <text>
        <r>
          <rPr>
            <b/>
            <sz val="8"/>
            <color indexed="81"/>
            <rFont val="Tahoma"/>
            <family val="2"/>
          </rPr>
          <t>www.excel-financial-model.com:</t>
        </r>
        <r>
          <rPr>
            <sz val="8"/>
            <color indexed="81"/>
            <rFont val="Tahoma"/>
            <family val="2"/>
          </rPr>
          <t xml:space="preserve">
incl. any repayments of current account (if applicable) =&gt; details on sheet "Financing"
</t>
        </r>
      </text>
    </comment>
    <comment ref="C258" authorId="0">
      <text>
        <r>
          <rPr>
            <b/>
            <sz val="8"/>
            <color indexed="81"/>
            <rFont val="Segoe UI"/>
            <family val="2"/>
          </rPr>
          <t>www.excel-financial-model.com:</t>
        </r>
        <r>
          <rPr>
            <sz val="8"/>
            <color indexed="81"/>
            <rFont val="Segoe UI"/>
            <family val="2"/>
          </rPr>
          <t xml:space="preserve">
incl. Revenue share</t>
        </r>
      </text>
    </comment>
  </commentList>
</comments>
</file>

<file path=xl/comments10.xml><?xml version="1.0" encoding="utf-8"?>
<comments xmlns="http://schemas.openxmlformats.org/spreadsheetml/2006/main">
  <authors>
    <author>www.financial-modelling-videos.de</author>
  </authors>
  <commentList>
    <comment ref="E102"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E130"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List>
</comments>
</file>

<file path=xl/comments11.xml><?xml version="1.0" encoding="utf-8"?>
<comments xmlns="http://schemas.openxmlformats.org/spreadsheetml/2006/main">
  <authors>
    <author>www.financial-modelling-videos.de</author>
  </authors>
  <commentList>
    <comment ref="H28" authorId="0">
      <text>
        <r>
          <rPr>
            <b/>
            <sz val="8"/>
            <color indexed="81"/>
            <rFont val="Segoe UI"/>
            <family val="2"/>
          </rPr>
          <t>www.excel-financial-model.com:</t>
        </r>
        <r>
          <rPr>
            <sz val="8"/>
            <color indexed="81"/>
            <rFont val="Segoe UI"/>
            <family val="2"/>
          </rPr>
          <t xml:space="preserve">
For experienced users only !
Shift month of payment, without changing interval.
Valid input values: 0 to 11 months
</t>
        </r>
      </text>
    </comment>
  </commentList>
</comments>
</file>

<file path=xl/comments2.xml><?xml version="1.0" encoding="utf-8"?>
<comments xmlns="http://schemas.openxmlformats.org/spreadsheetml/2006/main">
  <authors>
    <author>www.financial-modelling-videos.de</author>
    <author>Autor</author>
  </authors>
  <commentList>
    <comment ref="H2" authorId="0">
      <text>
        <r>
          <rPr>
            <b/>
            <sz val="8"/>
            <color indexed="81"/>
            <rFont val="Tahoma"/>
            <family val="2"/>
          </rPr>
          <t>www.excel-financial-model.com:</t>
        </r>
        <r>
          <rPr>
            <sz val="8"/>
            <color indexed="81"/>
            <rFont val="Tahoma"/>
            <family val="2"/>
          </rPr>
          <t xml:space="preserve">
This macro will irrevocably delete all input data on all sheets.
With the exception of sheet: "Inputs"
With a new planning, input data on sheet "Inputs" has to be
updated in any case.
</t>
        </r>
      </text>
    </comment>
    <comment ref="H14" authorId="1">
      <text>
        <r>
          <rPr>
            <b/>
            <sz val="8"/>
            <color indexed="81"/>
            <rFont val="Tahoma"/>
            <family val="2"/>
          </rPr>
          <t>www.excel-financial-model.com:</t>
        </r>
        <r>
          <rPr>
            <sz val="8"/>
            <color indexed="81"/>
            <rFont val="Tahoma"/>
            <family val="2"/>
          </rPr>
          <t xml:space="preserve">
Important control cell =&gt; Don't change or delete!
</t>
        </r>
      </text>
    </comment>
    <comment ref="F15" authorId="0">
      <text>
        <r>
          <rPr>
            <b/>
            <sz val="8"/>
            <color indexed="81"/>
            <rFont val="Tahoma"/>
            <family val="2"/>
          </rPr>
          <t>www.excel-financial-model.com:</t>
        </r>
        <r>
          <rPr>
            <sz val="8"/>
            <color indexed="81"/>
            <rFont val="Tahoma"/>
            <family val="2"/>
          </rPr>
          <t xml:space="preserve">
It is recommended to use the three-letter alphabetic ISO 4217 code, which is the
international standard for currency codes (e.g. EUR, USD, GBP, AUS etc.)
For more information:  http://www.iso.org/iso/home/standards/currency_codes.htm
</t>
        </r>
      </text>
    </comment>
    <comment ref="E26" authorId="0">
      <text>
        <r>
          <rPr>
            <b/>
            <sz val="8"/>
            <color indexed="81"/>
            <rFont val="Segoe UI"/>
            <family val="2"/>
          </rPr>
          <t>www.excel-financial-model.com:</t>
        </r>
        <r>
          <rPr>
            <sz val="8"/>
            <color indexed="81"/>
            <rFont val="Segoe UI"/>
            <family val="2"/>
          </rPr>
          <t xml:space="preserve">
You can select a descriptive term for input/output tax
in section "Sales Tax / VAT" on this sheet.
</t>
        </r>
      </text>
    </comment>
    <comment ref="H27" authorId="0">
      <text>
        <r>
          <rPr>
            <b/>
            <sz val="8"/>
            <color indexed="81"/>
            <rFont val="Segoe UI"/>
            <family val="2"/>
          </rPr>
          <t>www.excel-financial-model.com:</t>
        </r>
        <r>
          <rPr>
            <sz val="8"/>
            <color indexed="81"/>
            <rFont val="Segoe UI"/>
            <family val="2"/>
          </rPr>
          <t xml:space="preserve">
Percentage of revenue which will be shared
=&gt; accounted as expense (direct costs)</t>
        </r>
      </text>
    </comment>
    <comment ref="C28" authorId="1">
      <text>
        <r>
          <rPr>
            <b/>
            <sz val="8"/>
            <color indexed="81"/>
            <rFont val="Tahoma"/>
            <family val="2"/>
          </rPr>
          <t>www.excel-financial-model.com:</t>
        </r>
        <r>
          <rPr>
            <sz val="8"/>
            <color indexed="81"/>
            <rFont val="Tahoma"/>
            <family val="2"/>
          </rPr>
          <t xml:space="preserve">
Title will be used throughout the complete model</t>
        </r>
      </text>
    </comment>
    <comment ref="C29" authorId="1">
      <text>
        <r>
          <rPr>
            <b/>
            <sz val="8"/>
            <color indexed="81"/>
            <rFont val="Tahoma"/>
            <family val="2"/>
          </rPr>
          <t>www.excel-financial-model.com:</t>
        </r>
        <r>
          <rPr>
            <sz val="8"/>
            <color indexed="81"/>
            <rFont val="Tahoma"/>
            <family val="2"/>
          </rPr>
          <t xml:space="preserve">
Title will be used throughout the complete model</t>
        </r>
      </text>
    </comment>
    <comment ref="C30" authorId="1">
      <text>
        <r>
          <rPr>
            <b/>
            <sz val="8"/>
            <color indexed="81"/>
            <rFont val="Tahoma"/>
            <family val="2"/>
          </rPr>
          <t>www.excel-financial-model.com:</t>
        </r>
        <r>
          <rPr>
            <sz val="8"/>
            <color indexed="81"/>
            <rFont val="Tahoma"/>
            <family val="2"/>
          </rPr>
          <t xml:space="preserve">
Title will be used throughout the complete model</t>
        </r>
      </text>
    </comment>
    <comment ref="C31" authorId="1">
      <text>
        <r>
          <rPr>
            <b/>
            <sz val="8"/>
            <color indexed="81"/>
            <rFont val="Tahoma"/>
            <family val="2"/>
          </rPr>
          <t>www.excel-financial-model.com:</t>
        </r>
        <r>
          <rPr>
            <sz val="8"/>
            <color indexed="81"/>
            <rFont val="Tahoma"/>
            <family val="2"/>
          </rPr>
          <t xml:space="preserve">
Title will be used throughout the complete model</t>
        </r>
      </text>
    </comment>
    <comment ref="C32" authorId="1">
      <text>
        <r>
          <rPr>
            <b/>
            <sz val="8"/>
            <color indexed="81"/>
            <rFont val="Tahoma"/>
            <family val="2"/>
          </rPr>
          <t>www.excel-financial-model.com:</t>
        </r>
        <r>
          <rPr>
            <sz val="8"/>
            <color indexed="81"/>
            <rFont val="Tahoma"/>
            <family val="2"/>
          </rPr>
          <t xml:space="preserve">
Title will be used throughout the complete model</t>
        </r>
      </text>
    </comment>
    <comment ref="C33" authorId="1">
      <text>
        <r>
          <rPr>
            <b/>
            <sz val="8"/>
            <color indexed="81"/>
            <rFont val="Tahoma"/>
            <family val="2"/>
          </rPr>
          <t>www.excel-financial-model.com:</t>
        </r>
        <r>
          <rPr>
            <sz val="8"/>
            <color indexed="81"/>
            <rFont val="Tahoma"/>
            <family val="2"/>
          </rPr>
          <t xml:space="preserve">
Title will be used throughout the complete model</t>
        </r>
      </text>
    </comment>
    <comment ref="C34" authorId="1">
      <text>
        <r>
          <rPr>
            <b/>
            <sz val="8"/>
            <color indexed="81"/>
            <rFont val="Tahoma"/>
            <family val="2"/>
          </rPr>
          <t>www.excel-financial-model.com:</t>
        </r>
        <r>
          <rPr>
            <sz val="8"/>
            <color indexed="81"/>
            <rFont val="Tahoma"/>
            <family val="2"/>
          </rPr>
          <t xml:space="preserve">
Title will be used throughout the complete model</t>
        </r>
      </text>
    </comment>
    <comment ref="C35" authorId="1">
      <text>
        <r>
          <rPr>
            <b/>
            <sz val="8"/>
            <color indexed="81"/>
            <rFont val="Tahoma"/>
            <family val="2"/>
          </rPr>
          <t>www.excel-financial-model.com:</t>
        </r>
        <r>
          <rPr>
            <sz val="8"/>
            <color indexed="81"/>
            <rFont val="Tahoma"/>
            <family val="2"/>
          </rPr>
          <t xml:space="preserve">
Title will be used throughout the complete model</t>
        </r>
      </text>
    </comment>
    <comment ref="C36" authorId="1">
      <text>
        <r>
          <rPr>
            <b/>
            <sz val="8"/>
            <color indexed="81"/>
            <rFont val="Tahoma"/>
            <family val="2"/>
          </rPr>
          <t>www.excel-financial-model.com:</t>
        </r>
        <r>
          <rPr>
            <sz val="8"/>
            <color indexed="81"/>
            <rFont val="Tahoma"/>
            <family val="2"/>
          </rPr>
          <t xml:space="preserve">
Title will be used throughout the complete model</t>
        </r>
      </text>
    </comment>
    <comment ref="C37" authorId="1">
      <text>
        <r>
          <rPr>
            <b/>
            <sz val="8"/>
            <color indexed="81"/>
            <rFont val="Tahoma"/>
            <family val="2"/>
          </rPr>
          <t>www.excel-financial-model.com:</t>
        </r>
        <r>
          <rPr>
            <sz val="8"/>
            <color indexed="81"/>
            <rFont val="Tahoma"/>
            <family val="2"/>
          </rPr>
          <t xml:space="preserve">
Title will be used throughout the complete model</t>
        </r>
      </text>
    </comment>
    <comment ref="G40" authorId="1">
      <text>
        <r>
          <rPr>
            <b/>
            <sz val="8"/>
            <color indexed="81"/>
            <rFont val="Tahoma"/>
            <family val="2"/>
          </rPr>
          <t>www.excel-financial-model.com:</t>
        </r>
        <r>
          <rPr>
            <sz val="8"/>
            <color indexed="81"/>
            <rFont val="Tahoma"/>
            <family val="2"/>
          </rPr>
          <t xml:space="preserve">
Important control cell =&gt; Don't change or delete!
</t>
        </r>
      </text>
    </comment>
    <comment ref="H40" authorId="1">
      <text>
        <r>
          <rPr>
            <b/>
            <sz val="8"/>
            <color indexed="81"/>
            <rFont val="Tahoma"/>
            <family val="2"/>
          </rPr>
          <t>www.excel-financial-model.com:</t>
        </r>
        <r>
          <rPr>
            <sz val="8"/>
            <color indexed="81"/>
            <rFont val="Tahoma"/>
            <family val="2"/>
          </rPr>
          <t xml:space="preserve">
Important control cell =&gt; Don't change or delete!
</t>
        </r>
      </text>
    </comment>
    <comment ref="G47" authorId="1">
      <text>
        <r>
          <rPr>
            <b/>
            <sz val="8"/>
            <color indexed="81"/>
            <rFont val="Tahoma"/>
            <family val="2"/>
          </rPr>
          <t>www.excel-financial-model.com:</t>
        </r>
        <r>
          <rPr>
            <sz val="8"/>
            <color indexed="81"/>
            <rFont val="Tahoma"/>
            <family val="2"/>
          </rPr>
          <t xml:space="preserve">
Annual base salary (for 12 months) without income 
taxes &amp; social insurances (will be calculated seperately).
</t>
        </r>
      </text>
    </comment>
    <comment ref="C72" authorId="0">
      <text>
        <r>
          <rPr>
            <b/>
            <sz val="8"/>
            <color indexed="81"/>
            <rFont val="Segoe UI"/>
            <family val="2"/>
          </rPr>
          <t>www.excel-financial-model.com:</t>
        </r>
        <r>
          <rPr>
            <sz val="8"/>
            <color indexed="81"/>
            <rFont val="Segoe UI"/>
            <family val="2"/>
          </rPr>
          <t xml:space="preserve">
This group description can be changed 
=&gt; will be updated throughout the full model
</t>
        </r>
      </text>
    </comment>
    <comment ref="C85" authorId="0">
      <text>
        <r>
          <rPr>
            <b/>
            <sz val="8"/>
            <color indexed="81"/>
            <rFont val="Segoe UI"/>
            <family val="2"/>
          </rPr>
          <t>www.excel-financial-model.com:</t>
        </r>
        <r>
          <rPr>
            <sz val="8"/>
            <color indexed="81"/>
            <rFont val="Segoe UI"/>
            <family val="2"/>
          </rPr>
          <t xml:space="preserve">
payed out monthly</t>
        </r>
      </text>
    </comment>
    <comment ref="C86" authorId="0">
      <text>
        <r>
          <rPr>
            <b/>
            <sz val="8"/>
            <color indexed="81"/>
            <rFont val="Segoe UI"/>
            <family val="2"/>
          </rPr>
          <t>www.excel-financial-model.com:</t>
        </r>
        <r>
          <rPr>
            <sz val="8"/>
            <color indexed="81"/>
            <rFont val="Segoe UI"/>
            <family val="2"/>
          </rPr>
          <t xml:space="preserve">
payed out monthly</t>
        </r>
      </text>
    </comment>
    <comment ref="C87" authorId="0">
      <text>
        <r>
          <rPr>
            <b/>
            <sz val="8"/>
            <color indexed="81"/>
            <rFont val="Segoe UI"/>
            <family val="2"/>
          </rPr>
          <t>www.excel-financial-model.com:</t>
        </r>
        <r>
          <rPr>
            <sz val="8"/>
            <color indexed="81"/>
            <rFont val="Segoe UI"/>
            <family val="2"/>
          </rPr>
          <t xml:space="preserve">
payed out monthly</t>
        </r>
      </text>
    </comment>
    <comment ref="C92" authorId="0">
      <text>
        <r>
          <rPr>
            <b/>
            <sz val="8"/>
            <color indexed="81"/>
            <rFont val="Segoe UI"/>
            <family val="2"/>
          </rPr>
          <t>www.excel-financial-model.com:</t>
        </r>
        <r>
          <rPr>
            <sz val="8"/>
            <color indexed="81"/>
            <rFont val="Segoe UI"/>
            <family val="2"/>
          </rPr>
          <t xml:space="preserve">
with impact on liquidity (not opening balance)
</t>
        </r>
      </text>
    </comment>
    <comment ref="C93" authorId="0">
      <text>
        <r>
          <rPr>
            <b/>
            <sz val="8"/>
            <color indexed="81"/>
            <rFont val="Tahoma"/>
            <family val="2"/>
          </rPr>
          <t>www.excel-financial-model.com:</t>
        </r>
        <r>
          <rPr>
            <sz val="8"/>
            <color indexed="81"/>
            <rFont val="Tahoma"/>
            <family val="2"/>
          </rPr>
          <t xml:space="preserve">
- maximum amount, impact on liquidity when capital needed, except when choosing "cash-in at 1st month"
- this amount will be added to any share capital in the opening balance</t>
        </r>
      </text>
    </comment>
    <comment ref="C94" authorId="0">
      <text>
        <r>
          <rPr>
            <b/>
            <sz val="8"/>
            <color indexed="81"/>
            <rFont val="Segoe UI"/>
            <family val="2"/>
          </rPr>
          <t>www.excel-financial-model.com:</t>
        </r>
        <r>
          <rPr>
            <sz val="8"/>
            <color indexed="81"/>
            <rFont val="Segoe UI"/>
            <family val="2"/>
          </rPr>
          <t xml:space="preserve">
with impact on liquidity (not opening balance)
</t>
        </r>
      </text>
    </comment>
    <comment ref="C95" authorId="0">
      <text>
        <r>
          <rPr>
            <b/>
            <sz val="8"/>
            <color indexed="81"/>
            <rFont val="Tahoma"/>
            <family val="2"/>
          </rPr>
          <t>www.excel-financial-model.com:</t>
        </r>
        <r>
          <rPr>
            <sz val="8"/>
            <color indexed="81"/>
            <rFont val="Tahoma"/>
            <family val="2"/>
          </rPr>
          <t xml:space="preserve">
impact on liquidity at selected date</t>
        </r>
      </text>
    </comment>
    <comment ref="G134" authorId="1">
      <text>
        <r>
          <rPr>
            <b/>
            <sz val="8"/>
            <color indexed="81"/>
            <rFont val="Tahoma"/>
            <family val="2"/>
          </rPr>
          <t xml:space="preserve">www.excel-financial-model.com:
</t>
        </r>
        <r>
          <rPr>
            <sz val="8"/>
            <color indexed="81"/>
            <rFont val="Tahoma"/>
            <family val="2"/>
          </rPr>
          <t xml:space="preserve">Important control cell =&gt; Don't change or delete!
</t>
        </r>
      </text>
    </comment>
    <comment ref="C153" authorId="0">
      <text>
        <r>
          <rPr>
            <b/>
            <sz val="8"/>
            <color indexed="81"/>
            <rFont val="Segoe UI"/>
            <family val="2"/>
          </rPr>
          <t xml:space="preserve">www.excel-financial-model.com:
</t>
        </r>
        <r>
          <rPr>
            <sz val="8"/>
            <color indexed="81"/>
            <rFont val="Segoe UI"/>
            <family val="2"/>
          </rPr>
          <t xml:space="preserve">Payment terms for other cost items 
(e.g. other direct costs or overheads) 
can be set individually on sheet Costs 02 and Costs 03.
</t>
        </r>
      </text>
    </comment>
    <comment ref="C223" authorId="0">
      <text>
        <r>
          <rPr>
            <b/>
            <sz val="8"/>
            <color indexed="81"/>
            <rFont val="Segoe UI"/>
            <family val="2"/>
          </rPr>
          <t>www.excel-financial-model.com:</t>
        </r>
        <r>
          <rPr>
            <sz val="8"/>
            <color indexed="81"/>
            <rFont val="Segoe UI"/>
            <family val="2"/>
          </rPr>
          <t xml:space="preserve">
NBV = net book value at model start
</t>
        </r>
      </text>
    </comment>
    <comment ref="C224" authorId="0">
      <text>
        <r>
          <rPr>
            <b/>
            <sz val="8"/>
            <color indexed="81"/>
            <rFont val="Segoe UI"/>
            <family val="2"/>
          </rPr>
          <t>www.excel-financial-model.com:</t>
        </r>
        <r>
          <rPr>
            <sz val="8"/>
            <color indexed="81"/>
            <rFont val="Segoe UI"/>
            <family val="2"/>
          </rPr>
          <t xml:space="preserve">
NBV = net book value at model start
</t>
        </r>
      </text>
    </comment>
    <comment ref="C228" authorId="0">
      <text>
        <r>
          <rPr>
            <b/>
            <sz val="8"/>
            <color indexed="81"/>
            <rFont val="Segoe UI"/>
            <family val="2"/>
          </rPr>
          <t>www.excel-financial-model.com:</t>
        </r>
        <r>
          <rPr>
            <sz val="8"/>
            <color indexed="81"/>
            <rFont val="Segoe UI"/>
            <family val="2"/>
          </rPr>
          <t xml:space="preserve">
NBV = net book value at model start
</t>
        </r>
      </text>
    </comment>
    <comment ref="C242" authorId="0">
      <text>
        <r>
          <rPr>
            <b/>
            <sz val="8"/>
            <color indexed="81"/>
            <rFont val="Tahoma"/>
            <family val="2"/>
          </rPr>
          <t>www.excel-financial-model.com:</t>
        </r>
        <r>
          <rPr>
            <sz val="8"/>
            <color indexed="81"/>
            <rFont val="Tahoma"/>
            <family val="2"/>
          </rPr>
          <t xml:space="preserve">
If there are several existing loans, please fill in the total amount of these loans. 
You also have to calculate interest and redemption payments on sheet "financing" 
for each of them.
</t>
        </r>
      </text>
    </comment>
    <comment ref="E327" authorId="0">
      <text>
        <r>
          <rPr>
            <b/>
            <sz val="8"/>
            <color indexed="81"/>
            <rFont val="Segoe UI"/>
            <family val="2"/>
          </rPr>
          <t>www.excel-financial-model.com:</t>
        </r>
        <r>
          <rPr>
            <sz val="8"/>
            <color indexed="81"/>
            <rFont val="Segoe UI"/>
            <family val="2"/>
          </rPr>
          <t xml:space="preserve">
Phasing out &lt; or = opening value?
</t>
        </r>
      </text>
    </comment>
  </commentList>
</comments>
</file>

<file path=xl/comments3.xml><?xml version="1.0" encoding="utf-8"?>
<comments xmlns="http://schemas.openxmlformats.org/spreadsheetml/2006/main">
  <authors>
    <author>Autor</author>
  </authors>
  <commentList>
    <comment ref="E16" authorId="0">
      <text>
        <r>
          <rPr>
            <b/>
            <sz val="8"/>
            <color indexed="81"/>
            <rFont val="Tahoma"/>
            <family val="2"/>
          </rPr>
          <t>www.excel-financial-model.com:</t>
        </r>
        <r>
          <rPr>
            <sz val="8"/>
            <color indexed="81"/>
            <rFont val="Tahoma"/>
            <family val="2"/>
          </rPr>
          <t xml:space="preserve">
Social Security Contributions:
Calculate Income taxes &amp; social insurances
=&gt; Yes or NO
</t>
        </r>
      </text>
    </comment>
    <comment ref="H17" authorId="0">
      <text>
        <r>
          <rPr>
            <b/>
            <sz val="8"/>
            <color indexed="81"/>
            <rFont val="Tahoma"/>
            <family val="2"/>
          </rPr>
          <t>www.excel-financial-model.com:</t>
        </r>
        <r>
          <rPr>
            <sz val="8"/>
            <color indexed="81"/>
            <rFont val="Tahoma"/>
            <family val="2"/>
          </rPr>
          <t xml:space="preserve">
Important control cell =&gt; Don't change or delete!
</t>
        </r>
      </text>
    </comment>
    <comment ref="H18" authorId="0">
      <text>
        <r>
          <rPr>
            <b/>
            <sz val="8"/>
            <color indexed="81"/>
            <rFont val="Tahoma"/>
            <family val="2"/>
          </rPr>
          <t>www.excel-financial-model.com:</t>
        </r>
        <r>
          <rPr>
            <sz val="8"/>
            <color indexed="81"/>
            <rFont val="Tahoma"/>
            <family val="2"/>
          </rPr>
          <t xml:space="preserve">
Important control cell =&gt; Don't change or delete!
</t>
        </r>
      </text>
    </comment>
    <comment ref="H19" authorId="0">
      <text>
        <r>
          <rPr>
            <b/>
            <sz val="8"/>
            <color indexed="81"/>
            <rFont val="Tahoma"/>
            <family val="2"/>
          </rPr>
          <t>www.excel-financial-model.com:</t>
        </r>
        <r>
          <rPr>
            <sz val="8"/>
            <color indexed="81"/>
            <rFont val="Tahoma"/>
            <family val="2"/>
          </rPr>
          <t xml:space="preserve">
Important control cell =&gt; Don't change or delete!
</t>
        </r>
      </text>
    </comment>
    <comment ref="H20" authorId="0">
      <text>
        <r>
          <rPr>
            <b/>
            <sz val="8"/>
            <color indexed="81"/>
            <rFont val="Tahoma"/>
            <family val="2"/>
          </rPr>
          <t>www.excel-financial-model.com:</t>
        </r>
        <r>
          <rPr>
            <sz val="8"/>
            <color indexed="81"/>
            <rFont val="Tahoma"/>
            <family val="2"/>
          </rPr>
          <t xml:space="preserve">
Important control cell =&gt; Don't change or delete!
</t>
        </r>
      </text>
    </comment>
    <comment ref="H24" authorId="0">
      <text>
        <r>
          <rPr>
            <b/>
            <sz val="8"/>
            <color indexed="81"/>
            <rFont val="Tahoma"/>
            <family val="2"/>
          </rPr>
          <t>www.excel-financial-model.com:</t>
        </r>
        <r>
          <rPr>
            <sz val="8"/>
            <color indexed="81"/>
            <rFont val="Tahoma"/>
            <family val="2"/>
          </rPr>
          <t xml:space="preserve">
Important control cell =&gt; Don't change or delete!
</t>
        </r>
      </text>
    </comment>
    <comment ref="H25" authorId="0">
      <text>
        <r>
          <rPr>
            <b/>
            <sz val="8"/>
            <color indexed="81"/>
            <rFont val="Tahoma"/>
            <family val="2"/>
          </rPr>
          <t>www.excel-financial-model.com:</t>
        </r>
        <r>
          <rPr>
            <sz val="8"/>
            <color indexed="81"/>
            <rFont val="Tahoma"/>
            <family val="2"/>
          </rPr>
          <t xml:space="preserve">
Important control cell =&gt; Don't change or delete!
</t>
        </r>
      </text>
    </comment>
    <comment ref="H26" authorId="0">
      <text>
        <r>
          <rPr>
            <b/>
            <sz val="8"/>
            <color indexed="81"/>
            <rFont val="Tahoma"/>
            <family val="2"/>
          </rPr>
          <t>www.excel-financial-model.com:</t>
        </r>
        <r>
          <rPr>
            <sz val="8"/>
            <color indexed="81"/>
            <rFont val="Tahoma"/>
            <family val="2"/>
          </rPr>
          <t xml:space="preserve">
Important control cell =&gt; Don't change or delete!
</t>
        </r>
      </text>
    </comment>
    <comment ref="H27" authorId="0">
      <text>
        <r>
          <rPr>
            <b/>
            <sz val="8"/>
            <color indexed="81"/>
            <rFont val="Tahoma"/>
            <family val="2"/>
          </rPr>
          <t>www.excel-financial-model.com:</t>
        </r>
        <r>
          <rPr>
            <sz val="8"/>
            <color indexed="81"/>
            <rFont val="Tahoma"/>
            <family val="2"/>
          </rPr>
          <t xml:space="preserve">
Important control cell =&gt; Don't change or delete!
</t>
        </r>
      </text>
    </comment>
    <comment ref="H31" authorId="0">
      <text>
        <r>
          <rPr>
            <b/>
            <sz val="8"/>
            <color indexed="81"/>
            <rFont val="Tahoma"/>
            <family val="2"/>
          </rPr>
          <t>www.excel-financial-model.com:</t>
        </r>
        <r>
          <rPr>
            <sz val="8"/>
            <color indexed="81"/>
            <rFont val="Tahoma"/>
            <family val="2"/>
          </rPr>
          <t xml:space="preserve">
Important control cell =&gt; Don't change or delete!
</t>
        </r>
      </text>
    </comment>
    <comment ref="H32" authorId="0">
      <text>
        <r>
          <rPr>
            <b/>
            <sz val="8"/>
            <color indexed="81"/>
            <rFont val="Tahoma"/>
            <family val="2"/>
          </rPr>
          <t>www.excel-financial-model.com:</t>
        </r>
        <r>
          <rPr>
            <sz val="8"/>
            <color indexed="81"/>
            <rFont val="Tahoma"/>
            <family val="2"/>
          </rPr>
          <t xml:space="preserve">
Important control cell =&gt; Don't change or delete!
</t>
        </r>
      </text>
    </comment>
    <comment ref="H33" authorId="0">
      <text>
        <r>
          <rPr>
            <b/>
            <sz val="8"/>
            <color indexed="81"/>
            <rFont val="Tahoma"/>
            <family val="2"/>
          </rPr>
          <t>www.excel-financial-model.com:</t>
        </r>
        <r>
          <rPr>
            <sz val="8"/>
            <color indexed="81"/>
            <rFont val="Tahoma"/>
            <family val="2"/>
          </rPr>
          <t xml:space="preserve">
Important control cell =&gt; Don't change or delete!
</t>
        </r>
      </text>
    </comment>
    <comment ref="H34" authorId="0">
      <text>
        <r>
          <rPr>
            <b/>
            <sz val="8"/>
            <color indexed="81"/>
            <rFont val="Tahoma"/>
            <family val="2"/>
          </rPr>
          <t>www.excel-financial-model.com:</t>
        </r>
        <r>
          <rPr>
            <sz val="8"/>
            <color indexed="81"/>
            <rFont val="Tahoma"/>
            <family val="2"/>
          </rPr>
          <t xml:space="preserve">
Important control cell =&gt; Don't change or delete!
</t>
        </r>
      </text>
    </comment>
    <comment ref="H38" authorId="0">
      <text>
        <r>
          <rPr>
            <b/>
            <sz val="8"/>
            <color indexed="81"/>
            <rFont val="Tahoma"/>
            <family val="2"/>
          </rPr>
          <t>www.excel-financial-model.com:</t>
        </r>
        <r>
          <rPr>
            <sz val="8"/>
            <color indexed="81"/>
            <rFont val="Tahoma"/>
            <family val="2"/>
          </rPr>
          <t xml:space="preserve">
Important control cell =&gt; Don't change or delete!
</t>
        </r>
      </text>
    </comment>
    <comment ref="H39" authorId="0">
      <text>
        <r>
          <rPr>
            <b/>
            <sz val="8"/>
            <color indexed="81"/>
            <rFont val="Tahoma"/>
            <family val="2"/>
          </rPr>
          <t>www.excel-financial-model.com:</t>
        </r>
        <r>
          <rPr>
            <sz val="8"/>
            <color indexed="81"/>
            <rFont val="Tahoma"/>
            <family val="2"/>
          </rPr>
          <t xml:space="preserve">
Important control cell =&gt; Don't change or delete!
</t>
        </r>
      </text>
    </comment>
    <comment ref="H40" authorId="0">
      <text>
        <r>
          <rPr>
            <b/>
            <sz val="8"/>
            <color indexed="81"/>
            <rFont val="Tahoma"/>
            <family val="2"/>
          </rPr>
          <t>www.excel-financial-model.com:</t>
        </r>
        <r>
          <rPr>
            <sz val="8"/>
            <color indexed="81"/>
            <rFont val="Tahoma"/>
            <family val="2"/>
          </rPr>
          <t xml:space="preserve">
Important control cell =&gt; Don't change or delete!
</t>
        </r>
      </text>
    </comment>
    <comment ref="H41" authorId="0">
      <text>
        <r>
          <rPr>
            <b/>
            <sz val="8"/>
            <color indexed="81"/>
            <rFont val="Tahoma"/>
            <family val="2"/>
          </rPr>
          <t>www.excel-financial-model.com:</t>
        </r>
        <r>
          <rPr>
            <sz val="8"/>
            <color indexed="81"/>
            <rFont val="Tahoma"/>
            <family val="2"/>
          </rPr>
          <t xml:space="preserve">
Important control cell =&gt; Don't change or delete!
</t>
        </r>
      </text>
    </comment>
  </commentList>
</comments>
</file>

<file path=xl/comments4.xml><?xml version="1.0" encoding="utf-8"?>
<comments xmlns="http://schemas.openxmlformats.org/spreadsheetml/2006/main">
  <authors>
    <author>www.financial-modelling-videos.de</author>
  </authors>
  <commentList>
    <comment ref="C128"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29" authorId="0">
      <text>
        <r>
          <rPr>
            <b/>
            <sz val="8"/>
            <color indexed="81"/>
            <rFont val="Segoe UI"/>
            <family val="2"/>
          </rPr>
          <t>www.excel-financial-model.com:</t>
        </r>
        <r>
          <rPr>
            <sz val="8"/>
            <color indexed="81"/>
            <rFont val="Segoe UI"/>
            <family val="2"/>
          </rPr>
          <t xml:space="preserve">
May differ from target =&gt; see manual for details</t>
        </r>
      </text>
    </comment>
    <comment ref="C136"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37" authorId="0">
      <text>
        <r>
          <rPr>
            <b/>
            <sz val="8"/>
            <color indexed="81"/>
            <rFont val="Segoe UI"/>
            <family val="2"/>
          </rPr>
          <t>www.excel-financial-model.com:</t>
        </r>
        <r>
          <rPr>
            <sz val="8"/>
            <color indexed="81"/>
            <rFont val="Segoe UI"/>
            <family val="2"/>
          </rPr>
          <t xml:space="preserve">
May differ from target =&gt; see manual for details</t>
        </r>
      </text>
    </comment>
    <comment ref="C144"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45" authorId="0">
      <text>
        <r>
          <rPr>
            <b/>
            <sz val="8"/>
            <color indexed="81"/>
            <rFont val="Segoe UI"/>
            <family val="2"/>
          </rPr>
          <t>www.excel-financial-model.com:</t>
        </r>
        <r>
          <rPr>
            <sz val="8"/>
            <color indexed="81"/>
            <rFont val="Segoe UI"/>
            <family val="2"/>
          </rPr>
          <t xml:space="preserve">
May differ from target =&gt; see manual for details</t>
        </r>
      </text>
    </comment>
    <comment ref="C152"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53" authorId="0">
      <text>
        <r>
          <rPr>
            <b/>
            <sz val="8"/>
            <color indexed="81"/>
            <rFont val="Segoe UI"/>
            <family val="2"/>
          </rPr>
          <t>www.excel-financial-model.com:</t>
        </r>
        <r>
          <rPr>
            <sz val="8"/>
            <color indexed="81"/>
            <rFont val="Segoe UI"/>
            <family val="2"/>
          </rPr>
          <t xml:space="preserve">
May differ from target =&gt; see manual for details</t>
        </r>
      </text>
    </comment>
    <comment ref="C160"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61" authorId="0">
      <text>
        <r>
          <rPr>
            <b/>
            <sz val="8"/>
            <color indexed="81"/>
            <rFont val="Segoe UI"/>
            <family val="2"/>
          </rPr>
          <t>www.excel-financial-model.com:</t>
        </r>
        <r>
          <rPr>
            <sz val="8"/>
            <color indexed="81"/>
            <rFont val="Segoe UI"/>
            <family val="2"/>
          </rPr>
          <t xml:space="preserve">
May differ from target =&gt; see manual for details</t>
        </r>
      </text>
    </comment>
    <comment ref="C168"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69" authorId="0">
      <text>
        <r>
          <rPr>
            <b/>
            <sz val="8"/>
            <color indexed="81"/>
            <rFont val="Segoe UI"/>
            <family val="2"/>
          </rPr>
          <t>www.excel-financial-model.com:</t>
        </r>
        <r>
          <rPr>
            <sz val="8"/>
            <color indexed="81"/>
            <rFont val="Segoe UI"/>
            <family val="2"/>
          </rPr>
          <t xml:space="preserve">
May differ from target =&gt; see manual for details</t>
        </r>
      </text>
    </comment>
    <comment ref="C176"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77" authorId="0">
      <text>
        <r>
          <rPr>
            <b/>
            <sz val="8"/>
            <color indexed="81"/>
            <rFont val="Segoe UI"/>
            <family val="2"/>
          </rPr>
          <t>www.excel-financial-model.com:</t>
        </r>
        <r>
          <rPr>
            <sz val="8"/>
            <color indexed="81"/>
            <rFont val="Segoe UI"/>
            <family val="2"/>
          </rPr>
          <t xml:space="preserve">
May differ from target =&gt; see manual for details</t>
        </r>
      </text>
    </comment>
    <comment ref="C184"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85" authorId="0">
      <text>
        <r>
          <rPr>
            <b/>
            <sz val="8"/>
            <color indexed="81"/>
            <rFont val="Segoe UI"/>
            <family val="2"/>
          </rPr>
          <t>www.excel-financial-model.com:</t>
        </r>
        <r>
          <rPr>
            <sz val="8"/>
            <color indexed="81"/>
            <rFont val="Segoe UI"/>
            <family val="2"/>
          </rPr>
          <t xml:space="preserve">
May differ from target =&gt; see manual for details</t>
        </r>
      </text>
    </comment>
    <comment ref="C192"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193" authorId="0">
      <text>
        <r>
          <rPr>
            <b/>
            <sz val="8"/>
            <color indexed="81"/>
            <rFont val="Segoe UI"/>
            <family val="2"/>
          </rPr>
          <t>www.excel-financial-model.com:</t>
        </r>
        <r>
          <rPr>
            <sz val="8"/>
            <color indexed="81"/>
            <rFont val="Segoe UI"/>
            <family val="2"/>
          </rPr>
          <t xml:space="preserve">
May differ from target =&gt; see manual for details</t>
        </r>
      </text>
    </comment>
    <comment ref="C200" authorId="0">
      <text>
        <r>
          <rPr>
            <b/>
            <sz val="8"/>
            <color indexed="81"/>
            <rFont val="Segoe UI"/>
            <family val="2"/>
          </rPr>
          <t>www.excel-financial-model.com:</t>
        </r>
        <r>
          <rPr>
            <sz val="8"/>
            <color indexed="81"/>
            <rFont val="Segoe UI"/>
            <family val="2"/>
          </rPr>
          <t xml:space="preserve">
Formulas in this line can alternatively be overwritten
by manual inputs (see manual for details)</t>
        </r>
      </text>
    </comment>
    <comment ref="C201" authorId="0">
      <text>
        <r>
          <rPr>
            <b/>
            <sz val="8"/>
            <color indexed="81"/>
            <rFont val="Segoe UI"/>
            <family val="2"/>
          </rPr>
          <t>www.excel-financial-model.com:</t>
        </r>
        <r>
          <rPr>
            <sz val="8"/>
            <color indexed="81"/>
            <rFont val="Segoe UI"/>
            <family val="2"/>
          </rPr>
          <t xml:space="preserve">
May differ from target =&gt; see manual for details</t>
        </r>
      </text>
    </comment>
  </commentList>
</comments>
</file>

<file path=xl/comments5.xml><?xml version="1.0" encoding="utf-8"?>
<comments xmlns="http://schemas.openxmlformats.org/spreadsheetml/2006/main">
  <authors>
    <author>Autor</author>
    <author>www.financial-modelling-videos.de</author>
  </authors>
  <commentList>
    <comment ref="E13" authorId="0">
      <text>
        <r>
          <rPr>
            <b/>
            <sz val="8"/>
            <color indexed="81"/>
            <rFont val="Tahoma"/>
            <family val="2"/>
          </rPr>
          <t>www.excel-financial-model.com:</t>
        </r>
        <r>
          <rPr>
            <sz val="8"/>
            <color indexed="81"/>
            <rFont val="Tahoma"/>
            <family val="2"/>
          </rPr>
          <t xml:space="preserve">
Social Security Contributions:
Calculate Income taxes &amp; social insurances
=&gt; Yes or NO
</t>
        </r>
      </text>
    </comment>
    <comment ref="H14" authorId="0">
      <text>
        <r>
          <rPr>
            <b/>
            <sz val="8"/>
            <color indexed="81"/>
            <rFont val="Tahoma"/>
            <family val="2"/>
          </rPr>
          <t>www.excel-financial-model.com:</t>
        </r>
        <r>
          <rPr>
            <sz val="8"/>
            <color indexed="81"/>
            <rFont val="Tahoma"/>
            <family val="2"/>
          </rPr>
          <t xml:space="preserve">
Important control cell =&gt; Don't change or delete!
</t>
        </r>
      </text>
    </comment>
    <comment ref="H15" authorId="0">
      <text>
        <r>
          <rPr>
            <b/>
            <sz val="8"/>
            <color indexed="81"/>
            <rFont val="Tahoma"/>
            <family val="2"/>
          </rPr>
          <t>www.excel-financial-model.com:</t>
        </r>
        <r>
          <rPr>
            <sz val="8"/>
            <color indexed="81"/>
            <rFont val="Tahoma"/>
            <family val="2"/>
          </rPr>
          <t xml:space="preserve">
Important control cell =&gt; Don't change or delete!
</t>
        </r>
      </text>
    </comment>
    <comment ref="H16" authorId="0">
      <text>
        <r>
          <rPr>
            <b/>
            <sz val="8"/>
            <color indexed="81"/>
            <rFont val="Tahoma"/>
            <family val="2"/>
          </rPr>
          <t>www.excel-financial-model.com:</t>
        </r>
        <r>
          <rPr>
            <sz val="8"/>
            <color indexed="81"/>
            <rFont val="Tahoma"/>
            <family val="2"/>
          </rPr>
          <t xml:space="preserve">
Important control cell =&gt; Don't change or delete!
</t>
        </r>
      </text>
    </comment>
    <comment ref="H17" authorId="0">
      <text>
        <r>
          <rPr>
            <b/>
            <sz val="8"/>
            <color indexed="81"/>
            <rFont val="Tahoma"/>
            <family val="2"/>
          </rPr>
          <t>www.excel-financial-model.com:</t>
        </r>
        <r>
          <rPr>
            <sz val="8"/>
            <color indexed="81"/>
            <rFont val="Tahoma"/>
            <family val="2"/>
          </rPr>
          <t xml:space="preserve">
Important control cell =&gt; Don't change or delete!
</t>
        </r>
      </text>
    </comment>
    <comment ref="F316" authorId="1">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G352" authorId="0">
      <text>
        <r>
          <rPr>
            <b/>
            <sz val="8"/>
            <color indexed="81"/>
            <rFont val="Tahoma"/>
            <family val="2"/>
          </rPr>
          <t>www.excel-financial-model.com:</t>
        </r>
        <r>
          <rPr>
            <sz val="8"/>
            <color indexed="81"/>
            <rFont val="Tahoma"/>
            <family val="2"/>
          </rPr>
          <t xml:space="preserve">
Important control cell =&gt; Don't change or delete!
</t>
        </r>
      </text>
    </comment>
  </commentList>
</comments>
</file>

<file path=xl/comments6.xml><?xml version="1.0" encoding="utf-8"?>
<comments xmlns="http://schemas.openxmlformats.org/spreadsheetml/2006/main">
  <authors>
    <author>www.financial-modelling-videos.de</author>
  </authors>
  <commentList>
    <comment ref="F11"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F22"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F33"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F44"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 ref="F55" authorId="0">
      <text>
        <r>
          <rPr>
            <b/>
            <sz val="8"/>
            <color indexed="81"/>
            <rFont val="Segoe UI"/>
            <family val="2"/>
          </rPr>
          <t>www.excel-financial-model.com:</t>
        </r>
        <r>
          <rPr>
            <sz val="8"/>
            <color indexed="81"/>
            <rFont val="Segoe UI"/>
            <family val="2"/>
          </rPr>
          <t xml:space="preserve">
0 for immediate cash payment or
Integers from 1 to 4 (credit periods)
=&gt; Maximum 4 months !
</t>
        </r>
      </text>
    </comment>
  </commentList>
</comments>
</file>

<file path=xl/comments7.xml><?xml version="1.0" encoding="utf-8"?>
<comments xmlns="http://schemas.openxmlformats.org/spreadsheetml/2006/main">
  <authors>
    <author>www.financial-modelling-videos.de</author>
    <author>Autor</author>
  </authors>
  <commentList>
    <comment ref="E20" authorId="0">
      <text>
        <r>
          <rPr>
            <b/>
            <sz val="8"/>
            <color indexed="81"/>
            <rFont val="Segoe UI"/>
            <family val="2"/>
          </rPr>
          <t>www.excel-financial-model.com:</t>
        </r>
        <r>
          <rPr>
            <sz val="8"/>
            <color indexed="81"/>
            <rFont val="Segoe UI"/>
            <family val="2"/>
          </rPr>
          <t xml:space="preserve">
1 = Straight-line
2 = Double declining balance
</t>
        </r>
      </text>
    </comment>
    <comment ref="E29"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30"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53" authorId="0">
      <text>
        <r>
          <rPr>
            <b/>
            <sz val="8"/>
            <color indexed="81"/>
            <rFont val="Segoe UI"/>
            <family val="2"/>
          </rPr>
          <t>www.excel-financial-model.com:</t>
        </r>
        <r>
          <rPr>
            <sz val="8"/>
            <color indexed="81"/>
            <rFont val="Segoe UI"/>
            <family val="2"/>
          </rPr>
          <t xml:space="preserve">
1 = Straight-line
2 = Double declining balance
</t>
        </r>
      </text>
    </comment>
    <comment ref="E62"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63"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79" authorId="0">
      <text>
        <r>
          <rPr>
            <b/>
            <sz val="8"/>
            <color indexed="81"/>
            <rFont val="Segoe UI"/>
            <family val="2"/>
          </rPr>
          <t>www.excel-financial-model.com:</t>
        </r>
        <r>
          <rPr>
            <sz val="8"/>
            <color indexed="81"/>
            <rFont val="Segoe UI"/>
            <family val="2"/>
          </rPr>
          <t xml:space="preserve">
1 = Straight-line
2 = Double declining balance
</t>
        </r>
      </text>
    </comment>
    <comment ref="E88"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89"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105" authorId="0">
      <text>
        <r>
          <rPr>
            <b/>
            <sz val="8"/>
            <color indexed="81"/>
            <rFont val="Segoe UI"/>
            <family val="2"/>
          </rPr>
          <t>www.excel-financial-model.com:</t>
        </r>
        <r>
          <rPr>
            <sz val="8"/>
            <color indexed="81"/>
            <rFont val="Segoe UI"/>
            <family val="2"/>
          </rPr>
          <t xml:space="preserve">
1 = Straight-line
2 = Double declining balance
</t>
        </r>
      </text>
    </comment>
    <comment ref="E114"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115"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137" authorId="0">
      <text>
        <r>
          <rPr>
            <b/>
            <sz val="8"/>
            <color indexed="81"/>
            <rFont val="Segoe UI"/>
            <family val="2"/>
          </rPr>
          <t>www.excel-financial-model.com:</t>
        </r>
        <r>
          <rPr>
            <sz val="8"/>
            <color indexed="81"/>
            <rFont val="Segoe UI"/>
            <family val="2"/>
          </rPr>
          <t xml:space="preserve">
1 = Straight-line
2 = Double declining balance
</t>
        </r>
      </text>
    </comment>
    <comment ref="E146" authorId="1">
      <text>
        <r>
          <rPr>
            <b/>
            <sz val="8"/>
            <color indexed="81"/>
            <rFont val="Tahoma"/>
            <family val="2"/>
          </rPr>
          <t>www.excel-financial-model.com:</t>
        </r>
        <r>
          <rPr>
            <sz val="8"/>
            <color indexed="81"/>
            <rFont val="Tahoma"/>
            <family val="2"/>
          </rPr>
          <t xml:space="preserve">
This an important control/alert cell =&gt; Don't change or delete !
</t>
        </r>
      </text>
    </comment>
    <comment ref="E147" authorId="1">
      <text>
        <r>
          <rPr>
            <b/>
            <sz val="8"/>
            <color indexed="81"/>
            <rFont val="Tahoma"/>
            <family val="2"/>
          </rPr>
          <t>www.excel-financial-model.com:</t>
        </r>
        <r>
          <rPr>
            <sz val="8"/>
            <color indexed="81"/>
            <rFont val="Tahoma"/>
            <family val="2"/>
          </rPr>
          <t xml:space="preserve">
This an important control/alert cell =&gt; Don't change or delete !
</t>
        </r>
      </text>
    </comment>
  </commentList>
</comments>
</file>

<file path=xl/comments8.xml><?xml version="1.0" encoding="utf-8"?>
<comments xmlns="http://schemas.openxmlformats.org/spreadsheetml/2006/main">
  <authors>
    <author>www.financial-modelling-videos.de</author>
    <author>Autor</author>
  </authors>
  <commentList>
    <comment ref="C11" authorId="0">
      <text>
        <r>
          <rPr>
            <b/>
            <sz val="8"/>
            <color indexed="81"/>
            <rFont val="Tahoma"/>
            <family val="2"/>
          </rPr>
          <t>www.excel-financial-model.com:</t>
        </r>
        <r>
          <rPr>
            <sz val="8"/>
            <color indexed="81"/>
            <rFont val="Tahoma"/>
            <family val="2"/>
          </rPr>
          <t xml:space="preserve">
net of bad debts
</t>
        </r>
      </text>
    </comment>
    <comment ref="C13" authorId="0">
      <text>
        <r>
          <rPr>
            <b/>
            <sz val="8"/>
            <color indexed="81"/>
            <rFont val="Segoe UI"/>
            <family val="2"/>
          </rPr>
          <t>www.excel-financial-model.com:</t>
        </r>
        <r>
          <rPr>
            <sz val="8"/>
            <color indexed="81"/>
            <rFont val="Segoe UI"/>
            <family val="2"/>
          </rPr>
          <t xml:space="preserve">
excluding capitalised assets 
=&gt; not relevant in terms of liquidity !</t>
        </r>
      </text>
    </comment>
    <comment ref="C17" authorId="0">
      <text>
        <r>
          <rPr>
            <b/>
            <sz val="8"/>
            <color indexed="81"/>
            <rFont val="Tahoma"/>
            <family val="2"/>
          </rPr>
          <t>www.excel-financial-model.com:</t>
        </r>
        <r>
          <rPr>
            <sz val="8"/>
            <color indexed="81"/>
            <rFont val="Tahoma"/>
            <family val="2"/>
          </rPr>
          <t xml:space="preserve">
incl. inventory increase and VAT</t>
        </r>
      </text>
    </comment>
    <comment ref="C19" authorId="0">
      <text>
        <r>
          <rPr>
            <b/>
            <sz val="8"/>
            <color indexed="81"/>
            <rFont val="Tahoma"/>
            <family val="2"/>
          </rPr>
          <t>www.excel-financial-model.com:</t>
        </r>
        <r>
          <rPr>
            <sz val="8"/>
            <color indexed="81"/>
            <rFont val="Tahoma"/>
            <family val="2"/>
          </rPr>
          <t xml:space="preserve">
VAT on non-payroll expenses only
Payroll expenses w/o social insurance &amp; income tax
</t>
        </r>
      </text>
    </comment>
    <comment ref="C20" authorId="0">
      <text>
        <r>
          <rPr>
            <b/>
            <sz val="8"/>
            <color indexed="81"/>
            <rFont val="Tahoma"/>
            <family val="2"/>
          </rPr>
          <t>www.excel-financial-model.com:</t>
        </r>
        <r>
          <rPr>
            <sz val="8"/>
            <color indexed="81"/>
            <rFont val="Tahoma"/>
            <family val="2"/>
          </rPr>
          <t xml:space="preserve">
Without social insurance &amp; income tax
</t>
        </r>
      </text>
    </comment>
    <comment ref="C22" authorId="0">
      <text>
        <r>
          <rPr>
            <b/>
            <sz val="8"/>
            <color indexed="81"/>
            <rFont val="Tahoma"/>
            <family val="2"/>
          </rPr>
          <t>www.excel-financial-model.com:</t>
        </r>
        <r>
          <rPr>
            <sz val="8"/>
            <color indexed="81"/>
            <rFont val="Tahoma"/>
            <family val="2"/>
          </rPr>
          <t xml:space="preserve">
Without formation of accruals, as this is not
affecting liquidity
</t>
        </r>
      </text>
    </comment>
    <comment ref="C28" authorId="1">
      <text>
        <r>
          <rPr>
            <b/>
            <sz val="8"/>
            <color indexed="81"/>
            <rFont val="Tahoma"/>
            <family val="2"/>
          </rPr>
          <t>www.excel-financial-model.com:</t>
        </r>
        <r>
          <rPr>
            <sz val="8"/>
            <color indexed="81"/>
            <rFont val="Tahoma"/>
            <family val="2"/>
          </rPr>
          <t xml:space="preserve">
including current account</t>
        </r>
      </text>
    </comment>
    <comment ref="E48" authorId="1">
      <text>
        <r>
          <rPr>
            <b/>
            <sz val="8"/>
            <color indexed="81"/>
            <rFont val="Tahoma"/>
            <family val="2"/>
          </rPr>
          <t>www.excel-financial-model.com:</t>
        </r>
        <r>
          <rPr>
            <sz val="8"/>
            <color indexed="81"/>
            <rFont val="Tahoma"/>
            <family val="2"/>
          </rPr>
          <t xml:space="preserve">
Interest calculation can be changed 
on sheet "Inputs"
</t>
        </r>
      </text>
    </comment>
    <comment ref="H50" authorId="1">
      <text>
        <r>
          <rPr>
            <b/>
            <sz val="8"/>
            <color indexed="81"/>
            <rFont val="Tahoma"/>
            <family val="2"/>
          </rPr>
          <t>www.excel-financial-model.com:</t>
        </r>
        <r>
          <rPr>
            <sz val="8"/>
            <color indexed="81"/>
            <rFont val="Tahoma"/>
            <family val="2"/>
          </rPr>
          <t xml:space="preserve">
Important control cell =&gt; Don't change or delete!
</t>
        </r>
      </text>
    </comment>
    <comment ref="E53" authorId="1">
      <text>
        <r>
          <rPr>
            <b/>
            <sz val="8"/>
            <color indexed="81"/>
            <rFont val="Tahoma"/>
            <family val="2"/>
          </rPr>
          <t>www.excel-financial-model.com:</t>
        </r>
        <r>
          <rPr>
            <sz val="8"/>
            <color indexed="81"/>
            <rFont val="Tahoma"/>
            <family val="2"/>
          </rPr>
          <t xml:space="preserve">
Interest calculation can be changed 
on sheet "Inputs"
</t>
        </r>
      </text>
    </comment>
    <comment ref="H55" authorId="1">
      <text>
        <r>
          <rPr>
            <b/>
            <sz val="8"/>
            <color indexed="81"/>
            <rFont val="Tahoma"/>
            <family val="2"/>
          </rPr>
          <t>www.excel-financial-model.com:</t>
        </r>
        <r>
          <rPr>
            <sz val="8"/>
            <color indexed="81"/>
            <rFont val="Tahoma"/>
            <family val="2"/>
          </rPr>
          <t xml:space="preserve">
Important control cell =&gt; Don't change or delete!
</t>
        </r>
      </text>
    </comment>
    <comment ref="E58" authorId="1">
      <text>
        <r>
          <rPr>
            <b/>
            <sz val="8"/>
            <color indexed="81"/>
            <rFont val="Tahoma"/>
            <family val="2"/>
          </rPr>
          <t>www.excel-financial-model.com:</t>
        </r>
        <r>
          <rPr>
            <sz val="8"/>
            <color indexed="81"/>
            <rFont val="Tahoma"/>
            <family val="2"/>
          </rPr>
          <t xml:space="preserve">
Interest calculation can be changed 
on sheet "Inputs"
</t>
        </r>
      </text>
    </comment>
    <comment ref="H60" authorId="1">
      <text>
        <r>
          <rPr>
            <b/>
            <sz val="8"/>
            <color indexed="81"/>
            <rFont val="Tahoma"/>
            <family val="2"/>
          </rPr>
          <t>www.excel-financial-model.com:</t>
        </r>
        <r>
          <rPr>
            <sz val="8"/>
            <color indexed="81"/>
            <rFont val="Tahoma"/>
            <family val="2"/>
          </rPr>
          <t xml:space="preserve">
Important control cell =&gt; Don't change or delete!
</t>
        </r>
      </text>
    </comment>
    <comment ref="H77" authorId="1">
      <text>
        <r>
          <rPr>
            <b/>
            <sz val="8"/>
            <color indexed="81"/>
            <rFont val="Tahoma"/>
            <family val="2"/>
          </rPr>
          <t>www.excel-financial-model.com:</t>
        </r>
        <r>
          <rPr>
            <sz val="8"/>
            <color indexed="81"/>
            <rFont val="Tahoma"/>
            <family val="2"/>
          </rPr>
          <t xml:space="preserve">
Important control cell =&gt; Don't change or delete!
</t>
        </r>
      </text>
    </comment>
    <comment ref="C78" authorId="1">
      <text>
        <r>
          <rPr>
            <b/>
            <sz val="8"/>
            <color indexed="81"/>
            <rFont val="Tahoma"/>
            <family val="2"/>
          </rPr>
          <t>www.excel-financial-model.com:</t>
        </r>
        <r>
          <rPr>
            <sz val="8"/>
            <color indexed="81"/>
            <rFont val="Tahoma"/>
            <family val="2"/>
          </rPr>
          <t xml:space="preserve">
Gives a notice in case repayments for loans 2 to 4 have to be financed (partly or wholly) 
by the "expensive" current account.  This is not an error, but from a business perspective
you should try to avoid this, e.g. by postponing or reducing repayments.
</t>
        </r>
      </text>
    </comment>
    <comment ref="H78" authorId="1">
      <text>
        <r>
          <rPr>
            <b/>
            <sz val="8"/>
            <color indexed="81"/>
            <rFont val="Tahoma"/>
            <family val="2"/>
          </rPr>
          <t>www.excel-financial-model.com:</t>
        </r>
        <r>
          <rPr>
            <sz val="8"/>
            <color indexed="81"/>
            <rFont val="Tahoma"/>
            <family val="2"/>
          </rPr>
          <t xml:space="preserve">
Important control cell =&gt; Don't change or delete!</t>
        </r>
      </text>
    </comment>
    <comment ref="H146" authorId="1">
      <text>
        <r>
          <rPr>
            <b/>
            <sz val="8"/>
            <color indexed="81"/>
            <rFont val="Tahoma"/>
            <family val="2"/>
          </rPr>
          <t>www.excel-financial-model.com:</t>
        </r>
        <r>
          <rPr>
            <sz val="8"/>
            <color indexed="81"/>
            <rFont val="Tahoma"/>
            <family val="2"/>
          </rPr>
          <t xml:space="preserve">
Important control cell =&gt; Don't change or delete!
</t>
        </r>
      </text>
    </comment>
  </commentList>
</comments>
</file>

<file path=xl/comments9.xml><?xml version="1.0" encoding="utf-8"?>
<comments xmlns="http://schemas.openxmlformats.org/spreadsheetml/2006/main">
  <authors>
    <author>www.financial-modelling-videos.de</author>
    <author>Autor</author>
  </authors>
  <commentList>
    <comment ref="C38" authorId="0">
      <text>
        <r>
          <rPr>
            <b/>
            <sz val="8"/>
            <color indexed="81"/>
            <rFont val="Segoe UI"/>
            <family val="2"/>
          </rPr>
          <t>www.excel-financial-model.com:</t>
        </r>
        <r>
          <rPr>
            <sz val="8"/>
            <color indexed="81"/>
            <rFont val="Segoe UI"/>
            <family val="2"/>
          </rPr>
          <t xml:space="preserve">
including capitalised assets / own work capitalised</t>
        </r>
      </text>
    </comment>
    <comment ref="C43" authorId="0">
      <text>
        <r>
          <rPr>
            <b/>
            <sz val="8"/>
            <color indexed="81"/>
            <rFont val="Segoe UI"/>
            <family val="2"/>
          </rPr>
          <t>www.excel-financial-model.com:</t>
        </r>
        <r>
          <rPr>
            <sz val="8"/>
            <color indexed="81"/>
            <rFont val="Segoe UI"/>
            <family val="2"/>
          </rPr>
          <t xml:space="preserve">
and similar charges (e.g. financing fees
lease charges etc.)
</t>
        </r>
      </text>
    </comment>
    <comment ref="C45" authorId="0">
      <text>
        <r>
          <rPr>
            <b/>
            <sz val="8"/>
            <color indexed="81"/>
            <rFont val="Segoe UI"/>
            <family val="2"/>
          </rPr>
          <t>www.excel-financial-model.com:</t>
        </r>
        <r>
          <rPr>
            <sz val="8"/>
            <color indexed="81"/>
            <rFont val="Segoe UI"/>
            <family val="2"/>
          </rPr>
          <t xml:space="preserve">
including formation of accruals
</t>
        </r>
      </text>
    </comment>
    <comment ref="C70" authorId="0">
      <text>
        <r>
          <rPr>
            <b/>
            <sz val="8"/>
            <color indexed="81"/>
            <rFont val="Tahoma"/>
            <family val="2"/>
          </rPr>
          <t>www.excel-financial-model.com:</t>
        </r>
        <r>
          <rPr>
            <sz val="8"/>
            <color indexed="81"/>
            <rFont val="Tahoma"/>
            <family val="2"/>
          </rPr>
          <t xml:space="preserve">
incl. inventory increase and VAT</t>
        </r>
      </text>
    </comment>
    <comment ref="C72" authorId="0">
      <text>
        <r>
          <rPr>
            <b/>
            <sz val="8"/>
            <color indexed="81"/>
            <rFont val="Tahoma"/>
            <family val="2"/>
          </rPr>
          <t>www.excel-financial-model.com:</t>
        </r>
        <r>
          <rPr>
            <sz val="8"/>
            <color indexed="81"/>
            <rFont val="Tahoma"/>
            <family val="2"/>
          </rPr>
          <t xml:space="preserve">
VAT on non-payroll expenses only
Payroll expenses w/o social insurance &amp; income tax
</t>
        </r>
      </text>
    </comment>
    <comment ref="C73" authorId="0">
      <text>
        <r>
          <rPr>
            <b/>
            <sz val="8"/>
            <color indexed="81"/>
            <rFont val="Tahoma"/>
            <family val="2"/>
          </rPr>
          <t>www.excel-financial-model.com:</t>
        </r>
        <r>
          <rPr>
            <sz val="8"/>
            <color indexed="81"/>
            <rFont val="Tahoma"/>
            <family val="2"/>
          </rPr>
          <t xml:space="preserve">
Without social insurance &amp; income tax
</t>
        </r>
      </text>
    </comment>
    <comment ref="C81" authorId="1">
      <text>
        <r>
          <rPr>
            <b/>
            <sz val="8"/>
            <color indexed="81"/>
            <rFont val="Tahoma"/>
            <family val="2"/>
          </rPr>
          <t>www.excel-financial-model.com:</t>
        </r>
        <r>
          <rPr>
            <sz val="8"/>
            <color indexed="81"/>
            <rFont val="Tahoma"/>
            <family val="2"/>
          </rPr>
          <t xml:space="preserve">
incl. interest payments on current account !
</t>
        </r>
      </text>
    </comment>
    <comment ref="C82" authorId="1">
      <text>
        <r>
          <rPr>
            <b/>
            <sz val="8"/>
            <color indexed="81"/>
            <rFont val="Tahoma"/>
            <family val="2"/>
          </rPr>
          <t>www.excel-financial-model.com:</t>
        </r>
        <r>
          <rPr>
            <sz val="8"/>
            <color indexed="81"/>
            <rFont val="Tahoma"/>
            <family val="2"/>
          </rPr>
          <t xml:space="preserve">
Upfront + Commitment Fee
</t>
        </r>
      </text>
    </comment>
    <comment ref="C128" authorId="0">
      <text>
        <r>
          <rPr>
            <b/>
            <sz val="8"/>
            <color indexed="81"/>
            <rFont val="Segoe UI"/>
            <family val="2"/>
          </rPr>
          <t>www.excel-financial-model.com:</t>
        </r>
        <r>
          <rPr>
            <sz val="8"/>
            <color indexed="81"/>
            <rFont val="Segoe UI"/>
            <family val="2"/>
          </rPr>
          <t xml:space="preserve">
- Other direct costs
- Overheads
</t>
        </r>
      </text>
    </comment>
    <comment ref="C135" authorId="1">
      <text>
        <r>
          <rPr>
            <b/>
            <sz val="8"/>
            <color indexed="81"/>
            <rFont val="Tahoma"/>
            <family val="2"/>
          </rPr>
          <t>www.excel-financial-model.com:</t>
        </r>
        <r>
          <rPr>
            <sz val="8"/>
            <color indexed="81"/>
            <rFont val="Tahoma"/>
            <family val="2"/>
          </rPr>
          <t xml:space="preserve">
if negative =&gt; reimbursement claim against the tax authority
</t>
        </r>
      </text>
    </comment>
  </commentList>
</comments>
</file>

<file path=xl/sharedStrings.xml><?xml version="1.0" encoding="utf-8"?>
<sst xmlns="http://schemas.openxmlformats.org/spreadsheetml/2006/main" count="2001" uniqueCount="997">
  <si>
    <t>Million</t>
  </si>
  <si>
    <t>▼</t>
  </si>
  <si>
    <t>Name</t>
  </si>
  <si>
    <t>EUR</t>
  </si>
  <si>
    <t>×</t>
  </si>
  <si>
    <t>◄</t>
  </si>
  <si>
    <t>vw</t>
  </si>
  <si>
    <t>tu</t>
  </si>
  <si>
    <t>►</t>
  </si>
  <si>
    <t>Pf_li</t>
  </si>
  <si>
    <t>Pf_re</t>
  </si>
  <si>
    <t>Pf_hor_ja</t>
  </si>
  <si>
    <t>Pf_hor_nein</t>
  </si>
  <si>
    <t>Pf_unt_ja</t>
  </si>
  <si>
    <t>Pf_unt_nein</t>
  </si>
  <si>
    <t>Hyperlink</t>
  </si>
  <si>
    <t>Jan</t>
  </si>
  <si>
    <t>Feb</t>
  </si>
  <si>
    <t>Apr</t>
  </si>
  <si>
    <t>Jun</t>
  </si>
  <si>
    <t>Jul</t>
  </si>
  <si>
    <t>Aug</t>
  </si>
  <si>
    <t>Sep</t>
  </si>
  <si>
    <t>Nov</t>
  </si>
  <si>
    <t>Timing</t>
  </si>
  <si>
    <t>Start</t>
  </si>
  <si>
    <t>%</t>
  </si>
  <si>
    <t>% p.a.</t>
  </si>
  <si>
    <t>1=Yes , 0=No</t>
  </si>
  <si>
    <t>[1,0]</t>
  </si>
  <si>
    <t>% p.m.</t>
  </si>
  <si>
    <t>Index</t>
  </si>
  <si>
    <t>Flag (Standard)</t>
  </si>
  <si>
    <t>1.</t>
  </si>
  <si>
    <t>2.</t>
  </si>
  <si>
    <t>3.</t>
  </si>
  <si>
    <t>Email:</t>
  </si>
  <si>
    <t>4.</t>
  </si>
  <si>
    <t>6.</t>
  </si>
  <si>
    <t>#</t>
  </si>
  <si>
    <t>A</t>
  </si>
  <si>
    <t>I</t>
  </si>
  <si>
    <t>B</t>
  </si>
  <si>
    <t>C</t>
  </si>
  <si>
    <t>N.N.</t>
  </si>
  <si>
    <t>5.</t>
  </si>
  <si>
    <t>Total</t>
  </si>
  <si>
    <t>in %</t>
  </si>
  <si>
    <t>-</t>
  </si>
  <si>
    <t>Maximum</t>
  </si>
  <si>
    <t>ISO 4217 Code</t>
  </si>
  <si>
    <t>Text</t>
  </si>
  <si>
    <t>Delta</t>
  </si>
  <si>
    <t>Working Capital</t>
  </si>
  <si>
    <t>Input</t>
  </si>
  <si>
    <t>External Link</t>
  </si>
  <si>
    <t>Empty Cell</t>
  </si>
  <si>
    <t>Technical Input</t>
  </si>
  <si>
    <t>Name Input</t>
  </si>
  <si>
    <t>Reference OffSheet</t>
  </si>
  <si>
    <t>Reference InSheet</t>
  </si>
  <si>
    <t>Input (permanent)</t>
  </si>
  <si>
    <t xml:space="preserve"> with conditional formatting =&gt; copy required</t>
  </si>
  <si>
    <t>Table Heading</t>
  </si>
  <si>
    <t>Cell Check</t>
  </si>
  <si>
    <t>Cell Clue</t>
  </si>
  <si>
    <t>Cell_OnOff</t>
  </si>
  <si>
    <t>Switch YES-NO  (no cell style)</t>
  </si>
  <si>
    <t>Switch active/inactive  (no cell style)</t>
  </si>
  <si>
    <t>Status Work in Progress</t>
  </si>
  <si>
    <t>WIP</t>
  </si>
  <si>
    <t>Checked</t>
  </si>
  <si>
    <t>to be checked</t>
  </si>
  <si>
    <t>Comment</t>
  </si>
  <si>
    <t>Status Checked</t>
  </si>
  <si>
    <t>Status To be checked</t>
  </si>
  <si>
    <t>Date</t>
  </si>
  <si>
    <t>Ratio</t>
  </si>
  <si>
    <t>Positive</t>
  </si>
  <si>
    <t>Negative</t>
  </si>
  <si>
    <t>Number Standard</t>
  </si>
  <si>
    <t>Number Percent</t>
  </si>
  <si>
    <t>after using this cell style, an additional style can be applied, e.g. Input, InSheet, OffSheet etc.</t>
  </si>
  <si>
    <t>Unit</t>
  </si>
  <si>
    <t>Line Summary</t>
  </si>
  <si>
    <t>Line Closing</t>
  </si>
  <si>
    <t>Line Total</t>
  </si>
  <si>
    <t>Line Subtotal</t>
  </si>
  <si>
    <t>Line Operation</t>
  </si>
  <si>
    <t>Sheet Header 1</t>
  </si>
  <si>
    <t>Sheet Header 2</t>
  </si>
  <si>
    <t>Sheet Header 3</t>
  </si>
  <si>
    <t>Sheet Header</t>
  </si>
  <si>
    <t>Line Formats</t>
  </si>
  <si>
    <t>Header 1</t>
  </si>
  <si>
    <t>Header 4</t>
  </si>
  <si>
    <t>Header 3</t>
  </si>
  <si>
    <t>Header 2</t>
  </si>
  <si>
    <t>Actuals</t>
  </si>
  <si>
    <t>Headline 1</t>
  </si>
  <si>
    <t>Headline 2</t>
  </si>
  <si>
    <t>Headline 3</t>
  </si>
  <si>
    <t>Headline 4</t>
  </si>
  <si>
    <t>Constants</t>
  </si>
  <si>
    <t>Days in Year</t>
  </si>
  <si>
    <t>Months per Year</t>
  </si>
  <si>
    <t>Quarters per Year</t>
  </si>
  <si>
    <t>Months per Quarter</t>
  </si>
  <si>
    <t>Thousand</t>
  </si>
  <si>
    <t>Very Small Number</t>
  </si>
  <si>
    <t>Billion</t>
  </si>
  <si>
    <t>days_yr</t>
  </si>
  <si>
    <t>months_yr</t>
  </si>
  <si>
    <t>quarters_yr</t>
  </si>
  <si>
    <t>mths_quarter</t>
  </si>
  <si>
    <t>Tolerance</t>
  </si>
  <si>
    <t>VerySmallNumber</t>
  </si>
  <si>
    <t>Symbols</t>
  </si>
  <si>
    <t>Error Check</t>
  </si>
  <si>
    <t>Integrity and Error Checks</t>
  </si>
  <si>
    <t>Pass / Fail</t>
  </si>
  <si>
    <t>Result</t>
  </si>
  <si>
    <t>To Control Cell</t>
  </si>
  <si>
    <t>Link to Error Check</t>
  </si>
  <si>
    <t>Set descriptive term for sales or input/output tax</t>
  </si>
  <si>
    <t>VAT</t>
  </si>
  <si>
    <t>Sales Tax</t>
  </si>
  <si>
    <t>VAT / Sales Tax</t>
  </si>
  <si>
    <t>GST</t>
  </si>
  <si>
    <t>VAT - Descriptive Term</t>
  </si>
  <si>
    <t>Rate 1</t>
  </si>
  <si>
    <t>Rate 2</t>
  </si>
  <si>
    <t>Rate 3</t>
  </si>
  <si>
    <t>Selection</t>
  </si>
  <si>
    <t xml:space="preserve"> select "Sales Tax", "GST" for Goods &amp; Services Tax or "VAT" for Value Added Tax</t>
  </si>
  <si>
    <t>Information</t>
  </si>
  <si>
    <t>Select Rate</t>
  </si>
  <si>
    <t>Percentage</t>
  </si>
  <si>
    <t xml:space="preserve">Offset </t>
  </si>
  <si>
    <t xml:space="preserve">   Flag: Month of payment</t>
  </si>
  <si>
    <t>Balance B/f</t>
  </si>
  <si>
    <t>Balance C/f</t>
  </si>
  <si>
    <t>(neg. = recoverable; pos. = payable)</t>
  </si>
  <si>
    <t>(neg. = receivable; pos. = liability)</t>
  </si>
  <si>
    <t>rate applied</t>
  </si>
  <si>
    <t>set all rates (1-3) below to zero if VAT (or other similar taxes) are not applicable</t>
  </si>
  <si>
    <t>Date long</t>
  </si>
  <si>
    <t>Date short</t>
  </si>
  <si>
    <t>Go to table of contents</t>
  </si>
  <si>
    <t>Go to error checks</t>
  </si>
  <si>
    <t>Timing - Master</t>
  </si>
  <si>
    <t>Model Integrity:</t>
  </si>
  <si>
    <t>Period Start</t>
  </si>
  <si>
    <t>Period End</t>
  </si>
  <si>
    <t>Model Life</t>
  </si>
  <si>
    <t>End</t>
  </si>
  <si>
    <t>Flags &amp; Counters</t>
  </si>
  <si>
    <t>Days in Period</t>
  </si>
  <si>
    <t>Calendar Year</t>
  </si>
  <si>
    <t>Calendar Year (Counter)</t>
  </si>
  <si>
    <t>Month since start of financial year</t>
  </si>
  <si>
    <t>Financial Year</t>
  </si>
  <si>
    <t>Financial Year (Counter)</t>
  </si>
  <si>
    <t>Month of model</t>
  </si>
  <si>
    <t>Calendar Years during model life</t>
  </si>
  <si>
    <t>Quarter and Half-year (Calendar Year)</t>
  </si>
  <si>
    <t>Quarter CY</t>
  </si>
  <si>
    <t>Half-year CY</t>
  </si>
  <si>
    <t>Calculation Quarter of FY</t>
  </si>
  <si>
    <t>Quarter (Financial Year)</t>
  </si>
  <si>
    <t>Quarter FY</t>
  </si>
  <si>
    <t>days</t>
  </si>
  <si>
    <t>year</t>
  </si>
  <si>
    <t xml:space="preserve">Financal Year ends in  </t>
  </si>
  <si>
    <t>H = half year</t>
  </si>
  <si>
    <t>Q = quarter</t>
  </si>
  <si>
    <t>Legal form</t>
  </si>
  <si>
    <t>Company name</t>
  </si>
  <si>
    <t>Model name</t>
  </si>
  <si>
    <t>File name</t>
  </si>
  <si>
    <t>Author of model</t>
  </si>
  <si>
    <t>Last update</t>
  </si>
  <si>
    <t>British English (UK-Terminology)</t>
  </si>
  <si>
    <t>American English (US-Terminology)</t>
  </si>
  <si>
    <t>Language/Terminology</t>
  </si>
  <si>
    <t>Switch</t>
  </si>
  <si>
    <t>Periodicity</t>
  </si>
  <si>
    <t>Language/Terminology (US vs. UK)</t>
  </si>
  <si>
    <t>Month</t>
  </si>
  <si>
    <t>Months</t>
  </si>
  <si>
    <t>Mar</t>
  </si>
  <si>
    <t>May</t>
  </si>
  <si>
    <t>Oct</t>
  </si>
  <si>
    <t>Dec</t>
  </si>
  <si>
    <t>Monthly</t>
  </si>
  <si>
    <t>Quarterly</t>
  </si>
  <si>
    <t>Semi-annual</t>
  </si>
  <si>
    <t>Annual</t>
  </si>
  <si>
    <t>1 or 1.000</t>
  </si>
  <si>
    <t>Resulting currency label</t>
  </si>
  <si>
    <t>Currency unit (select denomination)</t>
  </si>
  <si>
    <t>Default currency code or symbol</t>
  </si>
  <si>
    <t xml:space="preserve"> max of 3 characters</t>
  </si>
  <si>
    <t>Title for Product/Service Categories</t>
  </si>
  <si>
    <t>Assumptions: Products and Services</t>
  </si>
  <si>
    <t>% sales</t>
  </si>
  <si>
    <t>Bad debts (as % sales)</t>
  </si>
  <si>
    <t>All assumption values should be entered net of input/output taxes (sales taxes, GST, VAT etc.)</t>
  </si>
  <si>
    <t>Units</t>
  </si>
  <si>
    <t>Sales quantity</t>
  </si>
  <si>
    <t>Net selling price (per sales unit)</t>
  </si>
  <si>
    <t>Method: Price x Quantity</t>
  </si>
  <si>
    <t xml:space="preserve">   Sales Subtotal 2</t>
  </si>
  <si>
    <t xml:space="preserve">   Sales Subtotal 1</t>
  </si>
  <si>
    <t>Sales</t>
  </si>
  <si>
    <t>Method: Manual, Direct Input</t>
  </si>
  <si>
    <t xml:space="preserve">Check </t>
  </si>
  <si>
    <t>Same Month</t>
  </si>
  <si>
    <t>1M later</t>
  </si>
  <si>
    <t>2M later</t>
  </si>
  <si>
    <t>3M later</t>
  </si>
  <si>
    <t>Description  (used throughout the model)</t>
  </si>
  <si>
    <t xml:space="preserve"> =&gt; Total for each row must equal  100%</t>
  </si>
  <si>
    <t>Total Sales</t>
  </si>
  <si>
    <t xml:space="preserve">   Total Sales</t>
  </si>
  <si>
    <t>Sales Assumptions</t>
  </si>
  <si>
    <t>Flag: Month of model &gt; 1M</t>
  </si>
  <si>
    <t>Flag: Month of model &gt; 2M</t>
  </si>
  <si>
    <t>Flag: Month of model &gt; 3M</t>
  </si>
  <si>
    <t>Cash receipts</t>
  </si>
  <si>
    <t>Sales (net of bad debts)</t>
  </si>
  <si>
    <t>Bad debts</t>
  </si>
  <si>
    <t>Payable</t>
  </si>
  <si>
    <t xml:space="preserve">Opening BS </t>
  </si>
  <si>
    <t>Method: Costs x Quantity</t>
  </si>
  <si>
    <t>Quantities derive from method 2 on sheet sales</t>
  </si>
  <si>
    <t>Cost of Materials/Goods Subtotal 2</t>
  </si>
  <si>
    <t>Cost of Materials/Goods Subtotal 1</t>
  </si>
  <si>
    <t>Cost of materials/goods as percentage of total sales =&gt;</t>
  </si>
  <si>
    <t>Method: Percentage of Total Sales</t>
  </si>
  <si>
    <t>Cost of Materials/Goods Subtotal 3</t>
  </si>
  <si>
    <t>Other Assumptions</t>
  </si>
  <si>
    <t>Product/Service</t>
  </si>
  <si>
    <t>Percent Distribution</t>
  </si>
  <si>
    <t>Credit Periods</t>
  </si>
  <si>
    <t>Subject to input taxes</t>
  </si>
  <si>
    <t>Cost of Materials/Packaging or Goods required</t>
  </si>
  <si>
    <t>Input tax on capital expenditure =&gt; individual assumptions on sheet Capex</t>
  </si>
  <si>
    <t>Input tax on cost of materials/packaging &amp; goods</t>
  </si>
  <si>
    <t>Resulting changes in inventory</t>
  </si>
  <si>
    <t>BS Account: Inventory / Stock (manufacturing &amp; merchandise)</t>
  </si>
  <si>
    <t>Increase / (Decrease)</t>
  </si>
  <si>
    <t xml:space="preserve">Active ? =&gt; </t>
  </si>
  <si>
    <t>Inventory target</t>
  </si>
  <si>
    <t>Target Stock / Change in Inventory</t>
  </si>
  <si>
    <t>% of net sales</t>
  </si>
  <si>
    <t>Cost of Materials/Packaging or Goods required and Inventory</t>
  </si>
  <si>
    <t>Interest rate cash on bank</t>
  </si>
  <si>
    <t>% per month</t>
  </si>
  <si>
    <t>Interest Receipts</t>
  </si>
  <si>
    <t>Management &amp; Administration Staff</t>
  </si>
  <si>
    <t>Operational Staff</t>
  </si>
  <si>
    <t>Wages &amp; Salaries</t>
  </si>
  <si>
    <t>Human Resources</t>
  </si>
  <si>
    <t>Annual Raise</t>
  </si>
  <si>
    <t>Base Salary p.a.</t>
  </si>
  <si>
    <t>Variable descriptions (input cells) can be changed</t>
  </si>
  <si>
    <t>Other Staff Costs</t>
  </si>
  <si>
    <t>% of base salary</t>
  </si>
  <si>
    <t>Income taxes &amp; social insurances</t>
  </si>
  <si>
    <t>Social security contributions and taxes</t>
  </si>
  <si>
    <t xml:space="preserve"> =&gt; can be turned on/off for each staff member (on sheet human resources)</t>
  </si>
  <si>
    <t>Recruiting Costs (one-time upon hiring)</t>
  </si>
  <si>
    <t>Travel &amp; Entertainment Costs</t>
  </si>
  <si>
    <t>Bonus at Plan Performance</t>
  </si>
  <si>
    <t>Communications Services</t>
  </si>
  <si>
    <t>Training Costs</t>
  </si>
  <si>
    <t>Spare</t>
  </si>
  <si>
    <t>SSC</t>
  </si>
  <si>
    <t>The variable descriptions can be changed on sheet Inputs</t>
  </si>
  <si>
    <t xml:space="preserve">     Subtotal</t>
  </si>
  <si>
    <t>Headcount</t>
  </si>
  <si>
    <t xml:space="preserve">Division =&gt; </t>
  </si>
  <si>
    <t>SCC</t>
  </si>
  <si>
    <t>per FTE</t>
  </si>
  <si>
    <t>per FTE/month</t>
  </si>
  <si>
    <t>Total Other Staff Costs</t>
  </si>
  <si>
    <t>Total Social security contributions &amp; taxes</t>
  </si>
  <si>
    <t>Total Wages &amp; Salaries</t>
  </si>
  <si>
    <t>Total Headcount</t>
  </si>
  <si>
    <t xml:space="preserve">   Development of headcount month to month</t>
  </si>
  <si>
    <t>No further inputs on this sheet below this section !</t>
  </si>
  <si>
    <t>Revenue share expense</t>
  </si>
  <si>
    <t>Shipping &amp; postage expense</t>
  </si>
  <si>
    <t xml:space="preserve"> % of base salary</t>
  </si>
  <si>
    <t>Revenue Share</t>
  </si>
  <si>
    <t>Bad Debts</t>
  </si>
  <si>
    <t>Input/output Taxes (sales taxes, GST, VAT etc.)</t>
  </si>
  <si>
    <t>Based on payment profile debtors</t>
  </si>
  <si>
    <t>BS Account: Accrued revenue share</t>
  </si>
  <si>
    <t xml:space="preserve">   Total cash out revenue share</t>
  </si>
  <si>
    <t>Revenue share (cash out)</t>
  </si>
  <si>
    <t>Rev. Share</t>
  </si>
  <si>
    <t xml:space="preserve"> % of net sales</t>
  </si>
  <si>
    <t>Consumables 01</t>
  </si>
  <si>
    <t>Consumables 02</t>
  </si>
  <si>
    <t>Consumables 03</t>
  </si>
  <si>
    <t>Consumables 04</t>
  </si>
  <si>
    <t>Third-party services</t>
  </si>
  <si>
    <t>Energy costs (of production &amp; manufacturing)</t>
  </si>
  <si>
    <t>Subcontract 01</t>
  </si>
  <si>
    <t>Gas</t>
  </si>
  <si>
    <t>Oil</t>
  </si>
  <si>
    <t>Other</t>
  </si>
  <si>
    <t>Total Other Direct Costs</t>
  </si>
  <si>
    <t>to be planned on sheet Costs 02</t>
  </si>
  <si>
    <t>see sheet Costs 02</t>
  </si>
  <si>
    <t xml:space="preserve">     Subtotal all products &amp; services</t>
  </si>
  <si>
    <t>Licence fees</t>
  </si>
  <si>
    <t xml:space="preserve">  from Human Resources =&gt;</t>
  </si>
  <si>
    <t xml:space="preserve">Repairs and maintenance </t>
  </si>
  <si>
    <t>Power</t>
  </si>
  <si>
    <t>Heat and light</t>
  </si>
  <si>
    <t>Cleaning</t>
  </si>
  <si>
    <t>Miscellaneous 01</t>
  </si>
  <si>
    <t>Miscellaneous 03</t>
  </si>
  <si>
    <t>Miscellaneous 02</t>
  </si>
  <si>
    <t>Rent and rates</t>
  </si>
  <si>
    <t>Professional fees (Legal, Tax, Audit etc.)</t>
  </si>
  <si>
    <t>Insurances  / charges / contributions</t>
  </si>
  <si>
    <t>Additional property expenses (Heat, Light etc.)</t>
  </si>
  <si>
    <t>Travel &amp; Entertainment</t>
  </si>
  <si>
    <t>Communication (Internet, Phone, Mobile etc.)</t>
  </si>
  <si>
    <t>Establishment (Start-up costs)</t>
  </si>
  <si>
    <t>Miscellaneous 04</t>
  </si>
  <si>
    <t>Consultancy</t>
  </si>
  <si>
    <t>Materials</t>
  </si>
  <si>
    <t>Design, construction &amp; testing of prototypes</t>
  </si>
  <si>
    <t>Patents &amp; Trademarks</t>
  </si>
  <si>
    <t>Selling expenses/commission</t>
  </si>
  <si>
    <t>Public relations, exhibitions</t>
  </si>
  <si>
    <t>Travel expenses</t>
  </si>
  <si>
    <t>Promotional materials (advertising, brochures etc.)</t>
  </si>
  <si>
    <t>Marketing campaign / Promotion 01</t>
  </si>
  <si>
    <t>Marketing campaign / Promotion 02</t>
  </si>
  <si>
    <t>Research &amp; Development</t>
  </si>
  <si>
    <t xml:space="preserve">   Total cash out overheads (w/o payroll expenses)</t>
  </si>
  <si>
    <t>Summary</t>
  </si>
  <si>
    <t>Integrated Financial Statements (monthly)</t>
  </si>
  <si>
    <t>Cost of Sales</t>
  </si>
  <si>
    <t xml:space="preserve">  -  Materials/packaging/goods</t>
  </si>
  <si>
    <t xml:space="preserve">  -  Other direct costs</t>
  </si>
  <si>
    <t>Operating Expenses (Overheads)</t>
  </si>
  <si>
    <t xml:space="preserve">  -  Sales, Marketing &amp; Distribution</t>
  </si>
  <si>
    <t xml:space="preserve">  -  Operational</t>
  </si>
  <si>
    <t xml:space="preserve">  -  Management &amp; Administration</t>
  </si>
  <si>
    <t xml:space="preserve">  -  General &amp; Miscellaneous</t>
  </si>
  <si>
    <t>Gross Profit</t>
  </si>
  <si>
    <t xml:space="preserve">   Gross profit margin (in %)</t>
  </si>
  <si>
    <t>Trading Profit</t>
  </si>
  <si>
    <t>Operating Profit</t>
  </si>
  <si>
    <t>Net Profit before Tax</t>
  </si>
  <si>
    <t>Other operating income</t>
  </si>
  <si>
    <t>Interest receivable</t>
  </si>
  <si>
    <t>Extraordinary expenses</t>
  </si>
  <si>
    <t>Extraordinary income</t>
  </si>
  <si>
    <t xml:space="preserve">   cumulated</t>
  </si>
  <si>
    <t xml:space="preserve">     Total Overheads</t>
  </si>
  <si>
    <t xml:space="preserve">   Total Cost of Materials/Goods</t>
  </si>
  <si>
    <t>Revenue share</t>
  </si>
  <si>
    <t>BS Account: Sundry Creditors (overheads)</t>
  </si>
  <si>
    <t>Input tax on all other non-payroll expenses (other operat. exp., overheads etc.)</t>
  </si>
  <si>
    <t>=&gt; Social insurances &amp; income taxes</t>
  </si>
  <si>
    <t>Financing</t>
  </si>
  <si>
    <t>Taxes</t>
  </si>
  <si>
    <t>output tax</t>
  </si>
  <si>
    <t>input tax</t>
  </si>
  <si>
    <t>Input/output tax payable</t>
  </si>
  <si>
    <t>Zero Rate</t>
  </si>
  <si>
    <t>Cash Inflows</t>
  </si>
  <si>
    <t>Cash Outflows</t>
  </si>
  <si>
    <t>Other operating &amp; extraordinary income</t>
  </si>
  <si>
    <t>Interest received on cash deposits</t>
  </si>
  <si>
    <t>Fixed asset disposals (intangible &amp; tangible assets)</t>
  </si>
  <si>
    <t>Financing fees (Debt 1-4)</t>
  </si>
  <si>
    <t>Cash C/f</t>
  </si>
  <si>
    <t>Repayment debt facilities (existent at model start)</t>
  </si>
  <si>
    <t>Interest paid (debt facilities existent at model start)</t>
  </si>
  <si>
    <t>Cash Flow (Direct)</t>
  </si>
  <si>
    <t>Net Cash Flow</t>
  </si>
  <si>
    <t>Dividend payments</t>
  </si>
  <si>
    <t>Change in Cash and Cash Balance</t>
  </si>
  <si>
    <t>Check: Cash always ≥ 0</t>
  </si>
  <si>
    <t xml:space="preserve">   Total Financing</t>
  </si>
  <si>
    <t>Debt Facilities (at model start)</t>
  </si>
  <si>
    <t>Debt</t>
  </si>
  <si>
    <t>Equity</t>
  </si>
  <si>
    <t>pos. = draw down; neg. = repayment</t>
  </si>
  <si>
    <t>Opening B.</t>
  </si>
  <si>
    <t>Balance Sheet</t>
  </si>
  <si>
    <t>Cash at bank</t>
  </si>
  <si>
    <t>Intangible Assets</t>
  </si>
  <si>
    <t>Tangible Assets</t>
  </si>
  <si>
    <t>Overdraft facility</t>
  </si>
  <si>
    <t>Sundry Creditors</t>
  </si>
  <si>
    <r>
      <t>(Material/Packaging &amp; Goods)</t>
    </r>
    <r>
      <rPr>
        <sz val="11"/>
        <rFont val="Arial"/>
        <family val="2"/>
      </rPr>
      <t xml:space="preserve"> incl. inventory changes</t>
    </r>
  </si>
  <si>
    <t>Total cost of Materials/Goods (incl. inventory changes)</t>
  </si>
  <si>
    <t>NET ASSETS</t>
  </si>
  <si>
    <t>Long-term Liabilities</t>
  </si>
  <si>
    <t>Total Current Assets</t>
  </si>
  <si>
    <t>Total Current Liabilities</t>
  </si>
  <si>
    <t>Total assets less current liabilities</t>
  </si>
  <si>
    <t>Net current assets</t>
  </si>
  <si>
    <t>Retained Earnings / (loss carried forward)</t>
  </si>
  <si>
    <t>Shareholders Equity</t>
  </si>
  <si>
    <t xml:space="preserve">   Check 1</t>
  </si>
  <si>
    <t xml:space="preserve">   Check 2</t>
  </si>
  <si>
    <t>Phasing out of opening balance sheet items</t>
  </si>
  <si>
    <t>Interest payable</t>
  </si>
  <si>
    <t>Accrued revenue share</t>
  </si>
  <si>
    <t>Delta: Payments vs. Payable</t>
  </si>
  <si>
    <t>Model Timing</t>
  </si>
  <si>
    <t>Balance Sheet Items</t>
  </si>
  <si>
    <t>Changes in Accruals &amp; BS Account</t>
  </si>
  <si>
    <t>Check: Decrease &lt;= Existing Accruals?</t>
  </si>
  <si>
    <t>Accruals</t>
  </si>
  <si>
    <t>Changes in advances received</t>
  </si>
  <si>
    <t>Changes in advance payments</t>
  </si>
  <si>
    <t>Changes in Advances Received &amp; BS Account</t>
  </si>
  <si>
    <t>Changes in Advance Payments &amp; BS Account</t>
  </si>
  <si>
    <t xml:space="preserve">  Increase</t>
  </si>
  <si>
    <t xml:space="preserve">  Decrease</t>
  </si>
  <si>
    <t>Check: Decrease &lt;= Existing Advance Payments?</t>
  </si>
  <si>
    <t>Check: Decrease &lt;= Existing Advances Received?</t>
  </si>
  <si>
    <t>Note: increase = cash inflow</t>
  </si>
  <si>
    <t>Note: increase = cash outflow</t>
  </si>
  <si>
    <t>Repayment ≤ Debt Facility ?</t>
  </si>
  <si>
    <t>Opening Value</t>
  </si>
  <si>
    <t>Opening Balance (optional)</t>
  </si>
  <si>
    <t>D</t>
  </si>
  <si>
    <t>E</t>
  </si>
  <si>
    <t>F</t>
  </si>
  <si>
    <t>Capital Expenditure</t>
  </si>
  <si>
    <t>Asset 01</t>
  </si>
  <si>
    <t>Asset 02</t>
  </si>
  <si>
    <t>Asset 03</t>
  </si>
  <si>
    <t>Asset 04</t>
  </si>
  <si>
    <t>Asset 05</t>
  </si>
  <si>
    <t>1. Total (w/o leasing)</t>
  </si>
  <si>
    <t>Cost or Value</t>
  </si>
  <si>
    <t>Useful life</t>
  </si>
  <si>
    <t xml:space="preserve">Depr. Method </t>
  </si>
  <si>
    <t>3. Purchases financed by leasing</t>
  </si>
  <si>
    <t>Lease charges (interest)</t>
  </si>
  <si>
    <t>Lease payments</t>
  </si>
  <si>
    <t>Proceeds</t>
  </si>
  <si>
    <t>Costs</t>
  </si>
  <si>
    <t>Fixed Assets - Capex, Company Produced Assets, Leasing, Disposals</t>
  </si>
  <si>
    <t>Increase (purchases + leasing + company prod. additions)</t>
  </si>
  <si>
    <t>II</t>
  </si>
  <si>
    <t>Land and Buildings</t>
  </si>
  <si>
    <t xml:space="preserve">Subject to input taxes </t>
  </si>
  <si>
    <t xml:space="preserve">Rate =&gt; </t>
  </si>
  <si>
    <t>Depreciation per period</t>
  </si>
  <si>
    <t>Accumulated depreciation</t>
  </si>
  <si>
    <t>Accumulated depreciation (of assets sold)</t>
  </si>
  <si>
    <t>Plant &amp; Machinery</t>
  </si>
  <si>
    <t>Vehicles</t>
  </si>
  <si>
    <t>BS Account: Tangible Assets</t>
  </si>
  <si>
    <t>Asset class 2: Description</t>
  </si>
  <si>
    <t>Asset class 1: Description</t>
  </si>
  <si>
    <t>Asset class 3: Description</t>
  </si>
  <si>
    <t>III</t>
  </si>
  <si>
    <t>Decrease (depreciation + disposals)</t>
  </si>
  <si>
    <t>Capital expenditure (excl. Leasing)</t>
  </si>
  <si>
    <t>Purchases financed by leasing</t>
  </si>
  <si>
    <t>Capex and D&amp;A</t>
  </si>
  <si>
    <t>Finance Lease</t>
  </si>
  <si>
    <t>Accumulated D&amp;A (of assets sold)</t>
  </si>
  <si>
    <t>Current Assets</t>
  </si>
  <si>
    <t xml:space="preserve"> =&gt; Variable descriptions for tangible asset class can be changed on sheet Capex</t>
  </si>
  <si>
    <t xml:space="preserve">      Notes:</t>
  </si>
  <si>
    <t>IV</t>
  </si>
  <si>
    <t>Total:</t>
  </si>
  <si>
    <t xml:space="preserve"> =&gt; detailed input by product/service on the right =&gt;</t>
  </si>
  <si>
    <t>Current Liabilities</t>
  </si>
  <si>
    <t>Net Assets</t>
  </si>
  <si>
    <t>Finance lease capital payments</t>
  </si>
  <si>
    <t>Finance lease charges paid</t>
  </si>
  <si>
    <t>Finance lease obligations</t>
  </si>
  <si>
    <t>BS Account: Finance lease obligations</t>
  </si>
  <si>
    <t>Increase</t>
  </si>
  <si>
    <t>Decrease</t>
  </si>
  <si>
    <t>Profit/loss sale of fixed assets</t>
  </si>
  <si>
    <t>Company produced additions</t>
  </si>
  <si>
    <t>Capitalised assets</t>
  </si>
  <si>
    <t>Interest p.a.</t>
  </si>
  <si>
    <t>Interest p.m.</t>
  </si>
  <si>
    <t>via link</t>
  </si>
  <si>
    <t>Summary: Total Cost of Materials/Goods</t>
  </si>
  <si>
    <t>[0;1]</t>
  </si>
  <si>
    <t xml:space="preserve"> Phasing out period</t>
  </si>
  <si>
    <t>Tax Calculation (annual basis)</t>
  </si>
  <si>
    <t>Earnings before Tax (EBT)</t>
  </si>
  <si>
    <t>Tax loss carryforward</t>
  </si>
  <si>
    <t>Change</t>
  </si>
  <si>
    <t xml:space="preserve">loss carryforward at model start </t>
  </si>
  <si>
    <t>Earnings after accounting for loss carryforward</t>
  </si>
  <si>
    <t>Distribution over the year</t>
  </si>
  <si>
    <t>Tax payments =&gt; Cashflow</t>
  </si>
  <si>
    <t>Amount of advance payment per payment period</t>
  </si>
  <si>
    <t>Advanced payments</t>
  </si>
  <si>
    <t>Flag Advanced payments periods</t>
  </si>
  <si>
    <t>Flag payment period for previous year</t>
  </si>
  <si>
    <t>Tax for previous year</t>
  </si>
  <si>
    <t>Total advanced payments</t>
  </si>
  <si>
    <t>Supplementary payment / (Refunding)</t>
  </si>
  <si>
    <t xml:space="preserve">in Month </t>
  </si>
  <si>
    <t>Tax payment in following year</t>
  </si>
  <si>
    <t>Tax payable  =&gt; P&amp;L</t>
  </si>
  <si>
    <t>Tax payable during the year (P&amp;L)</t>
  </si>
  <si>
    <t>(equal monthly distribution)</t>
  </si>
  <si>
    <t>Tax payable</t>
  </si>
  <si>
    <t xml:space="preserve">    Payable after model end</t>
  </si>
  <si>
    <t>(if positive =&gt; refunding)</t>
  </si>
  <si>
    <t>Tax rate</t>
  </si>
  <si>
    <t>Tax loss carryforward at model start</t>
  </si>
  <si>
    <t>Tax payment for previous year</t>
  </si>
  <si>
    <t>Prepayment dates (quarterly)</t>
  </si>
  <si>
    <t>Advance tax payments</t>
  </si>
  <si>
    <t>Tax payable (automat. calculation)</t>
  </si>
  <si>
    <t>Tax advances (prepayments)</t>
  </si>
  <si>
    <t xml:space="preserve"> inputs only in these cells</t>
  </si>
  <si>
    <t>Names and Information</t>
  </si>
  <si>
    <t>Timing and Financial Year</t>
  </si>
  <si>
    <t>General Model Assumptions</t>
  </si>
  <si>
    <t xml:space="preserve">      Run this macro to delete all input data !</t>
  </si>
  <si>
    <t>Start Date</t>
  </si>
  <si>
    <t>End Date</t>
  </si>
  <si>
    <t>Inputs Financial Year</t>
  </si>
  <si>
    <t>Last month of financial year</t>
  </si>
  <si>
    <t>1st financial year in overview</t>
  </si>
  <si>
    <t>Short financial year?</t>
  </si>
  <si>
    <t>until</t>
  </si>
  <si>
    <t>Additional yrs</t>
  </si>
  <si>
    <t xml:space="preserve"> =&gt;  negative inputs for any loss carried forward !</t>
  </si>
  <si>
    <t xml:space="preserve"> =&gt; cash-in at 1st month ? </t>
  </si>
  <si>
    <t>Initial equity</t>
  </si>
  <si>
    <t>Additional equity</t>
  </si>
  <si>
    <t>Debt 1</t>
  </si>
  <si>
    <t>Debt 2</t>
  </si>
  <si>
    <t>Manual input of interest ?</t>
  </si>
  <si>
    <t>Facility description</t>
  </si>
  <si>
    <t>Interest (in case automatic calculation is selected)</t>
  </si>
  <si>
    <t>Debt 4</t>
  </si>
  <si>
    <t>Debt 3</t>
  </si>
  <si>
    <t>Current account (max. overdraft)</t>
  </si>
  <si>
    <t xml:space="preserve">   Check current account with starting balance</t>
  </si>
  <si>
    <t>Overdraft Facility / Current Account (automatic)</t>
  </si>
  <si>
    <t xml:space="preserve">Actual max. drawdown  </t>
  </si>
  <si>
    <t>Check</t>
  </si>
  <si>
    <t>% per quarter</t>
  </si>
  <si>
    <t>semi-automatic</t>
  </si>
  <si>
    <t>Manual input of drawdowns and repayments necessary, interest may be calculated automatic (if selected)</t>
  </si>
  <si>
    <t>automatic</t>
  </si>
  <si>
    <t>Annuity with quarterly interest and principal repayment</t>
  </si>
  <si>
    <t>Include this automatic debt facility ?</t>
  </si>
  <si>
    <t>Applied</t>
  </si>
  <si>
    <t>Maximum debt (limit)</t>
  </si>
  <si>
    <t>Drawdown Period</t>
  </si>
  <si>
    <t>End of drawdown period</t>
  </si>
  <si>
    <t>Tenor (after drawdown period)</t>
  </si>
  <si>
    <t>Grace period</t>
  </si>
  <si>
    <t>Start repayment</t>
  </si>
  <si>
    <t>Final maturity date</t>
  </si>
  <si>
    <t>Total no of repayments (quarterly)</t>
  </si>
  <si>
    <t>Years</t>
  </si>
  <si>
    <t>Months after start date</t>
  </si>
  <si>
    <t>Interest</t>
  </si>
  <si>
    <t>Upfront Fee</t>
  </si>
  <si>
    <t>Commitment Fee</t>
  </si>
  <si>
    <t>% of facility</t>
  </si>
  <si>
    <t>(cash outflows = negative numbers)</t>
  </si>
  <si>
    <t>1. Cash before Funding</t>
  </si>
  <si>
    <t>Cash before funding</t>
  </si>
  <si>
    <t>2. Financing</t>
  </si>
  <si>
    <t>To be funded</t>
  </si>
  <si>
    <t>Funding Waterfall</t>
  </si>
  <si>
    <t>1st tranche completely in first month ?</t>
  </si>
  <si>
    <t>Additional Tranche</t>
  </si>
  <si>
    <t xml:space="preserve">   Subtotal</t>
  </si>
  <si>
    <t>Cash before current account</t>
  </si>
  <si>
    <t>Amount still available</t>
  </si>
  <si>
    <t>Reduction</t>
  </si>
  <si>
    <t xml:space="preserve">   Drawdowns</t>
  </si>
  <si>
    <t xml:space="preserve">   Repayment</t>
  </si>
  <si>
    <t>Int. manually?</t>
  </si>
  <si>
    <t xml:space="preserve"> per month</t>
  </si>
  <si>
    <t>3. Cash after Funding</t>
  </si>
  <si>
    <t>Cash after funding</t>
  </si>
  <si>
    <t>Dividends</t>
  </si>
  <si>
    <t xml:space="preserve">   Check: Sufficient funding ?</t>
  </si>
  <si>
    <t>Balance Sheet Accounts</t>
  </si>
  <si>
    <t>Used for funding</t>
  </si>
  <si>
    <t>(automatic debt)</t>
  </si>
  <si>
    <t xml:space="preserve">End </t>
  </si>
  <si>
    <t xml:space="preserve">Start </t>
  </si>
  <si>
    <t>Flag: Drawdown Period</t>
  </si>
  <si>
    <t>Tenor</t>
  </si>
  <si>
    <t>Counter: Tenor month</t>
  </si>
  <si>
    <t>Grace Period</t>
  </si>
  <si>
    <t>Repayment Period</t>
  </si>
  <si>
    <t>Payment Flag (Principal + Interest)</t>
  </si>
  <si>
    <t>Remaining Periods</t>
  </si>
  <si>
    <t xml:space="preserve">1st repayment </t>
  </si>
  <si>
    <t xml:space="preserve"> Total no of repayments</t>
  </si>
  <si>
    <t>Drawdown</t>
  </si>
  <si>
    <t>Principal Repayment</t>
  </si>
  <si>
    <t xml:space="preserve"> per quarter</t>
  </si>
  <si>
    <t>Interest during grace period (quarterly)</t>
  </si>
  <si>
    <t>Interest during repayment period (quarterly)</t>
  </si>
  <si>
    <t>Total Interest</t>
  </si>
  <si>
    <t>Annuity (Principal + Interest)</t>
  </si>
  <si>
    <t>Interest (automat. calculation)</t>
  </si>
  <si>
    <t>Interest (manual input)</t>
  </si>
  <si>
    <t>Interest applied</t>
  </si>
  <si>
    <t>Financing Fees</t>
  </si>
  <si>
    <t>Total pricipal payments (for summary)</t>
  </si>
  <si>
    <t>Balance Sheet (monthly on IFS)</t>
  </si>
  <si>
    <t>Balance Sheet (Summary 04)</t>
  </si>
  <si>
    <t>Balance Sheet (Summary 01)</t>
  </si>
  <si>
    <t>Balance Sheet (Opening Balance)</t>
  </si>
  <si>
    <t>Sources = Uses</t>
  </si>
  <si>
    <r>
      <t xml:space="preserve">Cash always </t>
    </r>
    <r>
      <rPr>
        <sz val="10"/>
        <rFont val="Calibri"/>
        <family val="2"/>
      </rPr>
      <t>≥</t>
    </r>
    <r>
      <rPr>
        <sz val="10"/>
        <rFont val="Arial"/>
        <family val="2"/>
      </rPr>
      <t xml:space="preserve"> 0</t>
    </r>
  </si>
  <si>
    <t>Aggregation Cashflow (Summary 03)</t>
  </si>
  <si>
    <t>Aggregation Balance Sheet (Summary 04)</t>
  </si>
  <si>
    <t>Aggregation Cashflow (Summary 01)</t>
  </si>
  <si>
    <t>Cash flow available for equity (CFADS)</t>
  </si>
  <si>
    <t>Financial Month</t>
  </si>
  <si>
    <t>Retained Earnings B/f</t>
  </si>
  <si>
    <t>Retained Earnings C/f</t>
  </si>
  <si>
    <t>Cash after dividend payout</t>
  </si>
  <si>
    <t xml:space="preserve">  Cash B/f</t>
  </si>
  <si>
    <t xml:space="preserve">  Cash C/f</t>
  </si>
  <si>
    <t>Check accruals: Decrease &lt;= Existing Accruals?</t>
  </si>
  <si>
    <t>Check advances received: Decrease &lt;= Existing advances received?</t>
  </si>
  <si>
    <t>Check advance payments: Decrease &lt;= Existing advance payments?</t>
  </si>
  <si>
    <t>Control</t>
  </si>
  <si>
    <r>
      <rPr>
        <b/>
        <sz val="10"/>
        <rFont val="Arial"/>
        <family val="2"/>
      </rPr>
      <t>Master Check:</t>
    </r>
    <r>
      <rPr>
        <sz val="10"/>
        <rFont val="Arial"/>
        <family val="2"/>
      </rPr>
      <t xml:space="preserve"> Inputs for sale of assets OK ?</t>
    </r>
  </si>
  <si>
    <t>Master Check: Inputs for sale of assets OK ?</t>
  </si>
  <si>
    <t xml:space="preserve">  Net Profit (after dividend payout)</t>
  </si>
  <si>
    <t>BS Account: Retained Earnings</t>
  </si>
  <si>
    <t xml:space="preserve">   Total Cash Outflows</t>
  </si>
  <si>
    <t xml:space="preserve">   Total Cash Inflows</t>
  </si>
  <si>
    <t xml:space="preserve">   Check opening balance =&gt;  </t>
  </si>
  <si>
    <t>EBITDA</t>
  </si>
  <si>
    <t>Op Bal</t>
  </si>
  <si>
    <t xml:space="preserve">Period Start </t>
  </si>
  <si>
    <t xml:space="preserve">Period End </t>
  </si>
  <si>
    <t>Inventory / Stock (manufacturing &amp; merchandise)</t>
  </si>
  <si>
    <t>Advance payments</t>
  </si>
  <si>
    <t>Positive Working Capital</t>
  </si>
  <si>
    <t>Negative Working Capital</t>
  </si>
  <si>
    <t>Net Working Capital</t>
  </si>
  <si>
    <t>Advances received</t>
  </si>
  <si>
    <t>Company:</t>
  </si>
  <si>
    <t>Model Name:</t>
  </si>
  <si>
    <t>File Name:</t>
  </si>
  <si>
    <t>Last updated:</t>
  </si>
  <si>
    <t xml:space="preserve">   Total Funding</t>
  </si>
  <si>
    <t>2. Debt</t>
  </si>
  <si>
    <t>1. Equity</t>
  </si>
  <si>
    <t>Sources of Funds</t>
  </si>
  <si>
    <t>Capital Requirement and Funding</t>
  </si>
  <si>
    <t>Funding Structure</t>
  </si>
  <si>
    <t xml:space="preserve">   thereof debt</t>
  </si>
  <si>
    <t xml:space="preserve">   thereof equity</t>
  </si>
  <si>
    <t>Gearing (debt equity ratio)</t>
  </si>
  <si>
    <t>Funding Sources</t>
  </si>
  <si>
    <t>Sources and Uses during first 12 months</t>
  </si>
  <si>
    <t>SOURCES</t>
  </si>
  <si>
    <t>Bar Chart</t>
  </si>
  <si>
    <t>USES</t>
  </si>
  <si>
    <t>Share Capital</t>
  </si>
  <si>
    <t>Share Capital (maximum)</t>
  </si>
  <si>
    <t>Extraordinary result</t>
  </si>
  <si>
    <t>Earnings before Interest and Tax (EBIT)</t>
  </si>
  <si>
    <t xml:space="preserve">   Total Sources</t>
  </si>
  <si>
    <t xml:space="preserve">   Total Uses</t>
  </si>
  <si>
    <t xml:space="preserve">   Check: Sources = Uses</t>
  </si>
  <si>
    <t>Interest + Financing Costs</t>
  </si>
  <si>
    <t>Interest paid (Debt 1-4)</t>
  </si>
  <si>
    <t>Paid</t>
  </si>
  <si>
    <t>Paid (following month)</t>
  </si>
  <si>
    <t>Tax paid</t>
  </si>
  <si>
    <t>(neg. = paid; pos. = recovered)</t>
  </si>
  <si>
    <t>Trade + Sundry creditors</t>
  </si>
  <si>
    <t>Fixed asset disposals</t>
  </si>
  <si>
    <t>Finance lease (charges &amp; repayments)</t>
  </si>
  <si>
    <t>Dividend payout</t>
  </si>
  <si>
    <t>Liquidity/cash reserve</t>
  </si>
  <si>
    <t>Indirect Cash Flow (as derived from NPAT)</t>
  </si>
  <si>
    <t>Change in working capital</t>
  </si>
  <si>
    <t xml:space="preserve">    Change in sundry creditors</t>
  </si>
  <si>
    <t xml:space="preserve">    Change in advances received </t>
  </si>
  <si>
    <t xml:space="preserve">    Change in advance payments</t>
  </si>
  <si>
    <t xml:space="preserve">    Change in inventory / stock</t>
  </si>
  <si>
    <t>Change in accruals</t>
  </si>
  <si>
    <t>Change in income tax liabilities</t>
  </si>
  <si>
    <t>1. Cash flow from operating activities</t>
  </si>
  <si>
    <t xml:space="preserve">  Net cash flow from operating activities</t>
  </si>
  <si>
    <t>2. Cash flow from investing activities</t>
  </si>
  <si>
    <t xml:space="preserve">  Net cash flow from investing activities</t>
  </si>
  <si>
    <t>3. Cash flow from financing activities</t>
  </si>
  <si>
    <t xml:space="preserve">  Net cash flow from financing activities</t>
  </si>
  <si>
    <t>Net increase/decrease in cash</t>
  </si>
  <si>
    <t>Cash at the beginning of the period</t>
  </si>
  <si>
    <t>Cash at the end of the period</t>
  </si>
  <si>
    <t>Capex on intangible assets</t>
  </si>
  <si>
    <t>Capex on tangible assets</t>
  </si>
  <si>
    <t>Capex on financial assets</t>
  </si>
  <si>
    <t>Proceeds of assets disposals</t>
  </si>
  <si>
    <t xml:space="preserve">    thereof intangible assets</t>
  </si>
  <si>
    <t xml:space="preserve">    thereof tangible assets</t>
  </si>
  <si>
    <t xml:space="preserve">    thereof financial assets</t>
  </si>
  <si>
    <t>Cash receipts from new share capital</t>
  </si>
  <si>
    <t>Drawdowns on loans</t>
  </si>
  <si>
    <t>Principal repayments on loans</t>
  </si>
  <si>
    <t>Finance lease repayments</t>
  </si>
  <si>
    <t>Maximum Overdraft (limit)</t>
  </si>
  <si>
    <t>Debt Equity Ratio (DER)</t>
  </si>
  <si>
    <t>Descriptions and values for diagram</t>
  </si>
  <si>
    <t>Resorting / Rearrangement</t>
  </si>
  <si>
    <t>Raw data for diagrams (Don't delete or change !)</t>
  </si>
  <si>
    <t>Net Profit after Tax (NPAT)</t>
  </si>
  <si>
    <t xml:space="preserve">   Check (aggregation)</t>
  </si>
  <si>
    <t xml:space="preserve">    Check (aggregation)</t>
  </si>
  <si>
    <t>Check (aggregation)</t>
  </si>
  <si>
    <t>Overdraft limit &gt;= Opening balance value?</t>
  </si>
  <si>
    <t>Total Assets</t>
  </si>
  <si>
    <t xml:space="preserve">  Check: Balance Identity</t>
  </si>
  <si>
    <t>Assets</t>
  </si>
  <si>
    <t>Liabilities &amp; Shareholders Equity</t>
  </si>
  <si>
    <t>Retained Earnings</t>
  </si>
  <si>
    <t>Trade &amp; Sundry Creditors</t>
  </si>
  <si>
    <t>Other current liabilities</t>
  </si>
  <si>
    <t>Miscellaneous</t>
  </si>
  <si>
    <t>at model start =&gt;</t>
  </si>
  <si>
    <t xml:space="preserve"> =&gt; equally phased out over a period of x months =&gt;</t>
  </si>
  <si>
    <t>P&amp;L and Balance Sheet Items</t>
  </si>
  <si>
    <t xml:space="preserve">   Change  (year to year)</t>
  </si>
  <si>
    <t>Company Headcount</t>
  </si>
  <si>
    <t>Fiscal Year</t>
  </si>
  <si>
    <t>Total Cost of payroll</t>
  </si>
  <si>
    <t>Company Headcount and Cost of Payroll</t>
  </si>
  <si>
    <t>Total costs of payroll</t>
  </si>
  <si>
    <t>Division</t>
  </si>
  <si>
    <t>Raw data for diagrams (Don't delete or change !)  =&gt;</t>
  </si>
  <si>
    <t>Total Liabilities &amp; Shareholders Equity</t>
  </si>
  <si>
    <t xml:space="preserve"> with conditional formatting =&gt; copy required (text can be changed manually)</t>
  </si>
  <si>
    <t xml:space="preserve"> uses data validation =&gt; copy required</t>
  </si>
  <si>
    <t>same as input but permanent =&gt; i.e. input data will not be erased by macro "New planning - Erase all input data"</t>
  </si>
  <si>
    <t>Zero</t>
  </si>
  <si>
    <t>LEGAL DISCLAIMER AND LICENSE AGREEMENT</t>
  </si>
  <si>
    <t>Website:</t>
  </si>
  <si>
    <t>Fill in name or positon here</t>
  </si>
  <si>
    <t>Constants, Symbols &amp; General Lookup Tables</t>
  </si>
  <si>
    <t>Lookup Tables</t>
  </si>
  <si>
    <t>Formatting Styles</t>
  </si>
  <si>
    <t>Section Header</t>
  </si>
  <si>
    <t>Checks, Flags &amp; Miscellaneous</t>
  </si>
  <si>
    <t>Formats &amp; Styles Key, Constants and Lookup Tables</t>
  </si>
  <si>
    <t>Frequently used Formatting Styles</t>
  </si>
  <si>
    <t>Limited</t>
  </si>
  <si>
    <t>Include stock/inventory planning ? =&gt; Yes/No</t>
  </si>
  <si>
    <t>Payment Profile Debtors/Receivables</t>
  </si>
  <si>
    <t>Payment Profile Creditors/Payables</t>
  </si>
  <si>
    <t>"The easy way to create financial forecasts</t>
  </si>
  <si>
    <t>No inputs required on this sheet</t>
  </si>
  <si>
    <t>Integrated Financial Projections</t>
  </si>
  <si>
    <t xml:space="preserve">Sheet No. </t>
  </si>
  <si>
    <t>Link to Sheet</t>
  </si>
  <si>
    <t>Author</t>
  </si>
  <si>
    <t>Legal Disclaimer</t>
  </si>
  <si>
    <t>Contact</t>
  </si>
  <si>
    <t>=&gt; at first use fill in your logo, legal disclaimer and contact data</t>
  </si>
  <si>
    <t>Summary 01</t>
  </si>
  <si>
    <t>Summary 02</t>
  </si>
  <si>
    <t>Summary 03</t>
  </si>
  <si>
    <t>Summary 04</t>
  </si>
  <si>
    <t>Inputs</t>
  </si>
  <si>
    <t>Costs 01</t>
  </si>
  <si>
    <t>Costs 02</t>
  </si>
  <si>
    <t>Costs 03</t>
  </si>
  <si>
    <t>Capex</t>
  </si>
  <si>
    <t>IFS</t>
  </si>
  <si>
    <t>Debtors+Creditors</t>
  </si>
  <si>
    <t>Formats</t>
  </si>
  <si>
    <t>Quick Start</t>
  </si>
  <si>
    <t>Index (This Sheet)</t>
  </si>
  <si>
    <t>Quick Start Guide of EFM</t>
  </si>
  <si>
    <t>Executive Summary</t>
  </si>
  <si>
    <t>Cash Flow (overview)</t>
  </si>
  <si>
    <t>Balance Sheet (overview)</t>
  </si>
  <si>
    <t>Model Assumptions</t>
  </si>
  <si>
    <t>Personnel schedules and costs</t>
  </si>
  <si>
    <t>Capital Expenditures and Depreciation</t>
  </si>
  <si>
    <t>Funding</t>
  </si>
  <si>
    <t>Input/Output tax &amp; Tax on Profit</t>
  </si>
  <si>
    <t>Timing Master</t>
  </si>
  <si>
    <t>Formatting Styles, Constants, Lookup Tables</t>
  </si>
  <si>
    <t>Cost of Materials/Goods &amp; Inventory</t>
  </si>
  <si>
    <t xml:space="preserve">Financial Year </t>
  </si>
  <si>
    <t>No of payments (per financial year)</t>
  </si>
  <si>
    <t>Advanced payments (per financial year)</t>
  </si>
  <si>
    <t>Financial Year  =&gt;</t>
  </si>
  <si>
    <t>Month of FY</t>
  </si>
  <si>
    <t xml:space="preserve"> of the following FY</t>
  </si>
  <si>
    <t>of the following calendar year</t>
  </si>
  <si>
    <t>Month in calendar year</t>
  </si>
  <si>
    <t>No of months in financial year</t>
  </si>
  <si>
    <t>Check phasing out PAYE/Payroll withholdings owed OK?</t>
  </si>
  <si>
    <t>Social insurance &amp; income tax (PAYE/Payroll withholdings)</t>
  </si>
  <si>
    <r>
      <t xml:space="preserve">Input Area - Various Items  </t>
    </r>
    <r>
      <rPr>
        <sz val="18"/>
        <color rgb="FFFF0000"/>
        <rFont val="Arial"/>
        <family val="2"/>
      </rPr>
      <t>(not intented for printout)</t>
    </r>
  </si>
  <si>
    <t>Arrow down (active)</t>
  </si>
  <si>
    <t>Arrow down (inactive)</t>
  </si>
  <si>
    <t>Arrow left</t>
  </si>
  <si>
    <t>Arrow right</t>
  </si>
  <si>
    <t>Arrows horizontal (active)</t>
  </si>
  <si>
    <t>Arrows horizontal (inactive)</t>
  </si>
  <si>
    <r>
      <t xml:space="preserve"> </t>
    </r>
    <r>
      <rPr>
        <u/>
        <sz val="10"/>
        <color theme="1"/>
        <rFont val="Arial"/>
        <family val="2"/>
      </rPr>
      <t>Example</t>
    </r>
    <r>
      <rPr>
        <sz val="10"/>
        <color theme="1"/>
        <rFont val="Arial"/>
        <family val="2"/>
      </rPr>
      <t xml:space="preserve"> Arrow down (active, if cell above = 1)</t>
    </r>
  </si>
  <si>
    <t xml:space="preserve">  Balance Check</t>
  </si>
  <si>
    <t xml:space="preserve">Integrity (Master ) </t>
  </si>
  <si>
    <t>Cash balance during the first 12 months</t>
  </si>
  <si>
    <t>Overdraft Facility</t>
  </si>
  <si>
    <t>Cash and Overdraft Facility in first Fiscal Year</t>
  </si>
  <si>
    <t>Overdraft Facility (end of month)</t>
  </si>
  <si>
    <t>Interest paid on overdraft</t>
  </si>
  <si>
    <t>Sufficient Funding (incl. Overdraft Facility)</t>
  </si>
  <si>
    <t>Overdraft Facility (automatic)</t>
  </si>
  <si>
    <t>Interest on overdraft</t>
  </si>
  <si>
    <t xml:space="preserve">   Information line: Repayments and overdraft</t>
  </si>
  <si>
    <t>5 Year Forecast</t>
  </si>
  <si>
    <t xml:space="preserve">=&gt; cash-in on  </t>
  </si>
  <si>
    <t xml:space="preserve"> Total no of Employees (end of FY on FTE basis)</t>
  </si>
  <si>
    <t>7.</t>
  </si>
  <si>
    <t>Projected Cash Flow by Year</t>
  </si>
  <si>
    <t>Cash Balance (End-of-Year)</t>
  </si>
  <si>
    <t>Allocation of other direct costs to products/services</t>
  </si>
  <si>
    <t>Total direct costs, i.e. costs of materials/goods for resale + direct payroll + other direct costs</t>
  </si>
  <si>
    <t xml:space="preserve">     Cost of Sales</t>
  </si>
  <si>
    <t>Cost of Sales (per product/service)</t>
  </si>
  <si>
    <t>Total Cost of Sales</t>
  </si>
  <si>
    <t>Cost of Sales Analysis</t>
  </si>
  <si>
    <t>Gross Profit Contributions</t>
  </si>
  <si>
    <t>9.</t>
  </si>
  <si>
    <t>8.</t>
  </si>
  <si>
    <t>10.</t>
  </si>
  <si>
    <t xml:space="preserve">   Total</t>
  </si>
  <si>
    <t>Sales, Cost of Sales and Gross Profit Contribution by Product/Service</t>
  </si>
  <si>
    <t xml:space="preserve">  Total</t>
  </si>
  <si>
    <t>1. Sales by Product/Service</t>
  </si>
  <si>
    <t>Gross Profit Contribution</t>
  </si>
  <si>
    <t>2. Cost of Sales by Product/Service</t>
  </si>
  <si>
    <t>3. Gross Profit Contribution by Product/Service</t>
  </si>
  <si>
    <t>First Year</t>
  </si>
  <si>
    <t>First Month (in text format)</t>
  </si>
  <si>
    <t>Full Time Equivalent</t>
  </si>
  <si>
    <t>Cur</t>
  </si>
  <si>
    <t>Liab</t>
  </si>
  <si>
    <t>As</t>
  </si>
  <si>
    <t>Eq</t>
  </si>
  <si>
    <t>Deb</t>
  </si>
  <si>
    <t>Fix</t>
  </si>
  <si>
    <t>Tot</t>
  </si>
  <si>
    <t>longt</t>
  </si>
  <si>
    <t>GrProf</t>
  </si>
  <si>
    <t>OpProf</t>
  </si>
  <si>
    <t>Operating (Trading) Profit</t>
  </si>
  <si>
    <t>NPAT</t>
  </si>
  <si>
    <t>Net Inc</t>
  </si>
  <si>
    <t>FTE</t>
  </si>
  <si>
    <t>Depr</t>
  </si>
  <si>
    <t>Current</t>
  </si>
  <si>
    <t>(Shareholders) Equity</t>
  </si>
  <si>
    <t>Fixed</t>
  </si>
  <si>
    <t>Liabilities</t>
  </si>
  <si>
    <t>long-term</t>
  </si>
  <si>
    <t>Net Profit after Tax</t>
  </si>
  <si>
    <t>Abbreviations</t>
  </si>
  <si>
    <t>Net Income (EBIT)</t>
  </si>
  <si>
    <t>www.excel-financial-model.com</t>
  </si>
  <si>
    <t xml:space="preserve">  when launching or running a business"</t>
  </si>
  <si>
    <t>Fimovi - offered by Smart Cap GmbH</t>
  </si>
  <si>
    <t>efm@excel-financial-model.com</t>
  </si>
  <si>
    <t>Version: "Classic Economy"</t>
  </si>
  <si>
    <t>Excel-Financial-Model (EFM)</t>
  </si>
  <si>
    <t>Based on 1. direct payroll costs, 2. sales, or 3. percentage inputs</t>
  </si>
  <si>
    <t>Direct Payroll Costs</t>
  </si>
  <si>
    <t>Allocation Methods</t>
  </si>
  <si>
    <t>alloc_basis</t>
  </si>
  <si>
    <t>Manual allocation: percentage distribution OK?</t>
  </si>
  <si>
    <t>Allocation of other direct costs OK?</t>
  </si>
  <si>
    <t>Total costs of sales: allocated sum and P&amp;L identical?</t>
  </si>
  <si>
    <t xml:space="preserve">         Allocation control</t>
  </si>
  <si>
    <t>TR</t>
  </si>
  <si>
    <t>Integration Services</t>
  </si>
  <si>
    <t>Consulting Services</t>
  </si>
  <si>
    <t>Net work infrastructure solutions</t>
  </si>
  <si>
    <t>Software Products</t>
  </si>
  <si>
    <t>Desktops</t>
  </si>
  <si>
    <t>Workstations</t>
  </si>
  <si>
    <t>Notebooks</t>
  </si>
  <si>
    <t>Repair Services</t>
  </si>
  <si>
    <t>License Fees</t>
  </si>
  <si>
    <t>Spare Parts</t>
  </si>
  <si>
    <t>X-ample Computech Ltd.</t>
  </si>
  <si>
    <t>Shareholder Loan</t>
  </si>
  <si>
    <t>UBS</t>
  </si>
  <si>
    <t>UL Bank</t>
  </si>
  <si>
    <t>HSBC Bank</t>
  </si>
  <si>
    <t>Cash Balance (end of month)</t>
  </si>
  <si>
    <t>Rounding Tolerance</t>
  </si>
  <si>
    <t>Payments</t>
  </si>
  <si>
    <t xml:space="preserve">   Total payments</t>
  </si>
  <si>
    <t xml:space="preserve">   Total receipts</t>
  </si>
  <si>
    <t>Financial Assets (Investments)</t>
  </si>
  <si>
    <t>Financial Assets / Investments</t>
  </si>
  <si>
    <t>Non-current Assets (NBV)</t>
  </si>
  <si>
    <t>Summary: Non-current (fixed) assets</t>
  </si>
  <si>
    <t>Non-current Assets</t>
  </si>
  <si>
    <t>Total Non-current Assets</t>
  </si>
  <si>
    <t>FixAs</t>
  </si>
  <si>
    <t>Fixed Assets (Intangibles &amp; Tangibles)</t>
  </si>
  <si>
    <t>=&gt; replace by your own logo</t>
  </si>
  <si>
    <t xml:space="preserve">     and delete this text</t>
  </si>
  <si>
    <t>Sheet Content</t>
  </si>
  <si>
    <t>Principal payments</t>
  </si>
  <si>
    <t xml:space="preserve">  Decrease (utilisation)</t>
  </si>
  <si>
    <t>Utilisation of accruals</t>
  </si>
  <si>
    <t>Advance payments &amp; utilisation of accruals</t>
  </si>
  <si>
    <t xml:space="preserve">  Increase (= formation)</t>
  </si>
  <si>
    <t xml:space="preserve">  Decrease (= utilisation not reversal)</t>
  </si>
  <si>
    <t>USD</t>
  </si>
  <si>
    <t>available in commercial version only</t>
  </si>
  <si>
    <t>For full version click button</t>
  </si>
  <si>
    <t>Version 2.01  -  Free Trial Version</t>
  </si>
  <si>
    <t>(no inputs here =&gt; see comments in column H)</t>
  </si>
  <si>
    <t>Time-saving macros available in commerical version only</t>
  </si>
  <si>
    <t>FY 2018</t>
  </si>
  <si>
    <t>FY 2019</t>
  </si>
  <si>
    <t>All timing parameters are fully adjustable in commercial version only</t>
  </si>
  <si>
    <t>NOV</t>
  </si>
  <si>
    <t>Updates</t>
  </si>
  <si>
    <t>Support</t>
  </si>
  <si>
    <t>Free Trial Version</t>
  </si>
  <si>
    <t>Full Commercial Version</t>
  </si>
  <si>
    <t>1. Feature / Function</t>
  </si>
  <si>
    <t>2. Output sheets / Summaries</t>
  </si>
  <si>
    <t>3. Support and Updates</t>
  </si>
  <si>
    <t>Planning period (model life time)</t>
  </si>
  <si>
    <t>up to 64 months (5 years)</t>
  </si>
  <si>
    <t>All timing parameters fully adjustable</t>
  </si>
  <si>
    <t>Timing parameters cannot be changed</t>
  </si>
  <si>
    <t>Timing parameters
 (i.e. model start + last month of financial year)</t>
  </si>
  <si>
    <t>Planning currency</t>
  </si>
  <si>
    <t>Restricted to 24 months max.</t>
  </si>
  <si>
    <t>Cannot be changed</t>
  </si>
  <si>
    <t>Any planning currency can be freely selected</t>
  </si>
  <si>
    <t>Customization</t>
  </si>
  <si>
    <t>Protection &amp; Adaptability</t>
  </si>
  <si>
    <t xml:space="preserve">Not possible, all sheets are password-protected </t>
  </si>
  <si>
    <t>All cells are accessible and editable</t>
  </si>
  <si>
    <t xml:space="preserve">Time-saving macros </t>
  </si>
  <si>
    <t>Includes time-saving macros</t>
  </si>
  <si>
    <t>No time-saving macros included</t>
  </si>
  <si>
    <t>No updates</t>
  </si>
  <si>
    <t>Lifetime free updates</t>
  </si>
  <si>
    <t>30 days technical support</t>
  </si>
  <si>
    <t>No support</t>
  </si>
  <si>
    <t>Profit &amp; Loss, Cashflow and Balance Sheet</t>
  </si>
  <si>
    <t>Key Performance Indicators (KPIs)</t>
  </si>
  <si>
    <t>not included</t>
  </si>
  <si>
    <t>Working Capital &amp; Cash Conversion Cycle (CCC)</t>
  </si>
  <si>
    <t>"The easy way to create financial</t>
  </si>
  <si>
    <t xml:space="preserve">  running a business"</t>
  </si>
  <si>
    <t xml:space="preserve">  forecasts when launching or</t>
  </si>
  <si>
    <t>=&gt; in commerical version only</t>
  </si>
  <si>
    <t>Only 24 months, no drill-down functionality,
not editable</t>
  </si>
  <si>
    <t>Up to 60 months (5 years), drill-down functionality,
fully editable</t>
  </si>
  <si>
    <t>Freely customizable &amp; extendable (edit sheets,
insert new sheets, paste in own sheets etc.)</t>
  </si>
  <si>
    <t>Only input cells can be changed, all other cells are
password-protected (with all formulas visible)</t>
  </si>
  <si>
    <t>Automatic calculation of numerous KPIs regarding
liquidity &amp; coverage, income / profitability, etc.</t>
  </si>
  <si>
    <t>Automatic calculation of Days Sales Outstanding
(DSO), Days Inventory Held (DIH), Days Payable
Outstanding (DPO), and CCC</t>
  </si>
  <si>
    <t>© Copyright 2011 - 2017, Smart Cap GmbH</t>
  </si>
  <si>
    <t xml:space="preserve"> Difference between Trial version and Commercial version of Excel-Financial-Model (EFM-CE)</t>
  </si>
  <si>
    <t>Company Profile and Contact</t>
  </si>
</sst>
</file>

<file path=xl/styles.xml><?xml version="1.0" encoding="utf-8"?>
<styleSheet xmlns="http://schemas.openxmlformats.org/spreadsheetml/2006/main" xmlns:mc="http://schemas.openxmlformats.org/markup-compatibility/2006" xmlns:x14ac="http://schemas.microsoft.com/office/spreadsheetml/2009/9/ac" mc:Ignorable="x14ac">
  <numFmts count="61">
    <numFmt numFmtId="164" formatCode="_(* #,##0.00_);_(* \(#,##0.00\);_(* &quot;-&quot;??_);_(@_)"/>
    <numFmt numFmtId="165" formatCode="_(&quot;€&quot;* #,##0_);_(&quot;€&quot;* \(#,##0\);_(&quot;€&quot;* &quot;-&quot;_);_(@_)"/>
    <numFmt numFmtId="166" formatCode="_(* #,##0_);_(* \(#,##0\);_(* &quot;-&quot;_);_(@_)"/>
    <numFmt numFmtId="167" formatCode="_(&quot;€&quot;* #,##0.00_);_(&quot;€&quot;* \(#,##0.00\);_(&quot;€&quot;* &quot;-&quot;??_);_(@_)"/>
    <numFmt numFmtId="168" formatCode="_(* #,##0_);_(* \(#,##0\);_(* &quot;-&quot;??_);_(@_)"/>
    <numFmt numFmtId="169" formatCode="#,##0_-;\ \(#,##0\);_-* &quot;-&quot;??;_-@_-"/>
    <numFmt numFmtId="170" formatCode="&quot;Fail&quot;;&quot;Fail&quot;;&quot;Ok&quot;"/>
    <numFmt numFmtId="171" formatCode="_(* #,##0.0\x_);_(* \(#,##0.0\x\);_(* &quot;-&quot;??_);_(@_)"/>
    <numFmt numFmtId="172" formatCode="&quot;On&quot;;&quot;On&quot;;&quot;Off&quot;"/>
    <numFmt numFmtId="173" formatCode="_(* #,##0.00%_);_(* \(#,##0.00%\);_(* &quot;-&quot;??_);_(@_)"/>
    <numFmt numFmtId="174" formatCode="[$-407]d/\ mmm/\ yy;@"/>
    <numFmt numFmtId="175" formatCode="_(* #,##0%_);_(* \(#,##0%\);_(* &quot;-&quot;??_);_(@_)"/>
    <numFmt numFmtId="176" formatCode="&quot;$&quot;#,##0;[Red]\-&quot;$&quot;#,##0"/>
    <numFmt numFmtId="177" formatCode="_(* #,##0.0%_);_(* \(#,##0.0%\);_(* &quot;-&quot;??_);_(@_)"/>
    <numFmt numFmtId="178" formatCode="&quot;Yes&quot;;;&quot;No&quot;"/>
    <numFmt numFmtId="179" formatCode="_(* #,##0_);_(* \(#,##0\);_(* &quot;&quot;??_);_(@_)"/>
    <numFmt numFmtId="180" formatCode="_-* #,##0.0\ _€_-;\-* #,##0.0\ _€_-;_-* &quot;-&quot;??\ _€_-;_-@_-"/>
    <numFmt numFmtId="181" formatCode="_(* #,##0.0_);_(* \(#,##0.0\);_(* &quot;-&quot;??_);_(@_)"/>
    <numFmt numFmtId="182" formatCode="_-* #,##0.0\ _€_-;\-* #,##0.0\ _€_-;_-* &quot;-&quot;?\ _€_-;_-@_-"/>
    <numFmt numFmtId="183" formatCode="&quot;Q-&quot;0"/>
    <numFmt numFmtId="184" formatCode="&quot;Alert&quot;;&quot;Alert&quot;;&quot;Ok&quot;"/>
    <numFmt numFmtId="185" formatCode="_-* #,##0\ _€_-;\-* #,##0\ _€_-;_-* &quot;-&quot;?\ _€_-;_-@_-"/>
    <numFmt numFmtId="186" formatCode="0;\-0;&quot;&quot;"/>
    <numFmt numFmtId="187" formatCode="[$-C09]dd\-mmm\-yy;@"/>
    <numFmt numFmtId="188" formatCode="0.0000"/>
    <numFmt numFmtId="189" formatCode="&quot;Nein&quot;;&quot;Nein&quot;;&quot;Ja&quot;"/>
    <numFmt numFmtId="190" formatCode="0.0\ &quot;:1&quot;"/>
    <numFmt numFmtId="191" formatCode="&quot;Finanzplan-Tool v&quot;@"/>
    <numFmt numFmtId="192" formatCode="_(\ #,##0_);_(\ \(#,##0\);_(\ &quot;-&quot;??_);_(@_)"/>
    <numFmt numFmtId="193" formatCode="yyyy"/>
    <numFmt numFmtId="194" formatCode="&quot;Monat&quot;\ 0"/>
    <numFmt numFmtId="195" formatCode="dd/mm/"/>
    <numFmt numFmtId="196" formatCode="&quot;Fehler&quot;;;&quot;Ok&quot;"/>
    <numFmt numFmtId="197" formatCode="_(* #,##0.0000_);_(* \(#,##0.0000\);_(* &quot;-&quot;??_);_(@_)"/>
    <numFmt numFmtId="198" formatCode="0\ &quot;Mths&quot;"/>
    <numFmt numFmtId="199" formatCode="[$-809]dd/\ mm/\ yyyy;@"/>
    <numFmt numFmtId="200" formatCode="[$-809]dd\ mmm\ yy;@"/>
    <numFmt numFmtId="201" formatCode="&quot;Month&quot;\ 0"/>
    <numFmt numFmtId="202" formatCode="&quot;H&quot;0"/>
    <numFmt numFmtId="203" formatCode="&quot;Q&quot;0"/>
    <numFmt numFmtId="204" formatCode="_-* #,##0\ _€_-;\-* #,##0\ _€_-;_-* &quot;-&quot;??\ _€_-;_-@_-"/>
    <numFmt numFmtId="205" formatCode="0\ &quot;Month(s)&quot;"/>
    <numFmt numFmtId="206" formatCode="_(\ #,##0_);_(\ \(#,##0\);_(\ &quot;-&quot;_);_(@_)"/>
    <numFmt numFmtId="207" formatCode="&quot;Yes&quot;;&quot;Yes&quot;;&quot;No&quot;"/>
    <numFmt numFmtId="208" formatCode="[$-409]\ mmm\ yy;@"/>
    <numFmt numFmtId="209" formatCode="#,##0_ ;\-#,##0\ "/>
    <numFmt numFmtId="210" formatCode="0\ &quot;month(s)&quot;"/>
    <numFmt numFmtId="211" formatCode="_(\ #,##0.0%_);_(\ \(#,##0.0%\);_(\ &quot;-&quot;??_);_(@_)"/>
    <numFmt numFmtId="212" formatCode="0\ &quot;Year(s)&quot;"/>
    <numFmt numFmtId="213" formatCode="&quot;No&quot;;&quot;No&quot;;&quot;Yes&quot;"/>
    <numFmt numFmtId="214" formatCode="&quot;Notice&quot;;&quot;Notice&quot;;&quot;-&quot;"/>
    <numFmt numFmtId="215" formatCode="&quot;Year&quot;\ 0"/>
    <numFmt numFmtId="216" formatCode="0.000"/>
    <numFmt numFmtId="217" formatCode="[$-809]dd\ mmmm\ yyyy;@"/>
    <numFmt numFmtId="218" formatCode="&quot;FY&quot;\ 0"/>
    <numFmt numFmtId="219" formatCode="[$-809]mmm;@"/>
    <numFmt numFmtId="220" formatCode="[$-809]dd\ mm\ yy;@"/>
    <numFmt numFmtId="221" formatCode="&quot;input as of&quot;\ [$-809]dd\ mmm\ yy;@"/>
    <numFmt numFmtId="222" formatCode="&quot;input from&quot;\ [$-809]dd\ mmm\ yy;@"/>
    <numFmt numFmtId="223" formatCode="&quot;Excel-Financial-Model  (v&quot;@&quot;)&quot;"/>
    <numFmt numFmtId="224" formatCode="0\ &quot;Year&quot;"/>
  </numFmts>
  <fonts count="123">
    <font>
      <sz val="10"/>
      <color theme="1"/>
      <name val="Arial"/>
      <family val="2"/>
    </font>
    <font>
      <sz val="11"/>
      <color theme="1"/>
      <name val="Calibri"/>
      <family val="2"/>
      <scheme val="minor"/>
    </font>
    <font>
      <sz val="18"/>
      <name val="Arial"/>
      <family val="2"/>
    </font>
    <font>
      <b/>
      <sz val="11"/>
      <name val="Arial"/>
      <family val="2"/>
    </font>
    <font>
      <sz val="10"/>
      <color theme="1" tint="0.34998626667073579"/>
      <name val="Arial"/>
      <family val="2"/>
    </font>
    <font>
      <sz val="10"/>
      <name val="Arial"/>
      <family val="2"/>
    </font>
    <font>
      <sz val="10"/>
      <color theme="1" tint="0.499984740745262"/>
      <name val="Arial"/>
      <family val="2"/>
    </font>
    <font>
      <u/>
      <sz val="11"/>
      <name val="Arial"/>
      <family val="2"/>
    </font>
    <font>
      <sz val="10"/>
      <color theme="0"/>
      <name val="Arial"/>
      <family val="2"/>
    </font>
    <font>
      <sz val="10"/>
      <color rgb="FF974706"/>
      <name val="Arial"/>
      <family val="2"/>
    </font>
    <font>
      <sz val="10"/>
      <color theme="0" tint="-0.24994659260841701"/>
      <name val="Arial"/>
      <family val="2"/>
    </font>
    <font>
      <sz val="10"/>
      <color indexed="55"/>
      <name val="Arial"/>
      <family val="2"/>
    </font>
    <font>
      <sz val="10"/>
      <color theme="1" tint="0.34998626667073579"/>
      <name val="Wingdings 3"/>
      <family val="1"/>
      <charset val="2"/>
    </font>
    <font>
      <sz val="16"/>
      <color indexed="22"/>
      <name val="Arial"/>
      <family val="2"/>
    </font>
    <font>
      <sz val="10"/>
      <color indexed="55"/>
      <name val="Helvetica-Narrow"/>
      <family val="2"/>
    </font>
    <font>
      <b/>
      <u/>
      <sz val="10"/>
      <color indexed="56"/>
      <name val="Arial"/>
      <family val="2"/>
    </font>
    <font>
      <b/>
      <sz val="10"/>
      <name val="Arial"/>
      <family val="2"/>
    </font>
    <font>
      <sz val="9"/>
      <color theme="1"/>
      <name val="Arial"/>
      <family val="2"/>
    </font>
    <font>
      <sz val="10"/>
      <name val="Helvetica-Narrow"/>
      <family val="2"/>
    </font>
    <font>
      <b/>
      <sz val="16"/>
      <color indexed="9"/>
      <name val="Arial"/>
      <family val="2"/>
    </font>
    <font>
      <sz val="12"/>
      <color indexed="9"/>
      <name val="Arial"/>
      <family val="2"/>
    </font>
    <font>
      <b/>
      <sz val="10"/>
      <color theme="1"/>
      <name val="Arial"/>
      <family val="2"/>
    </font>
    <font>
      <sz val="14"/>
      <color indexed="9"/>
      <name val="Arial"/>
      <family val="2"/>
    </font>
    <font>
      <sz val="10"/>
      <color rgb="FFFF000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12"/>
      <name val="Arial"/>
      <family val="2"/>
    </font>
    <font>
      <u/>
      <sz val="10"/>
      <color indexed="12"/>
      <name val="Arial"/>
      <family val="2"/>
    </font>
    <font>
      <b/>
      <sz val="12"/>
      <color indexed="9"/>
      <name val="Arial"/>
      <family val="2"/>
    </font>
    <font>
      <sz val="7.5"/>
      <color rgb="FF808080"/>
      <name val="Arial"/>
      <family val="2"/>
    </font>
    <font>
      <sz val="8"/>
      <name val="Arial"/>
      <family val="2"/>
    </font>
    <font>
      <sz val="10"/>
      <color indexed="22"/>
      <name val="Arial"/>
      <family val="2"/>
    </font>
    <font>
      <b/>
      <sz val="16"/>
      <name val="Helvetica-Narrow"/>
      <family val="2"/>
    </font>
    <font>
      <sz val="10"/>
      <color indexed="22"/>
      <name val="Helvetica-Narrow"/>
      <family val="2"/>
    </font>
    <font>
      <b/>
      <sz val="10"/>
      <name val="Helvetica-Narrow"/>
    </font>
    <font>
      <b/>
      <sz val="10"/>
      <name val="Helvetica-Narrow"/>
      <family val="2"/>
    </font>
    <font>
      <sz val="10"/>
      <color indexed="16"/>
      <name val="Arial"/>
      <family val="2"/>
    </font>
    <font>
      <u/>
      <sz val="10"/>
      <color theme="1"/>
      <name val="Arial"/>
      <family val="2"/>
    </font>
    <font>
      <u/>
      <sz val="10"/>
      <color theme="10"/>
      <name val="Arial"/>
      <family val="2"/>
    </font>
    <font>
      <sz val="22"/>
      <color theme="1"/>
      <name val="Calibri"/>
      <family val="2"/>
      <scheme val="minor"/>
    </font>
    <font>
      <sz val="11"/>
      <color theme="0" tint="-0.499984740745262"/>
      <name val="Calibri"/>
      <family val="2"/>
      <scheme val="minor"/>
    </font>
    <font>
      <b/>
      <sz val="22"/>
      <color theme="0"/>
      <name val="Calibri"/>
      <family val="2"/>
      <scheme val="minor"/>
    </font>
    <font>
      <b/>
      <sz val="11"/>
      <color rgb="FF313D72"/>
      <name val="Calibri"/>
      <family val="2"/>
      <scheme val="minor"/>
    </font>
    <font>
      <b/>
      <sz val="16"/>
      <color rgb="FF25346A"/>
      <name val="Arial"/>
      <family val="2"/>
    </font>
    <font>
      <b/>
      <sz val="8"/>
      <color indexed="81"/>
      <name val="Tahoma"/>
      <family val="2"/>
    </font>
    <font>
      <b/>
      <sz val="12"/>
      <name val="Arial"/>
      <family val="2"/>
    </font>
    <font>
      <sz val="8"/>
      <color indexed="81"/>
      <name val="Tahoma"/>
      <family val="2"/>
    </font>
    <font>
      <b/>
      <sz val="10"/>
      <color rgb="FFFF0000"/>
      <name val="Arial"/>
      <family val="2"/>
    </font>
    <font>
      <sz val="10"/>
      <color rgb="FF00B050"/>
      <name val="Arial"/>
      <family val="2"/>
    </font>
    <font>
      <b/>
      <sz val="12"/>
      <color indexed="8"/>
      <name val="Arial"/>
      <family val="2"/>
    </font>
    <font>
      <sz val="10"/>
      <color indexed="59"/>
      <name val="Arial"/>
      <family val="2"/>
    </font>
    <font>
      <b/>
      <sz val="16"/>
      <color indexed="12"/>
      <name val="Arial"/>
      <family val="2"/>
    </font>
    <font>
      <sz val="9"/>
      <name val="Arial"/>
      <family val="2"/>
    </font>
    <font>
      <sz val="10"/>
      <color theme="0" tint="-0.34998626667073579"/>
      <name val="Helvetica-Narrow"/>
      <family val="2"/>
    </font>
    <font>
      <sz val="10"/>
      <name val="Helvetica-Narrow"/>
    </font>
    <font>
      <sz val="10"/>
      <color theme="4" tint="-0.24994659260841701"/>
      <name val="Arial"/>
      <family val="2"/>
    </font>
    <font>
      <b/>
      <sz val="10"/>
      <color theme="1" tint="0.499984740745262"/>
      <name val="Arial"/>
      <family val="2"/>
    </font>
    <font>
      <i/>
      <sz val="10"/>
      <color theme="1"/>
      <name val="Arial"/>
      <family val="2"/>
    </font>
    <font>
      <i/>
      <sz val="10"/>
      <name val="Arial"/>
      <family val="2"/>
    </font>
    <font>
      <sz val="10"/>
      <color indexed="10"/>
      <name val="Arial"/>
      <family val="2"/>
    </font>
    <font>
      <sz val="12"/>
      <name val="Arial"/>
      <family val="2"/>
    </font>
    <font>
      <b/>
      <sz val="10"/>
      <color theme="0"/>
      <name val="Arial"/>
      <family val="2"/>
    </font>
    <font>
      <i/>
      <sz val="10"/>
      <name val="Helvetica-Narrow"/>
    </font>
    <font>
      <sz val="10"/>
      <color theme="1"/>
      <name val="Helvetica-Narrow"/>
      <family val="2"/>
    </font>
    <font>
      <sz val="11"/>
      <color theme="0"/>
      <name val="Arial"/>
      <family val="2"/>
    </font>
    <font>
      <b/>
      <sz val="20"/>
      <color rgb="FFFF0000"/>
      <name val="Calibri"/>
      <family val="2"/>
      <scheme val="minor"/>
    </font>
    <font>
      <sz val="20"/>
      <color theme="0" tint="-0.499984740745262"/>
      <name val="Calibri"/>
      <family val="2"/>
      <scheme val="minor"/>
    </font>
    <font>
      <b/>
      <sz val="12"/>
      <color rgb="FFFF0000"/>
      <name val="Arial"/>
      <family val="2"/>
    </font>
    <font>
      <sz val="8"/>
      <color theme="1"/>
      <name val="Arial"/>
      <family val="2"/>
    </font>
    <font>
      <i/>
      <sz val="10"/>
      <color theme="1"/>
      <name val="Calibri"/>
      <family val="2"/>
      <scheme val="minor"/>
    </font>
    <font>
      <i/>
      <sz val="10"/>
      <color rgb="FF0070C0"/>
      <name val="Arial"/>
      <family val="2"/>
    </font>
    <font>
      <b/>
      <sz val="12"/>
      <color theme="1"/>
      <name val="Arial"/>
      <family val="2"/>
    </font>
    <font>
      <sz val="12"/>
      <color theme="1"/>
      <name val="Arial"/>
      <family val="2"/>
    </font>
    <font>
      <b/>
      <sz val="10"/>
      <color rgb="FF000080"/>
      <name val="Arial"/>
      <family val="2"/>
    </font>
    <font>
      <sz val="9"/>
      <name val="Helvetica-Narrow"/>
      <family val="2"/>
    </font>
    <font>
      <sz val="9"/>
      <color rgb="FF00B050"/>
      <name val="Arial"/>
      <family val="2"/>
    </font>
    <font>
      <sz val="10"/>
      <color theme="0" tint="-4.9989318521683403E-2"/>
      <name val="Arial"/>
      <family val="2"/>
    </font>
    <font>
      <i/>
      <sz val="9"/>
      <color theme="1"/>
      <name val="Arial"/>
      <family val="2"/>
    </font>
    <font>
      <b/>
      <sz val="9"/>
      <name val="Arial"/>
      <family val="2"/>
    </font>
    <font>
      <b/>
      <sz val="9"/>
      <color theme="1"/>
      <name val="Arial"/>
      <family val="2"/>
    </font>
    <font>
      <sz val="10"/>
      <color indexed="21"/>
      <name val="Helvetica-Narrow"/>
      <family val="2"/>
    </font>
    <font>
      <sz val="11"/>
      <name val="Arial"/>
      <family val="2"/>
    </font>
    <font>
      <sz val="9"/>
      <color rgb="FFFF0000"/>
      <name val="Arial"/>
      <family val="2"/>
    </font>
    <font>
      <sz val="8"/>
      <color indexed="81"/>
      <name val="Segoe UI"/>
      <family val="2"/>
    </font>
    <font>
      <b/>
      <sz val="8"/>
      <color indexed="81"/>
      <name val="Segoe UI"/>
      <family val="2"/>
    </font>
    <font>
      <sz val="10"/>
      <color rgb="FFFF0000"/>
      <name val="Helvetica-Narrow"/>
      <family val="2"/>
    </font>
    <font>
      <b/>
      <sz val="12"/>
      <color theme="4" tint="-0.24994659260841701"/>
      <name val="Arial"/>
      <family val="2"/>
    </font>
    <font>
      <sz val="10"/>
      <name val="Calibri"/>
      <family val="2"/>
    </font>
    <font>
      <u/>
      <sz val="10"/>
      <color theme="11"/>
      <name val="Arial"/>
      <family val="2"/>
    </font>
    <font>
      <i/>
      <sz val="10"/>
      <color theme="4" tint="-0.24994659260841701"/>
      <name val="Arial"/>
      <family val="2"/>
    </font>
    <font>
      <sz val="18"/>
      <color rgb="FFFF0000"/>
      <name val="Arial"/>
      <family val="2"/>
    </font>
    <font>
      <b/>
      <sz val="11"/>
      <color theme="1"/>
      <name val="Arial"/>
      <family val="2"/>
    </font>
    <font>
      <b/>
      <sz val="22"/>
      <color theme="0" tint="-0.34998626667073579"/>
      <name val="Calibri"/>
      <family val="2"/>
      <scheme val="minor"/>
    </font>
    <font>
      <sz val="14"/>
      <color theme="1"/>
      <name val="Arial"/>
      <family val="2"/>
    </font>
    <font>
      <sz val="22"/>
      <color theme="1"/>
      <name val="Arial"/>
      <family val="2"/>
    </font>
    <font>
      <b/>
      <sz val="20"/>
      <color theme="1"/>
      <name val="Arial"/>
      <family val="2"/>
    </font>
    <font>
      <b/>
      <sz val="20"/>
      <name val="Arial"/>
      <family val="2"/>
    </font>
    <font>
      <b/>
      <u/>
      <sz val="12"/>
      <color indexed="56"/>
      <name val="Arial"/>
      <family val="2"/>
    </font>
    <font>
      <sz val="12"/>
      <color rgb="FF25346A"/>
      <name val="Arial"/>
      <family val="2"/>
    </font>
    <font>
      <sz val="12"/>
      <color rgb="FFFF0000"/>
      <name val="Arial"/>
      <family val="2"/>
    </font>
    <font>
      <sz val="20"/>
      <color rgb="FF92D050"/>
      <name val="Wingdings"/>
      <charset val="2"/>
    </font>
    <font>
      <sz val="20"/>
      <color rgb="FFFF0000"/>
      <name val="Wingdings"/>
      <charset val="2"/>
    </font>
    <font>
      <sz val="14"/>
      <color rgb="FFFFC000"/>
      <name val="Wingdings"/>
      <charset val="2"/>
    </font>
    <font>
      <sz val="14"/>
      <color rgb="FF92D050"/>
      <name val="Wingdings"/>
      <charset val="2"/>
    </font>
    <font>
      <sz val="14"/>
      <color rgb="FFFF0000"/>
      <name val="Wingdings"/>
      <charset val="2"/>
    </font>
    <font>
      <b/>
      <sz val="18"/>
      <color theme="0"/>
      <name val="Arial"/>
      <family val="2"/>
    </font>
    <font>
      <b/>
      <sz val="20"/>
      <color indexed="9"/>
      <name val="Arial"/>
      <family val="2"/>
    </font>
    <font>
      <b/>
      <sz val="14"/>
      <color rgb="FFFF0000"/>
      <name val="Arial"/>
      <family val="2"/>
    </font>
  </fonts>
  <fills count="62">
    <fill>
      <patternFill patternType="none"/>
    </fill>
    <fill>
      <patternFill patternType="gray125"/>
    </fill>
    <fill>
      <patternFill patternType="solid">
        <fgColor theme="0" tint="-0.14996795556505021"/>
        <bgColor indexed="64"/>
      </patternFill>
    </fill>
    <fill>
      <patternFill patternType="solid">
        <fgColor rgb="FFFFFFCC"/>
        <bgColor indexed="64"/>
      </patternFill>
    </fill>
    <fill>
      <patternFill patternType="mediumGray">
        <fgColor theme="1" tint="0.34998626667073579"/>
        <bgColor indexed="65"/>
      </patternFill>
    </fill>
    <fill>
      <patternFill patternType="lightUp">
        <fgColor theme="0" tint="-0.24994659260841701"/>
        <bgColor indexed="65"/>
      </patternFill>
    </fill>
    <fill>
      <patternFill patternType="lightUp">
        <fgColor indexed="23"/>
        <bgColor indexed="9"/>
      </patternFill>
    </fill>
    <fill>
      <patternFill patternType="solid">
        <fgColor indexed="9"/>
        <bgColor indexed="64"/>
      </patternFill>
    </fill>
    <fill>
      <patternFill patternType="solid">
        <fgColor theme="0"/>
        <bgColor indexed="64"/>
      </patternFill>
    </fill>
    <fill>
      <patternFill patternType="lightVertical">
        <fgColor theme="6" tint="0.39994506668294322"/>
        <bgColor indexed="9"/>
      </patternFill>
    </fill>
    <fill>
      <patternFill patternType="lightVertical">
        <fgColor rgb="FFFFC000"/>
        <bgColor indexed="9"/>
      </patternFill>
    </fill>
    <fill>
      <patternFill patternType="lightVertical">
        <fgColor rgb="FFC00000"/>
        <b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3"/>
        <bgColor indexed="64"/>
      </patternFill>
    </fill>
    <fill>
      <patternFill patternType="solid">
        <fgColor indexed="6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0" tint="-0.249977111117893"/>
        <bgColor indexed="64"/>
      </patternFill>
    </fill>
    <fill>
      <patternFill patternType="solid">
        <fgColor rgb="FF313D72"/>
        <bgColor indexed="64"/>
      </patternFill>
    </fill>
    <fill>
      <patternFill patternType="solid">
        <fgColor rgb="FF25346A"/>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indexed="1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EAEAEA"/>
        <bgColor indexed="64"/>
      </patternFill>
    </fill>
    <fill>
      <patternFill patternType="solid">
        <fgColor rgb="FF00B050"/>
        <bgColor indexed="64"/>
      </patternFill>
    </fill>
    <fill>
      <patternFill patternType="solid">
        <fgColor theme="1"/>
        <bgColor indexed="64"/>
      </patternFill>
    </fill>
    <fill>
      <patternFill patternType="solid">
        <fgColor rgb="FFC00000"/>
        <bgColor indexed="64"/>
      </patternFill>
    </fill>
  </fills>
  <borders count="169">
    <border>
      <left/>
      <right/>
      <top/>
      <bottom/>
      <diagonal/>
    </border>
    <border>
      <left/>
      <right/>
      <top/>
      <bottom style="medium">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dashed">
        <color theme="1" tint="0.34998626667073579"/>
      </top>
      <bottom/>
      <diagonal/>
    </border>
    <border>
      <left style="thin">
        <color auto="1"/>
      </left>
      <right style="thin">
        <color auto="1"/>
      </right>
      <top style="thin">
        <color auto="1"/>
      </top>
      <bottom style="thin">
        <color auto="1"/>
      </bottom>
      <diagonal/>
    </border>
    <border>
      <left/>
      <right/>
      <top style="thin">
        <color theme="1" tint="0.34998626667073579"/>
      </top>
      <bottom/>
      <diagonal/>
    </border>
    <border>
      <left/>
      <right/>
      <top style="thin">
        <color theme="1" tint="0.34998626667073579"/>
      </top>
      <bottom style="thin">
        <color theme="1" tint="0.34998626667073579"/>
      </bottom>
      <diagonal/>
    </border>
    <border>
      <left/>
      <right/>
      <top style="thin">
        <color theme="1" tint="0.34998626667073579"/>
      </top>
      <bottom style="double">
        <color theme="1"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23"/>
      </left>
      <right style="thin">
        <color indexed="23"/>
      </right>
      <top/>
      <bottom style="thin">
        <color indexed="23"/>
      </bottom>
      <diagonal/>
    </border>
    <border>
      <left style="thin">
        <color indexed="55"/>
      </left>
      <right style="thin">
        <color indexed="55"/>
      </right>
      <top style="thin">
        <color indexed="55"/>
      </top>
      <bottom style="thin">
        <color indexed="55"/>
      </bottom>
      <diagonal/>
    </border>
    <border>
      <left style="hair">
        <color auto="1"/>
      </left>
      <right style="hair">
        <color auto="1"/>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style="thin">
        <color auto="1"/>
      </bottom>
      <diagonal/>
    </border>
    <border>
      <left style="thin">
        <color rgb="FFC00000"/>
      </left>
      <right style="thin">
        <color rgb="FFC00000"/>
      </right>
      <top style="thin">
        <color rgb="FFC00000"/>
      </top>
      <bottom style="thin">
        <color rgb="FFC00000"/>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theme="1"/>
      </left>
      <right/>
      <top style="thin">
        <color theme="0"/>
      </top>
      <bottom style="thin">
        <color theme="0"/>
      </bottom>
      <diagonal/>
    </border>
    <border>
      <left/>
      <right/>
      <top style="thin">
        <color theme="0"/>
      </top>
      <bottom style="thin">
        <color theme="0"/>
      </bottom>
      <diagonal/>
    </border>
    <border>
      <left/>
      <right style="double">
        <color theme="1"/>
      </right>
      <top style="thin">
        <color theme="0"/>
      </top>
      <bottom style="thin">
        <color theme="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top style="thin">
        <color indexed="64"/>
      </top>
      <bottom style="double">
        <color indexed="64"/>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1" tint="0.34998626667073579"/>
      </bottom>
      <diagonal/>
    </border>
    <border>
      <left/>
      <right style="thin">
        <color theme="0" tint="-0.499984740745262"/>
      </right>
      <top style="thin">
        <color theme="0" tint="-0.499984740745262"/>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hair">
        <color theme="1" tint="0.34998626667073579"/>
      </right>
      <top style="thin">
        <color theme="1" tint="0.34998626667073579"/>
      </top>
      <bottom/>
      <diagonal/>
    </border>
    <border>
      <left style="hair">
        <color theme="1" tint="0.34998626667073579"/>
      </left>
      <right/>
      <top style="thin">
        <color theme="1" tint="0.34998626667073579"/>
      </top>
      <bottom/>
      <diagonal/>
    </border>
    <border>
      <left/>
      <right style="hair">
        <color theme="1" tint="0.34998626667073579"/>
      </right>
      <top/>
      <bottom/>
      <diagonal/>
    </border>
    <border>
      <left style="hair">
        <color theme="1" tint="0.34998626667073579"/>
      </left>
      <right/>
      <top/>
      <bottom/>
      <diagonal/>
    </border>
    <border>
      <left/>
      <right style="hair">
        <color theme="1" tint="0.34998626667073579"/>
      </right>
      <top style="thin">
        <color theme="1" tint="0.34998626667073579"/>
      </top>
      <bottom style="thin">
        <color theme="1" tint="0.34998626667073579"/>
      </bottom>
      <diagonal/>
    </border>
    <border>
      <left style="hair">
        <color theme="1" tint="0.34998626667073579"/>
      </left>
      <right/>
      <top style="thin">
        <color theme="1" tint="0.34998626667073579"/>
      </top>
      <bottom style="thin">
        <color theme="1" tint="0.34998626667073579"/>
      </bottom>
      <diagonal/>
    </border>
    <border>
      <left/>
      <right style="hair">
        <color theme="1" tint="0.34998626667073579"/>
      </right>
      <top style="thin">
        <color theme="1" tint="0.34998626667073579"/>
      </top>
      <bottom style="double">
        <color theme="1" tint="0.34998626667073579"/>
      </bottom>
      <diagonal/>
    </border>
    <border>
      <left style="hair">
        <color theme="1" tint="0.34998626667073579"/>
      </left>
      <right/>
      <top style="thin">
        <color theme="1" tint="0.34998626667073579"/>
      </top>
      <bottom style="double">
        <color theme="1" tint="0.34998626667073579"/>
      </bottom>
      <diagonal/>
    </border>
    <border>
      <left style="hair">
        <color theme="1" tint="0.34998626667073579"/>
      </left>
      <right style="hair">
        <color theme="1" tint="0.34998626667073579"/>
      </right>
      <top style="thin">
        <color theme="1" tint="0.34998626667073579"/>
      </top>
      <bottom/>
      <diagonal/>
    </border>
    <border>
      <left style="hair">
        <color theme="1" tint="0.34998626667073579"/>
      </left>
      <right style="hair">
        <color theme="1" tint="0.34998626667073579"/>
      </right>
      <top/>
      <bottom/>
      <diagonal/>
    </border>
    <border>
      <left style="hair">
        <color theme="1" tint="0.34998626667073579"/>
      </left>
      <right style="hair">
        <color theme="1" tint="0.34998626667073579"/>
      </right>
      <top style="thin">
        <color theme="1" tint="0.34998626667073579"/>
      </top>
      <bottom style="thin">
        <color theme="1" tint="0.34998626667073579"/>
      </bottom>
      <diagonal/>
    </border>
    <border>
      <left style="hair">
        <color theme="1" tint="0.34998626667073579"/>
      </left>
      <right style="hair">
        <color theme="1" tint="0.34998626667073579"/>
      </right>
      <top style="thin">
        <color theme="1" tint="0.34998626667073579"/>
      </top>
      <bottom style="double">
        <color theme="1" tint="0.34998626667073579"/>
      </bottom>
      <diagonal/>
    </border>
    <border>
      <left/>
      <right style="hair">
        <color theme="1" tint="0.34998626667073579"/>
      </right>
      <top style="dashed">
        <color theme="1" tint="0.34998626667073579"/>
      </top>
      <bottom/>
      <diagonal/>
    </border>
    <border>
      <left style="hair">
        <color theme="1" tint="0.34998626667073579"/>
      </left>
      <right/>
      <top style="dashed">
        <color theme="1" tint="0.34998626667073579"/>
      </top>
      <bottom/>
      <diagonal/>
    </border>
    <border>
      <left style="hair">
        <color theme="1" tint="0.34998626667073579"/>
      </left>
      <right style="hair">
        <color theme="1" tint="0.34998626667073579"/>
      </right>
      <top style="dashed">
        <color theme="1" tint="0.34998626667073579"/>
      </top>
      <bottom/>
      <diagonal/>
    </border>
    <border>
      <left style="thin">
        <color auto="1"/>
      </left>
      <right/>
      <top/>
      <bottom/>
      <diagonal/>
    </border>
    <border>
      <left/>
      <right/>
      <top style="medium">
        <color auto="1"/>
      </top>
      <bottom/>
      <diagonal/>
    </border>
    <border>
      <left/>
      <right style="dotted">
        <color indexed="64"/>
      </right>
      <top style="thin">
        <color indexed="64"/>
      </top>
      <bottom/>
      <diagonal/>
    </border>
    <border>
      <left/>
      <right/>
      <top style="thin">
        <color indexed="64"/>
      </top>
      <bottom/>
      <diagonal/>
    </border>
    <border>
      <left/>
      <right style="dotted">
        <color indexed="64"/>
      </right>
      <top/>
      <bottom/>
      <diagonal/>
    </border>
    <border>
      <left/>
      <right style="dotted">
        <color indexed="64"/>
      </right>
      <top style="thin">
        <color indexed="64"/>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rgb="FFC00000"/>
      </right>
      <top style="thin">
        <color rgb="FFC00000"/>
      </top>
      <bottom style="thin">
        <color rgb="FFC00000"/>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25346A"/>
      </left>
      <right/>
      <top style="medium">
        <color rgb="FF25346A"/>
      </top>
      <bottom/>
      <diagonal/>
    </border>
    <border>
      <left/>
      <right/>
      <top style="medium">
        <color rgb="FF25346A"/>
      </top>
      <bottom/>
      <diagonal/>
    </border>
    <border>
      <left/>
      <right style="medium">
        <color rgb="FF25346A"/>
      </right>
      <top style="medium">
        <color rgb="FF25346A"/>
      </top>
      <bottom/>
      <diagonal/>
    </border>
    <border>
      <left style="medium">
        <color rgb="FF25346A"/>
      </left>
      <right/>
      <top/>
      <bottom/>
      <diagonal/>
    </border>
    <border>
      <left/>
      <right style="medium">
        <color rgb="FF25346A"/>
      </right>
      <top/>
      <bottom/>
      <diagonal/>
    </border>
    <border>
      <left style="medium">
        <color rgb="FF25346A"/>
      </left>
      <right/>
      <top/>
      <bottom style="medium">
        <color rgb="FF25346A"/>
      </bottom>
      <diagonal/>
    </border>
    <border>
      <left/>
      <right/>
      <top/>
      <bottom style="medium">
        <color rgb="FF25346A"/>
      </bottom>
      <diagonal/>
    </border>
    <border>
      <left/>
      <right style="medium">
        <color rgb="FF25346A"/>
      </right>
      <top/>
      <bottom style="medium">
        <color rgb="FF25346A"/>
      </bottom>
      <diagonal/>
    </border>
    <border>
      <left style="medium">
        <color rgb="FF25346A"/>
      </left>
      <right/>
      <top style="medium">
        <color rgb="FF25346A"/>
      </top>
      <bottom style="medium">
        <color rgb="FF25346A"/>
      </bottom>
      <diagonal/>
    </border>
    <border>
      <left/>
      <right/>
      <top style="medium">
        <color rgb="FF25346A"/>
      </top>
      <bottom style="medium">
        <color rgb="FF25346A"/>
      </bottom>
      <diagonal/>
    </border>
    <border>
      <left/>
      <right style="medium">
        <color rgb="FF25346A"/>
      </right>
      <top style="medium">
        <color rgb="FF25346A"/>
      </top>
      <bottom style="medium">
        <color rgb="FF25346A"/>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right/>
      <top style="double">
        <color indexed="64"/>
      </top>
      <bottom style="thin">
        <color theme="1" tint="0.34998626667073579"/>
      </bottom>
      <diagonal/>
    </border>
    <border>
      <left style="thin">
        <color indexed="55"/>
      </left>
      <right style="thin">
        <color indexed="55"/>
      </right>
      <top style="thin">
        <color indexed="55"/>
      </top>
      <bottom style="thin">
        <color indexed="55"/>
      </bottom>
      <diagonal/>
    </border>
    <border>
      <left/>
      <right style="dotted">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indexed="55"/>
      </left>
      <right/>
      <top style="thin">
        <color indexed="55"/>
      </top>
      <bottom style="thin">
        <color indexed="55"/>
      </bottom>
      <diagonal/>
    </border>
    <border>
      <left/>
      <right style="medium">
        <color auto="1"/>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dotted">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style="hair">
        <color theme="1" tint="0.34998626667073579"/>
      </right>
      <top/>
      <bottom style="thin">
        <color auto="1"/>
      </bottom>
      <diagonal/>
    </border>
    <border>
      <left style="hair">
        <color theme="1" tint="0.34998626667073579"/>
      </left>
      <right/>
      <top/>
      <bottom style="thin">
        <color auto="1"/>
      </bottom>
      <diagonal/>
    </border>
    <border>
      <left style="hair">
        <color theme="1" tint="0.34998626667073579"/>
      </left>
      <right style="hair">
        <color theme="1" tint="0.34998626667073579"/>
      </right>
      <top/>
      <bottom style="thin">
        <color auto="1"/>
      </bottom>
      <diagonal/>
    </border>
    <border>
      <left/>
      <right style="hair">
        <color theme="1" tint="0.34998626667073579"/>
      </right>
      <top style="thin">
        <color auto="1"/>
      </top>
      <bottom/>
      <diagonal/>
    </border>
    <border>
      <left style="hair">
        <color theme="1" tint="0.34998626667073579"/>
      </left>
      <right/>
      <top style="thin">
        <color auto="1"/>
      </top>
      <bottom/>
      <diagonal/>
    </border>
    <border>
      <left style="hair">
        <color theme="1" tint="0.34998626667073579"/>
      </left>
      <right style="hair">
        <color theme="1" tint="0.34998626667073579"/>
      </right>
      <top style="thin">
        <color auto="1"/>
      </top>
      <bottom/>
      <diagonal/>
    </border>
    <border>
      <left/>
      <right style="hair">
        <color theme="1" tint="0.34998626667073579"/>
      </right>
      <top style="thin">
        <color indexed="64"/>
      </top>
      <bottom style="double">
        <color indexed="64"/>
      </bottom>
      <diagonal/>
    </border>
    <border>
      <left style="hair">
        <color theme="1" tint="0.34998626667073579"/>
      </left>
      <right/>
      <top style="thin">
        <color indexed="64"/>
      </top>
      <bottom style="double">
        <color indexed="64"/>
      </bottom>
      <diagonal/>
    </border>
    <border>
      <left style="hair">
        <color theme="1" tint="0.34998626667073579"/>
      </left>
      <right style="hair">
        <color theme="1" tint="0.34998626667073579"/>
      </right>
      <top style="thin">
        <color indexed="64"/>
      </top>
      <bottom style="double">
        <color indexed="64"/>
      </bottom>
      <diagonal/>
    </border>
    <border>
      <left style="thin">
        <color theme="0" tint="-0.499984740745262"/>
      </left>
      <right style="thin">
        <color theme="0" tint="-0.499984740745262"/>
      </right>
      <top/>
      <bottom style="thin">
        <color theme="0" tint="-0.499984740745262"/>
      </bottom>
      <diagonal/>
    </border>
    <border>
      <left style="thin">
        <color auto="1"/>
      </left>
      <right style="thin">
        <color auto="1"/>
      </right>
      <top/>
      <bottom style="thin">
        <color auto="1"/>
      </bottom>
      <diagonal/>
    </border>
    <border>
      <left style="thin">
        <color theme="0" tint="-0.24994659260841701"/>
      </left>
      <right/>
      <top style="thin">
        <color auto="1"/>
      </top>
      <bottom style="thin">
        <color theme="0" tint="-0.24994659260841701"/>
      </bottom>
      <diagonal/>
    </border>
    <border>
      <left/>
      <right/>
      <top style="thin">
        <color auto="1"/>
      </top>
      <bottom style="thin">
        <color theme="0" tint="-0.24994659260841701"/>
      </bottom>
      <diagonal/>
    </border>
    <border>
      <left/>
      <right style="medium">
        <color auto="1"/>
      </right>
      <top style="thin">
        <color auto="1"/>
      </top>
      <bottom style="thin">
        <color theme="0" tint="-0.2499465926084170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indexed="64"/>
      </top>
      <bottom/>
      <diagonal/>
    </border>
    <border>
      <left/>
      <right/>
      <top style="thin">
        <color auto="1"/>
      </top>
      <bottom style="thin">
        <color auto="1"/>
      </bottom>
      <diagonal/>
    </border>
    <border>
      <left/>
      <right style="dotted">
        <color indexed="64"/>
      </right>
      <top style="thin">
        <color auto="1"/>
      </top>
      <bottom style="thin">
        <color auto="1"/>
      </bottom>
      <diagonal/>
    </border>
    <border>
      <left style="dotted">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
      <left style="thick">
        <color theme="0"/>
      </left>
      <right/>
      <top style="thick">
        <color theme="0"/>
      </top>
      <bottom style="thin">
        <color auto="1"/>
      </bottom>
      <diagonal/>
    </border>
    <border>
      <left/>
      <right/>
      <top style="thick">
        <color theme="0"/>
      </top>
      <bottom style="thin">
        <color auto="1"/>
      </bottom>
      <diagonal/>
    </border>
    <border>
      <left style="thick">
        <color theme="0"/>
      </left>
      <right/>
      <top/>
      <bottom/>
      <diagonal/>
    </border>
    <border>
      <left style="thick">
        <color theme="0" tint="-4.9989318521683403E-2"/>
      </left>
      <right/>
      <top style="thick">
        <color theme="0" tint="-4.9989318521683403E-2"/>
      </top>
      <bottom/>
      <diagonal/>
    </border>
    <border>
      <left style="thick">
        <color theme="0"/>
      </left>
      <right/>
      <top style="thick">
        <color theme="0" tint="-4.9989318521683403E-2"/>
      </top>
      <bottom style="thin">
        <color auto="1"/>
      </bottom>
      <diagonal/>
    </border>
    <border>
      <left/>
      <right/>
      <top style="thick">
        <color theme="0" tint="-4.9989318521683403E-2"/>
      </top>
      <bottom style="thin">
        <color auto="1"/>
      </bottom>
      <diagonal/>
    </border>
    <border>
      <left/>
      <right style="thick">
        <color theme="0" tint="-4.9989318521683403E-2"/>
      </right>
      <top style="thick">
        <color theme="0" tint="-4.9989318521683403E-2"/>
      </top>
      <bottom style="thin">
        <color auto="1"/>
      </bottom>
      <diagonal/>
    </border>
    <border>
      <left style="thick">
        <color theme="0" tint="-4.9989318521683403E-2"/>
      </left>
      <right/>
      <top/>
      <bottom/>
      <diagonal/>
    </border>
    <border>
      <left/>
      <right style="thick">
        <color theme="0" tint="-4.9989318521683403E-2"/>
      </right>
      <top/>
      <bottom/>
      <diagonal/>
    </border>
    <border>
      <left/>
      <right style="thick">
        <color theme="0" tint="-4.9989318521683403E-2"/>
      </right>
      <top style="thick">
        <color theme="0"/>
      </top>
      <bottom style="thin">
        <color auto="1"/>
      </bottom>
      <diagonal/>
    </border>
    <border>
      <left style="thick">
        <color theme="0" tint="-4.9989318521683403E-2"/>
      </left>
      <right/>
      <top/>
      <bottom style="thick">
        <color theme="0" tint="-4.9989318521683403E-2"/>
      </bottom>
      <diagonal/>
    </border>
    <border>
      <left style="thick">
        <color theme="0"/>
      </left>
      <right/>
      <top/>
      <bottom style="thick">
        <color theme="0" tint="-4.9989318521683403E-2"/>
      </bottom>
      <diagonal/>
    </border>
    <border>
      <left/>
      <right/>
      <top/>
      <bottom style="thick">
        <color theme="0" tint="-4.9989318521683403E-2"/>
      </bottom>
      <diagonal/>
    </border>
    <border>
      <left/>
      <right style="thick">
        <color theme="0" tint="-4.9989318521683403E-2"/>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s>
  <cellStyleXfs count="96">
    <xf numFmtId="0" fontId="0" fillId="0" borderId="0">
      <alignment vertical="center"/>
    </xf>
    <xf numFmtId="0" fontId="2" fillId="0" borderId="1" applyNumberFormat="0">
      <alignment vertical="center"/>
    </xf>
    <xf numFmtId="0" fontId="58" fillId="0" borderId="0" applyNumberFormat="0" applyFill="0" applyBorder="0">
      <alignment vertical="center"/>
    </xf>
    <xf numFmtId="0" fontId="3" fillId="0" borderId="0" applyNumberFormat="0" applyFill="0" applyBorder="0">
      <alignment vertical="center"/>
    </xf>
    <xf numFmtId="0" fontId="4" fillId="2" borderId="2" applyNumberFormat="0">
      <alignment vertical="center"/>
    </xf>
    <xf numFmtId="0" fontId="5" fillId="2" borderId="2" applyNumberFormat="0" applyProtection="0">
      <alignment vertical="center"/>
    </xf>
    <xf numFmtId="0" fontId="4" fillId="0" borderId="0" applyNumberFormat="0" applyFill="0" applyBorder="0">
      <alignment vertical="center"/>
    </xf>
    <xf numFmtId="0" fontId="7" fillId="0" borderId="0" applyNumberFormat="0" applyFill="0" applyBorder="0">
      <alignment vertical="center"/>
    </xf>
    <xf numFmtId="0" fontId="5" fillId="0" borderId="3" applyNumberFormat="0" applyFont="0" applyFill="0" applyProtection="0">
      <alignment vertical="center"/>
    </xf>
    <xf numFmtId="0" fontId="8" fillId="51" borderId="4" applyNumberFormat="0">
      <alignment horizontal="centerContinuous" vertical="center" wrapText="1"/>
    </xf>
    <xf numFmtId="0" fontId="5" fillId="0" borderId="5" applyNumberFormat="0" applyFont="0" applyFill="0" applyAlignment="0" applyProtection="0"/>
    <xf numFmtId="0" fontId="5" fillId="0" borderId="6" applyNumberFormat="0" applyFont="0" applyFill="0" applyAlignment="0" applyProtection="0"/>
    <xf numFmtId="0" fontId="5" fillId="0" borderId="7" applyNumberFormat="0" applyFont="0" applyFill="0" applyAlignment="0" applyProtection="0"/>
    <xf numFmtId="0" fontId="5" fillId="0" borderId="2" applyNumberFormat="0">
      <alignment vertical="center"/>
    </xf>
    <xf numFmtId="171" fontId="5" fillId="0" borderId="0" applyFont="0" applyFill="0" applyBorder="0" applyProtection="0">
      <alignment vertical="center"/>
    </xf>
    <xf numFmtId="0" fontId="9" fillId="2" borderId="2" applyNumberFormat="0">
      <alignment vertical="center"/>
    </xf>
    <xf numFmtId="0" fontId="5" fillId="3" borderId="2" applyNumberFormat="0">
      <alignment vertical="center"/>
    </xf>
    <xf numFmtId="0" fontId="5" fillId="4" borderId="2" applyNumberFormat="0" applyFont="0" applyAlignment="0"/>
    <xf numFmtId="169" fontId="10" fillId="5" borderId="8">
      <alignment vertical="center"/>
    </xf>
    <xf numFmtId="170" fontId="63" fillId="0" borderId="2">
      <alignment horizontal="center"/>
    </xf>
    <xf numFmtId="0" fontId="21" fillId="10" borderId="12">
      <alignment horizontal="center" vertical="center"/>
    </xf>
    <xf numFmtId="0" fontId="70" fillId="3" borderId="11" applyNumberFormat="0" applyAlignment="0">
      <alignment vertical="center"/>
    </xf>
    <xf numFmtId="0" fontId="19" fillId="51" borderId="0">
      <alignment vertical="center"/>
    </xf>
    <xf numFmtId="0" fontId="22" fillId="51" borderId="0">
      <alignment vertical="center"/>
    </xf>
    <xf numFmtId="0" fontId="20" fillId="51" borderId="0">
      <alignment vertical="center"/>
    </xf>
    <xf numFmtId="0" fontId="21" fillId="9" borderId="12">
      <alignment horizontal="center" vertical="center"/>
    </xf>
    <xf numFmtId="0" fontId="21" fillId="11" borderId="12">
      <alignment horizontal="center" vertical="center"/>
    </xf>
    <xf numFmtId="0" fontId="70" fillId="46" borderId="12" applyNumberFormat="0" applyProtection="0">
      <alignment vertical="center"/>
    </xf>
    <xf numFmtId="164" fontId="24" fillId="0" borderId="0" applyFont="0" applyFill="0" applyBorder="0" applyAlignment="0" applyProtection="0"/>
    <xf numFmtId="166" fontId="24" fillId="0" borderId="0" applyFont="0" applyFill="0" applyBorder="0" applyAlignment="0" applyProtection="0"/>
    <xf numFmtId="167" fontId="24" fillId="0" borderId="0" applyFont="0" applyFill="0" applyBorder="0" applyAlignment="0" applyProtection="0"/>
    <xf numFmtId="165" fontId="24"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0" fontId="27" fillId="0" borderId="14" applyNumberFormat="0" applyFill="0" applyAlignment="0" applyProtection="0"/>
    <xf numFmtId="0" fontId="28" fillId="0" borderId="15" applyNumberFormat="0" applyFill="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2" fillId="15" borderId="16" applyNumberFormat="0" applyAlignment="0" applyProtection="0"/>
    <xf numFmtId="0" fontId="33" fillId="16" borderId="17" applyNumberFormat="0" applyAlignment="0" applyProtection="0"/>
    <xf numFmtId="0" fontId="34" fillId="16" borderId="16" applyNumberFormat="0" applyAlignment="0" applyProtection="0"/>
    <xf numFmtId="0" fontId="35" fillId="0" borderId="18" applyNumberFormat="0" applyFill="0" applyAlignment="0" applyProtection="0"/>
    <xf numFmtId="0" fontId="36" fillId="17" borderId="19" applyNumberFormat="0" applyAlignment="0" applyProtection="0"/>
    <xf numFmtId="0" fontId="37" fillId="0" borderId="0" applyNumberFormat="0" applyFill="0" applyBorder="0" applyAlignment="0" applyProtection="0"/>
    <xf numFmtId="0" fontId="24" fillId="18" borderId="20" applyNumberFormat="0" applyFont="0" applyAlignment="0" applyProtection="0"/>
    <xf numFmtId="0" fontId="38" fillId="0" borderId="0" applyNumberFormat="0" applyFill="0" applyBorder="0" applyAlignment="0" applyProtection="0"/>
    <xf numFmtId="0" fontId="39" fillId="0" borderId="21" applyNumberFormat="0" applyFill="0" applyAlignment="0" applyProtection="0"/>
    <xf numFmtId="0" fontId="4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0" fillId="26" borderId="0" applyNumberFormat="0" applyBorder="0" applyAlignment="0" applyProtection="0"/>
    <xf numFmtId="0" fontId="4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0" fillId="42" borderId="0" applyNumberFormat="0" applyBorder="0" applyAlignment="0" applyProtection="0"/>
    <xf numFmtId="172" fontId="14" fillId="0" borderId="10">
      <alignment horizontal="center"/>
      <protection locked="0"/>
    </xf>
    <xf numFmtId="0" fontId="41" fillId="45" borderId="0" applyNumberFormat="0" applyProtection="0">
      <alignment horizontal="left"/>
    </xf>
    <xf numFmtId="173" fontId="18" fillId="0" borderId="0" applyFill="0" applyBorder="0" applyAlignment="0" applyProtection="0"/>
    <xf numFmtId="0" fontId="41" fillId="45" borderId="0" applyNumberFormat="0" applyProtection="0">
      <alignment horizontal="left"/>
    </xf>
    <xf numFmtId="175" fontId="18" fillId="0" borderId="0" applyFont="0" applyFill="0" applyBorder="0" applyAlignment="0" applyProtection="0"/>
    <xf numFmtId="168" fontId="24" fillId="0" borderId="0" applyFont="0" applyFill="0" applyBorder="0" applyProtection="0">
      <alignment vertical="center"/>
    </xf>
    <xf numFmtId="168" fontId="5" fillId="0" borderId="0" applyFont="0" applyFill="0" applyBorder="0" applyAlignment="0" applyProtection="0"/>
    <xf numFmtId="181" fontId="51" fillId="48" borderId="32">
      <alignment vertical="center"/>
    </xf>
    <xf numFmtId="200" fontId="5" fillId="8" borderId="0" applyFont="0" applyFill="0" applyBorder="0" applyProtection="0">
      <alignment horizontal="center" vertical="center"/>
    </xf>
    <xf numFmtId="0" fontId="53" fillId="0" borderId="0" applyNumberFormat="0" applyFill="0" applyBorder="0" applyAlignment="0" applyProtection="0"/>
    <xf numFmtId="184" fontId="4" fillId="52" borderId="2">
      <alignment horizontal="center"/>
    </xf>
    <xf numFmtId="164" fontId="5" fillId="0" borderId="0" applyFont="0" applyFill="0" applyBorder="0" applyAlignment="0" applyProtection="0"/>
    <xf numFmtId="0" fontId="95" fillId="53" borderId="0" applyBorder="0">
      <alignment vertical="center"/>
    </xf>
    <xf numFmtId="196" fontId="14" fillId="0" borderId="105">
      <alignment horizontal="center"/>
    </xf>
    <xf numFmtId="0" fontId="70" fillId="46" borderId="12" applyNumberFormat="0">
      <alignment vertical="center"/>
      <protection locked="0"/>
    </xf>
    <xf numFmtId="0" fontId="15" fillId="0" borderId="0" applyNumberFormat="0">
      <alignment vertical="center"/>
    </xf>
    <xf numFmtId="199" fontId="5" fillId="8" borderId="0" applyFont="0" applyFill="0" applyBorder="0" applyProtection="0">
      <alignment horizontal="center" vertical="center"/>
    </xf>
    <xf numFmtId="0" fontId="10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19" fillId="51" borderId="0"/>
    <xf numFmtId="0" fontId="58" fillId="0" borderId="0" applyNumberFormat="0" applyFill="0" applyBorder="0" applyAlignment="0"/>
    <xf numFmtId="0" fontId="8" fillId="51" borderId="125" applyNumberFormat="0">
      <alignment horizontal="centerContinuous" vertical="center" wrapText="1"/>
    </xf>
  </cellStyleXfs>
  <cellXfs count="1140">
    <xf numFmtId="0" fontId="0" fillId="0" borderId="0" xfId="0">
      <alignment vertical="center"/>
    </xf>
    <xf numFmtId="0" fontId="2" fillId="0" borderId="1" xfId="1">
      <alignment vertical="center"/>
    </xf>
    <xf numFmtId="0" fontId="58" fillId="0" borderId="0" xfId="2">
      <alignment vertical="center"/>
    </xf>
    <xf numFmtId="0" fontId="3" fillId="0" borderId="0" xfId="3">
      <alignment vertical="center"/>
    </xf>
    <xf numFmtId="0" fontId="0" fillId="0" borderId="0" xfId="0" applyAlignment="1">
      <alignment horizontal="right"/>
    </xf>
    <xf numFmtId="0" fontId="4" fillId="2" borderId="2" xfId="4" applyAlignment="1">
      <alignment horizontal="right"/>
    </xf>
    <xf numFmtId="168" fontId="4" fillId="2" borderId="2" xfId="4" applyNumberFormat="1" applyAlignment="1">
      <alignment horizontal="right"/>
    </xf>
    <xf numFmtId="0" fontId="5" fillId="2" borderId="2" xfId="5">
      <alignment vertical="center"/>
    </xf>
    <xf numFmtId="0" fontId="4" fillId="0" borderId="0" xfId="6">
      <alignment vertical="center"/>
    </xf>
    <xf numFmtId="0" fontId="7" fillId="0" borderId="0" xfId="7">
      <alignment vertical="center"/>
    </xf>
    <xf numFmtId="0" fontId="0" fillId="0" borderId="3" xfId="8" applyFont="1">
      <alignment vertical="center"/>
    </xf>
    <xf numFmtId="0" fontId="8" fillId="51" borderId="4" xfId="9">
      <alignment horizontal="centerContinuous" vertical="center" wrapText="1"/>
    </xf>
    <xf numFmtId="0" fontId="0" fillId="0" borderId="5" xfId="10" applyFont="1"/>
    <xf numFmtId="0" fontId="0" fillId="0" borderId="6" xfId="11" applyFont="1"/>
    <xf numFmtId="0" fontId="0" fillId="0" borderId="7" xfId="12" applyFont="1"/>
    <xf numFmtId="0" fontId="5" fillId="0" borderId="2" xfId="13">
      <alignment vertical="center"/>
    </xf>
    <xf numFmtId="171" fontId="0" fillId="0" borderId="0" xfId="14" applyFont="1">
      <alignment vertical="center"/>
    </xf>
    <xf numFmtId="0" fontId="9" fillId="2" borderId="2" xfId="15">
      <alignment vertical="center"/>
    </xf>
    <xf numFmtId="0" fontId="0" fillId="3" borderId="2" xfId="16" applyFont="1">
      <alignment vertical="center"/>
    </xf>
    <xf numFmtId="0" fontId="4" fillId="2" borderId="2" xfId="4">
      <alignment vertical="center"/>
    </xf>
    <xf numFmtId="0" fontId="0" fillId="0" borderId="0" xfId="0">
      <alignment vertical="center"/>
    </xf>
    <xf numFmtId="0" fontId="0" fillId="4" borderId="2" xfId="17" applyFont="1"/>
    <xf numFmtId="169" fontId="10" fillId="5" borderId="8" xfId="18">
      <alignment vertical="center"/>
    </xf>
    <xf numFmtId="0" fontId="21" fillId="10" borderId="12" xfId="20">
      <alignment horizontal="center" vertical="center"/>
    </xf>
    <xf numFmtId="0" fontId="5" fillId="0" borderId="0" xfId="0" applyFont="1">
      <alignment vertical="center"/>
    </xf>
    <xf numFmtId="0" fontId="11" fillId="0" borderId="0" xfId="6" applyFont="1">
      <alignment vertical="center"/>
    </xf>
    <xf numFmtId="0" fontId="4" fillId="2" borderId="2" xfId="4" applyAlignment="1">
      <alignment horizontal="center"/>
    </xf>
    <xf numFmtId="2" fontId="4" fillId="2" borderId="2" xfId="4" applyNumberFormat="1" applyAlignment="1">
      <alignment horizontal="center"/>
    </xf>
    <xf numFmtId="2" fontId="12" fillId="2" borderId="2" xfId="4" applyNumberFormat="1" applyFont="1" applyAlignment="1">
      <alignment horizontal="center"/>
    </xf>
    <xf numFmtId="169" fontId="10" fillId="6" borderId="9" xfId="18" applyFill="1" applyBorder="1">
      <alignment vertical="center"/>
    </xf>
    <xf numFmtId="169" fontId="10" fillId="6" borderId="8" xfId="18" applyFill="1">
      <alignment vertical="center"/>
    </xf>
    <xf numFmtId="0" fontId="13" fillId="0" borderId="0" xfId="0" applyFont="1" applyAlignment="1">
      <alignment horizontal="center" vertical="center"/>
    </xf>
    <xf numFmtId="0" fontId="0" fillId="0" borderId="0" xfId="0" quotePrefix="1" applyAlignment="1">
      <alignment horizontal="center"/>
    </xf>
    <xf numFmtId="0" fontId="0" fillId="0" borderId="0" xfId="0" applyAlignment="1">
      <alignment horizontal="center"/>
    </xf>
    <xf numFmtId="0" fontId="15" fillId="0" borderId="0" xfId="75" applyFont="1" applyFill="1" applyAlignment="1">
      <alignment vertical="center"/>
    </xf>
    <xf numFmtId="0" fontId="17" fillId="3" borderId="11" xfId="21" applyFont="1" applyAlignment="1">
      <alignment horizontal="center" vertical="center"/>
    </xf>
    <xf numFmtId="0" fontId="18" fillId="8" borderId="0" xfId="0" applyFont="1" applyFill="1">
      <alignment vertical="center"/>
    </xf>
    <xf numFmtId="0" fontId="0" fillId="0" borderId="0" xfId="0">
      <alignment vertical="center"/>
    </xf>
    <xf numFmtId="0" fontId="2" fillId="0" borderId="1" xfId="1" applyAlignment="1">
      <alignment horizontal="left"/>
    </xf>
    <xf numFmtId="0" fontId="0" fillId="0" borderId="0" xfId="0">
      <alignment vertical="center"/>
    </xf>
    <xf numFmtId="0" fontId="18" fillId="0" borderId="0" xfId="0" applyFont="1">
      <alignment vertical="center"/>
    </xf>
    <xf numFmtId="0" fontId="19" fillId="51" borderId="0" xfId="22">
      <alignment vertical="center"/>
    </xf>
    <xf numFmtId="0" fontId="22" fillId="51" borderId="0" xfId="23">
      <alignment vertical="center"/>
    </xf>
    <xf numFmtId="0" fontId="20" fillId="51" borderId="0" xfId="24">
      <alignment vertical="center"/>
    </xf>
    <xf numFmtId="0" fontId="21" fillId="9" borderId="12" xfId="25">
      <alignment horizontal="center" vertical="center"/>
    </xf>
    <xf numFmtId="0" fontId="21" fillId="11" borderId="12" xfId="26">
      <alignment horizontal="center" vertical="center"/>
    </xf>
    <xf numFmtId="0" fontId="70" fillId="46" borderId="12" xfId="27">
      <alignment vertical="center"/>
    </xf>
    <xf numFmtId="0" fontId="0" fillId="0" borderId="0" xfId="0">
      <alignment vertical="center"/>
    </xf>
    <xf numFmtId="0" fontId="0" fillId="0" borderId="0" xfId="0" applyFill="1" applyBorder="1">
      <alignment vertical="center"/>
    </xf>
    <xf numFmtId="0" fontId="0" fillId="43" borderId="0" xfId="0" applyNumberFormat="1" applyFill="1" applyAlignment="1"/>
    <xf numFmtId="0" fontId="0" fillId="43" borderId="0" xfId="0" applyNumberFormat="1" applyFill="1" applyBorder="1" applyAlignment="1"/>
    <xf numFmtId="0" fontId="0" fillId="44" borderId="0" xfId="0" applyNumberFormat="1" applyFill="1" applyBorder="1" applyAlignment="1"/>
    <xf numFmtId="0" fontId="5" fillId="7" borderId="22" xfId="0" applyNumberFormat="1" applyFont="1" applyFill="1" applyBorder="1" applyAlignment="1"/>
    <xf numFmtId="0" fontId="5" fillId="7" borderId="23" xfId="0" applyNumberFormat="1" applyFont="1" applyFill="1" applyBorder="1" applyAlignment="1"/>
    <xf numFmtId="0" fontId="5" fillId="7" borderId="24" xfId="0" applyNumberFormat="1" applyFont="1" applyFill="1" applyBorder="1" applyAlignment="1"/>
    <xf numFmtId="0" fontId="5" fillId="7" borderId="25" xfId="0" applyNumberFormat="1" applyFont="1" applyFill="1" applyBorder="1" applyAlignment="1"/>
    <xf numFmtId="0" fontId="5" fillId="7" borderId="26" xfId="0" applyNumberFormat="1" applyFont="1" applyFill="1" applyBorder="1" applyAlignment="1"/>
    <xf numFmtId="0" fontId="42" fillId="44" borderId="0" xfId="0" applyFont="1" applyFill="1" applyBorder="1" applyAlignment="1" applyProtection="1"/>
    <xf numFmtId="0" fontId="5" fillId="7" borderId="0" xfId="0" applyNumberFormat="1" applyFont="1" applyFill="1" applyBorder="1" applyAlignment="1"/>
    <xf numFmtId="0" fontId="16" fillId="7" borderId="0" xfId="0" applyNumberFormat="1" applyFont="1" applyFill="1" applyBorder="1" applyAlignment="1"/>
    <xf numFmtId="0" fontId="5" fillId="8" borderId="0" xfId="0" applyNumberFormat="1" applyFont="1" applyFill="1" applyBorder="1" applyAlignment="1"/>
    <xf numFmtId="0" fontId="0" fillId="8" borderId="0" xfId="0" applyFill="1" applyBorder="1">
      <alignment vertical="center"/>
    </xf>
    <xf numFmtId="0" fontId="0" fillId="8" borderId="0" xfId="0" applyFill="1" applyBorder="1" applyAlignment="1">
      <alignment horizontal="right"/>
    </xf>
    <xf numFmtId="0" fontId="5" fillId="7" borderId="27" xfId="0" applyNumberFormat="1" applyFont="1" applyFill="1" applyBorder="1" applyAlignment="1"/>
    <xf numFmtId="0" fontId="46" fillId="43" borderId="0" xfId="0" applyNumberFormat="1" applyFont="1" applyFill="1" applyAlignment="1"/>
    <xf numFmtId="0" fontId="8" fillId="51" borderId="30" xfId="9" applyBorder="1">
      <alignment horizontal="centerContinuous" vertical="center" wrapText="1"/>
    </xf>
    <xf numFmtId="0" fontId="21" fillId="0" borderId="0" xfId="0" applyFont="1">
      <alignment vertical="center"/>
    </xf>
    <xf numFmtId="0" fontId="18" fillId="7" borderId="0" xfId="0" applyFont="1" applyFill="1" applyBorder="1" applyAlignment="1">
      <alignment horizontal="right"/>
    </xf>
    <xf numFmtId="0" fontId="5" fillId="0" borderId="0" xfId="0" applyFont="1" applyAlignment="1"/>
    <xf numFmtId="0" fontId="5" fillId="0" borderId="2" xfId="13" applyAlignment="1">
      <alignment horizontal="center"/>
    </xf>
    <xf numFmtId="168" fontId="5" fillId="0" borderId="2" xfId="13" applyNumberFormat="1">
      <alignment vertical="center"/>
    </xf>
    <xf numFmtId="168" fontId="5" fillId="2" borderId="2" xfId="5" applyNumberFormat="1">
      <alignment vertical="center"/>
    </xf>
    <xf numFmtId="0" fontId="0" fillId="0" borderId="0" xfId="0">
      <alignment vertical="center"/>
    </xf>
    <xf numFmtId="176" fontId="4" fillId="0" borderId="0" xfId="6" applyNumberFormat="1" applyAlignment="1">
      <alignment horizontal="left"/>
    </xf>
    <xf numFmtId="176" fontId="4" fillId="0" borderId="0" xfId="6" applyNumberFormat="1">
      <alignment vertical="center"/>
    </xf>
    <xf numFmtId="0" fontId="49" fillId="0" borderId="0" xfId="0" applyFont="1">
      <alignment vertical="center"/>
    </xf>
    <xf numFmtId="0" fontId="0" fillId="0" borderId="0" xfId="0">
      <alignment vertical="center"/>
    </xf>
    <xf numFmtId="0" fontId="0" fillId="0" borderId="0" xfId="0">
      <alignment vertical="center"/>
    </xf>
    <xf numFmtId="0" fontId="0" fillId="0" borderId="0" xfId="0" quotePrefix="1">
      <alignment vertical="center"/>
    </xf>
    <xf numFmtId="168" fontId="0" fillId="0" borderId="0" xfId="79" applyFont="1">
      <alignment vertical="center"/>
    </xf>
    <xf numFmtId="168" fontId="0" fillId="8" borderId="0" xfId="0" applyNumberFormat="1" applyFill="1">
      <alignment vertical="center"/>
    </xf>
    <xf numFmtId="175" fontId="0" fillId="0" borderId="0" xfId="78" applyFont="1"/>
    <xf numFmtId="182" fontId="0" fillId="0" borderId="0" xfId="0" applyNumberFormat="1">
      <alignment vertical="center"/>
    </xf>
    <xf numFmtId="0" fontId="0" fillId="0" borderId="0" xfId="0">
      <alignment vertical="center"/>
    </xf>
    <xf numFmtId="164" fontId="0" fillId="4" borderId="2" xfId="17" applyNumberFormat="1" applyFont="1"/>
    <xf numFmtId="177" fontId="9" fillId="2" borderId="2" xfId="15" applyNumberFormat="1">
      <alignment vertical="center"/>
    </xf>
    <xf numFmtId="168" fontId="0" fillId="0" borderId="0" xfId="0" applyNumberFormat="1">
      <alignment vertical="center"/>
    </xf>
    <xf numFmtId="0" fontId="5" fillId="0" borderId="0" xfId="0" applyFont="1" applyFill="1" applyBorder="1">
      <alignment vertical="center"/>
    </xf>
    <xf numFmtId="0" fontId="0" fillId="0" borderId="0" xfId="0">
      <alignment vertical="center"/>
    </xf>
    <xf numFmtId="0" fontId="0" fillId="0" borderId="0" xfId="0">
      <alignment vertical="center"/>
    </xf>
    <xf numFmtId="181" fontId="51" fillId="48" borderId="32" xfId="81">
      <alignment vertical="center"/>
    </xf>
    <xf numFmtId="171" fontId="8" fillId="51" borderId="4" xfId="9" applyNumberFormat="1">
      <alignment horizontal="centerContinuous" vertical="center" wrapText="1"/>
    </xf>
    <xf numFmtId="0" fontId="0" fillId="0" borderId="0" xfId="0" applyBorder="1">
      <alignment vertical="center"/>
    </xf>
    <xf numFmtId="0" fontId="5" fillId="0" borderId="0" xfId="0" applyFont="1" applyBorder="1">
      <alignment vertical="center"/>
    </xf>
    <xf numFmtId="0" fontId="0" fillId="49" borderId="0" xfId="0" applyFill="1">
      <alignment vertical="center"/>
    </xf>
    <xf numFmtId="0" fontId="0" fillId="8" borderId="33" xfId="0" applyFill="1" applyBorder="1">
      <alignment vertical="center"/>
    </xf>
    <xf numFmtId="0" fontId="0" fillId="8" borderId="34" xfId="0" applyFill="1" applyBorder="1">
      <alignment vertical="center"/>
    </xf>
    <xf numFmtId="0" fontId="0" fillId="8" borderId="35" xfId="0" applyFill="1" applyBorder="1">
      <alignment vertical="center"/>
    </xf>
    <xf numFmtId="0" fontId="0" fillId="8" borderId="36" xfId="0" applyFill="1" applyBorder="1">
      <alignment vertical="center"/>
    </xf>
    <xf numFmtId="0" fontId="0" fillId="8" borderId="37" xfId="0" applyFill="1" applyBorder="1">
      <alignment vertical="center"/>
    </xf>
    <xf numFmtId="0" fontId="54" fillId="8" borderId="0" xfId="0" applyFont="1" applyFill="1" applyBorder="1">
      <alignment vertical="center"/>
    </xf>
    <xf numFmtId="0" fontId="0" fillId="50" borderId="38" xfId="0" applyFill="1" applyBorder="1">
      <alignment vertical="center"/>
    </xf>
    <xf numFmtId="0" fontId="0" fillId="50" borderId="39" xfId="0" applyFill="1" applyBorder="1">
      <alignment vertical="center"/>
    </xf>
    <xf numFmtId="0" fontId="0" fillId="50" borderId="40" xfId="0" applyFill="1" applyBorder="1">
      <alignment vertical="center"/>
    </xf>
    <xf numFmtId="0" fontId="55" fillId="0" borderId="0" xfId="0" applyFont="1" applyBorder="1">
      <alignment vertical="center"/>
    </xf>
    <xf numFmtId="0" fontId="56" fillId="50" borderId="39" xfId="0" applyFont="1" applyFill="1" applyBorder="1">
      <alignment vertical="center"/>
    </xf>
    <xf numFmtId="0" fontId="39" fillId="50" borderId="39" xfId="0" applyFont="1" applyFill="1" applyBorder="1">
      <alignment vertical="center"/>
    </xf>
    <xf numFmtId="0" fontId="0" fillId="8" borderId="36" xfId="0" applyFont="1" applyFill="1" applyBorder="1">
      <alignment vertical="center"/>
    </xf>
    <xf numFmtId="0" fontId="57" fillId="0" borderId="0" xfId="0" applyFont="1" applyBorder="1">
      <alignment vertical="center"/>
    </xf>
    <xf numFmtId="0" fontId="0" fillId="0" borderId="0" xfId="0" applyFont="1" applyBorder="1">
      <alignment vertical="center"/>
    </xf>
    <xf numFmtId="0" fontId="0" fillId="0" borderId="0" xfId="0" applyFont="1">
      <alignment vertical="center"/>
    </xf>
    <xf numFmtId="0" fontId="55" fillId="0" borderId="0" xfId="0" applyFont="1" applyBorder="1" applyAlignment="1">
      <alignment horizontal="right"/>
    </xf>
    <xf numFmtId="0" fontId="0" fillId="8" borderId="41" xfId="0" applyFill="1" applyBorder="1">
      <alignment vertical="center"/>
    </xf>
    <xf numFmtId="0" fontId="0" fillId="8" borderId="42" xfId="0" applyFill="1" applyBorder="1">
      <alignment vertical="center"/>
    </xf>
    <xf numFmtId="0" fontId="0" fillId="8" borderId="43" xfId="0" applyFill="1" applyBorder="1">
      <alignment vertical="center"/>
    </xf>
    <xf numFmtId="173" fontId="9" fillId="2" borderId="2" xfId="78" applyNumberFormat="1" applyFont="1" applyFill="1" applyBorder="1"/>
    <xf numFmtId="0" fontId="0" fillId="0" borderId="0" xfId="0">
      <alignment vertical="center"/>
    </xf>
    <xf numFmtId="0" fontId="0" fillId="0" borderId="0" xfId="0">
      <alignment vertical="center"/>
    </xf>
    <xf numFmtId="0" fontId="0" fillId="0" borderId="0" xfId="0">
      <alignment vertical="center"/>
    </xf>
    <xf numFmtId="10" fontId="5" fillId="0" borderId="2" xfId="13" applyNumberFormat="1">
      <alignment vertical="center"/>
    </xf>
    <xf numFmtId="0" fontId="48" fillId="0" borderId="0" xfId="0" applyFont="1">
      <alignment vertical="center"/>
    </xf>
    <xf numFmtId="0" fontId="16" fillId="0" borderId="0" xfId="0" applyFont="1">
      <alignment vertical="center"/>
    </xf>
    <xf numFmtId="168" fontId="0" fillId="0" borderId="0" xfId="0" applyNumberFormat="1" applyBorder="1">
      <alignment vertical="center"/>
    </xf>
    <xf numFmtId="181" fontId="65" fillId="4" borderId="2" xfId="17" applyNumberFormat="1" applyFont="1"/>
    <xf numFmtId="0" fontId="67" fillId="0" borderId="0" xfId="0" applyFont="1">
      <alignment vertical="center"/>
    </xf>
    <xf numFmtId="0" fontId="18" fillId="4" borderId="2" xfId="17" applyFont="1"/>
    <xf numFmtId="0" fontId="0" fillId="8" borderId="0" xfId="0" applyFill="1">
      <alignment vertical="center"/>
    </xf>
    <xf numFmtId="181" fontId="8" fillId="51" borderId="4" xfId="9" applyNumberFormat="1">
      <alignment horizontal="centerContinuous" vertical="center" wrapText="1"/>
    </xf>
    <xf numFmtId="0" fontId="18" fillId="47" borderId="0" xfId="0" applyFont="1" applyFill="1">
      <alignment vertical="center"/>
    </xf>
    <xf numFmtId="168" fontId="18" fillId="0" borderId="6" xfId="11" applyNumberFormat="1" applyFont="1"/>
    <xf numFmtId="0" fontId="0" fillId="0" borderId="0" xfId="0">
      <alignment vertical="center"/>
    </xf>
    <xf numFmtId="168" fontId="18" fillId="0" borderId="0" xfId="79" applyNumberFormat="1" applyFont="1">
      <alignment vertical="center"/>
    </xf>
    <xf numFmtId="0" fontId="72" fillId="0" borderId="0" xfId="0" applyFont="1">
      <alignment vertical="center"/>
    </xf>
    <xf numFmtId="0" fontId="3" fillId="3" borderId="0" xfId="3" applyFill="1">
      <alignment vertical="center"/>
    </xf>
    <xf numFmtId="0" fontId="0" fillId="3" borderId="0" xfId="0" applyFill="1">
      <alignment vertical="center"/>
    </xf>
    <xf numFmtId="0" fontId="21" fillId="3" borderId="0" xfId="0" applyFont="1" applyFill="1">
      <alignment vertical="center"/>
    </xf>
    <xf numFmtId="176" fontId="4" fillId="0" borderId="0" xfId="6" applyNumberFormat="1" applyAlignment="1">
      <alignment horizontal="center"/>
    </xf>
    <xf numFmtId="0" fontId="0" fillId="0" borderId="26" xfId="0" applyBorder="1">
      <alignment vertical="center"/>
    </xf>
    <xf numFmtId="0" fontId="0" fillId="0" borderId="28" xfId="0" applyBorder="1">
      <alignment vertical="center"/>
    </xf>
    <xf numFmtId="0" fontId="0" fillId="0" borderId="29" xfId="0" applyBorder="1">
      <alignment vertical="center"/>
    </xf>
    <xf numFmtId="168" fontId="0" fillId="0" borderId="0" xfId="0" applyNumberFormat="1">
      <alignment vertical="center"/>
    </xf>
    <xf numFmtId="168" fontId="5" fillId="2" borderId="2" xfId="5" applyNumberFormat="1" applyAlignment="1"/>
    <xf numFmtId="168" fontId="0" fillId="0" borderId="0" xfId="79" applyNumberFormat="1" applyFont="1">
      <alignment vertical="center"/>
    </xf>
    <xf numFmtId="168" fontId="0" fillId="46" borderId="0" xfId="0" applyNumberFormat="1" applyFill="1">
      <alignment vertical="center"/>
    </xf>
    <xf numFmtId="168" fontId="0" fillId="8" borderId="0" xfId="79" applyNumberFormat="1" applyFont="1" applyFill="1">
      <alignment vertical="center"/>
    </xf>
    <xf numFmtId="168" fontId="21" fillId="3" borderId="6" xfId="11" applyNumberFormat="1" applyFont="1" applyFill="1"/>
    <xf numFmtId="168" fontId="0" fillId="8" borderId="7" xfId="12" applyNumberFormat="1" applyFont="1" applyFill="1"/>
    <xf numFmtId="168" fontId="9" fillId="2" borderId="2" xfId="15" applyNumberFormat="1">
      <alignment vertical="center"/>
    </xf>
    <xf numFmtId="0" fontId="75" fillId="0" borderId="1" xfId="1" applyFont="1" applyAlignment="1">
      <alignment horizontal="left"/>
    </xf>
    <xf numFmtId="0" fontId="2" fillId="8" borderId="1" xfId="1" applyFill="1" applyAlignment="1">
      <alignment horizontal="left"/>
    </xf>
    <xf numFmtId="168" fontId="0" fillId="3" borderId="3" xfId="8" applyNumberFormat="1" applyFont="1" applyFill="1">
      <alignment vertical="center"/>
    </xf>
    <xf numFmtId="168" fontId="21" fillId="3" borderId="3" xfId="8" applyNumberFormat="1" applyFont="1" applyFill="1">
      <alignment vertical="center"/>
    </xf>
    <xf numFmtId="0" fontId="0" fillId="46" borderId="0" xfId="0" applyFill="1">
      <alignment vertical="center"/>
    </xf>
    <xf numFmtId="188" fontId="0" fillId="0" borderId="0" xfId="0" applyNumberFormat="1">
      <alignment vertical="center"/>
    </xf>
    <xf numFmtId="0" fontId="5" fillId="0" borderId="0" xfId="0" applyFont="1" applyAlignment="1">
      <alignment horizontal="right"/>
    </xf>
    <xf numFmtId="183" fontId="76" fillId="51" borderId="4" xfId="9" applyNumberFormat="1" applyFont="1" applyAlignment="1">
      <alignment horizontal="center" vertical="center" wrapText="1"/>
    </xf>
    <xf numFmtId="183" fontId="76" fillId="51" borderId="52" xfId="9" applyNumberFormat="1" applyFont="1" applyBorder="1" applyAlignment="1">
      <alignment horizontal="center" vertical="center" wrapText="1"/>
    </xf>
    <xf numFmtId="0" fontId="0" fillId="0" borderId="54" xfId="0" applyBorder="1">
      <alignment vertical="center"/>
    </xf>
    <xf numFmtId="0" fontId="0" fillId="0" borderId="55" xfId="0" applyBorder="1">
      <alignment vertical="center"/>
    </xf>
    <xf numFmtId="168" fontId="0" fillId="0" borderId="56" xfId="79" applyNumberFormat="1" applyFont="1" applyBorder="1">
      <alignment vertical="center"/>
    </xf>
    <xf numFmtId="168" fontId="0" fillId="0" borderId="57" xfId="79" applyNumberFormat="1" applyFont="1" applyBorder="1">
      <alignment vertical="center"/>
    </xf>
    <xf numFmtId="168" fontId="21" fillId="3" borderId="58" xfId="11" applyNumberFormat="1" applyFont="1" applyFill="1" applyBorder="1"/>
    <xf numFmtId="168" fontId="21" fillId="3" borderId="59" xfId="11" applyNumberFormat="1" applyFont="1" applyFill="1" applyBorder="1"/>
    <xf numFmtId="0" fontId="0" fillId="0" borderId="56" xfId="0" applyBorder="1">
      <alignment vertical="center"/>
    </xf>
    <xf numFmtId="0" fontId="0" fillId="0" borderId="57" xfId="0" applyBorder="1">
      <alignment vertical="center"/>
    </xf>
    <xf numFmtId="168" fontId="0" fillId="8" borderId="56" xfId="79" applyNumberFormat="1" applyFont="1" applyFill="1" applyBorder="1">
      <alignment vertical="center"/>
    </xf>
    <xf numFmtId="168" fontId="0" fillId="8" borderId="57" xfId="79" applyNumberFormat="1" applyFont="1" applyFill="1" applyBorder="1">
      <alignment vertical="center"/>
    </xf>
    <xf numFmtId="0" fontId="0" fillId="0" borderId="62" xfId="0" applyBorder="1">
      <alignment vertical="center"/>
    </xf>
    <xf numFmtId="168" fontId="0" fillId="0" borderId="63" xfId="79" applyNumberFormat="1" applyFont="1" applyBorder="1">
      <alignment vertical="center"/>
    </xf>
    <xf numFmtId="168" fontId="21" fillId="3" borderId="64" xfId="11" applyNumberFormat="1" applyFont="1" applyFill="1" applyBorder="1"/>
    <xf numFmtId="0" fontId="0" fillId="0" borderId="63" xfId="0" applyBorder="1">
      <alignment vertical="center"/>
    </xf>
    <xf numFmtId="168" fontId="0" fillId="8" borderId="63" xfId="79" applyNumberFormat="1" applyFont="1" applyFill="1" applyBorder="1">
      <alignment vertical="center"/>
    </xf>
    <xf numFmtId="0" fontId="21" fillId="46" borderId="0" xfId="0" applyFont="1" applyFill="1" applyAlignment="1">
      <alignment horizontal="center" vertical="center"/>
    </xf>
    <xf numFmtId="0" fontId="76" fillId="51" borderId="51" xfId="9" applyFont="1" applyBorder="1" applyAlignment="1">
      <alignment horizontal="centerContinuous" vertical="center" wrapText="1"/>
    </xf>
    <xf numFmtId="0" fontId="76" fillId="51" borderId="53" xfId="9" applyFont="1" applyBorder="1" applyAlignment="1">
      <alignment horizontal="centerContinuous" vertical="center" wrapText="1"/>
    </xf>
    <xf numFmtId="0" fontId="0" fillId="46" borderId="0" xfId="0" applyFont="1" applyFill="1" applyAlignment="1">
      <alignment horizontal="center" vertical="center"/>
    </xf>
    <xf numFmtId="168" fontId="21" fillId="3" borderId="66" xfId="8" applyNumberFormat="1" applyFont="1" applyFill="1" applyBorder="1">
      <alignment vertical="center"/>
    </xf>
    <xf numFmtId="168" fontId="21" fillId="3" borderId="67" xfId="8" applyNumberFormat="1" applyFont="1" applyFill="1" applyBorder="1">
      <alignment vertical="center"/>
    </xf>
    <xf numFmtId="168" fontId="0" fillId="0" borderId="56" xfId="0" applyNumberFormat="1" applyBorder="1">
      <alignment vertical="center"/>
    </xf>
    <xf numFmtId="168" fontId="0" fillId="0" borderId="57" xfId="0" applyNumberFormat="1" applyBorder="1">
      <alignment vertical="center"/>
    </xf>
    <xf numFmtId="168" fontId="21" fillId="3" borderId="68" xfId="8" applyNumberFormat="1" applyFont="1" applyFill="1" applyBorder="1">
      <alignment vertical="center"/>
    </xf>
    <xf numFmtId="168" fontId="0" fillId="0" borderId="63" xfId="0" applyNumberFormat="1" applyBorder="1">
      <alignment vertical="center"/>
    </xf>
    <xf numFmtId="168" fontId="0" fillId="0" borderId="3" xfId="79" applyFont="1" applyBorder="1">
      <alignment vertical="center"/>
    </xf>
    <xf numFmtId="189" fontId="0" fillId="0" borderId="0" xfId="0" applyNumberFormat="1">
      <alignment vertical="center"/>
    </xf>
    <xf numFmtId="0" fontId="0" fillId="54" borderId="0" xfId="0" applyFill="1">
      <alignment vertical="center"/>
    </xf>
    <xf numFmtId="0" fontId="18" fillId="0" borderId="0" xfId="0" applyFont="1" applyAlignment="1">
      <alignment vertical="center"/>
    </xf>
    <xf numFmtId="0" fontId="3" fillId="0" borderId="0" xfId="3" applyAlignment="1">
      <alignment vertical="center"/>
    </xf>
    <xf numFmtId="0" fontId="0" fillId="0" borderId="0" xfId="0" applyAlignment="1">
      <alignment horizontal="right" vertical="center"/>
    </xf>
    <xf numFmtId="0" fontId="18" fillId="7" borderId="0" xfId="0" applyFont="1" applyFill="1" applyBorder="1" applyAlignment="1">
      <alignment vertical="center"/>
    </xf>
    <xf numFmtId="0" fontId="5" fillId="8" borderId="0" xfId="0" applyFont="1" applyFill="1" applyBorder="1" applyAlignment="1">
      <alignment horizontal="right" vertical="center"/>
    </xf>
    <xf numFmtId="0" fontId="18" fillId="54" borderId="0" xfId="0" applyFont="1" applyFill="1" applyAlignment="1">
      <alignment vertical="center"/>
    </xf>
    <xf numFmtId="0" fontId="0" fillId="54" borderId="0" xfId="0" applyFill="1" applyAlignment="1">
      <alignment vertical="center"/>
    </xf>
    <xf numFmtId="0" fontId="0" fillId="8" borderId="0" xfId="0" applyFill="1" applyAlignment="1">
      <alignment vertical="center"/>
    </xf>
    <xf numFmtId="0" fontId="19" fillId="51" borderId="0" xfId="22" applyAlignment="1">
      <alignment vertical="center"/>
    </xf>
    <xf numFmtId="0" fontId="58" fillId="0" borderId="0" xfId="2" applyAlignment="1">
      <alignment vertical="center"/>
    </xf>
    <xf numFmtId="0" fontId="72" fillId="0" borderId="0" xfId="0" applyFont="1" applyAlignment="1">
      <alignment vertical="center"/>
    </xf>
    <xf numFmtId="0" fontId="0" fillId="0" borderId="0" xfId="0" applyFont="1" applyAlignment="1">
      <alignment vertical="center"/>
    </xf>
    <xf numFmtId="0" fontId="5" fillId="8" borderId="0" xfId="0" applyFont="1" applyFill="1" applyBorder="1" applyAlignment="1">
      <alignment vertical="center"/>
    </xf>
    <xf numFmtId="0" fontId="0" fillId="8" borderId="0" xfId="0" applyFont="1" applyFill="1" applyBorder="1" applyAlignment="1">
      <alignment vertical="center"/>
    </xf>
    <xf numFmtId="0" fontId="21" fillId="54" borderId="0" xfId="0" applyFont="1" applyFill="1" applyAlignment="1">
      <alignment vertical="center"/>
    </xf>
    <xf numFmtId="168" fontId="0" fillId="0" borderId="0" xfId="79" applyNumberFormat="1" applyFont="1" applyAlignment="1">
      <alignment vertical="center"/>
    </xf>
    <xf numFmtId="0" fontId="21" fillId="3" borderId="44" xfId="0" applyFont="1" applyFill="1" applyBorder="1" applyAlignment="1">
      <alignment vertical="center"/>
    </xf>
    <xf numFmtId="0" fontId="0" fillId="3" borderId="44" xfId="0" applyFill="1" applyBorder="1" applyAlignment="1">
      <alignment vertical="center"/>
    </xf>
    <xf numFmtId="0" fontId="0" fillId="0" borderId="0" xfId="0">
      <alignment vertical="center"/>
    </xf>
    <xf numFmtId="0" fontId="0" fillId="0" borderId="1" xfId="0" applyBorder="1">
      <alignment vertical="center"/>
    </xf>
    <xf numFmtId="0" fontId="0" fillId="0" borderId="75" xfId="0" applyBorder="1" applyAlignment="1">
      <alignment vertical="center"/>
    </xf>
    <xf numFmtId="0" fontId="0" fillId="0" borderId="71" xfId="0" applyBorder="1" applyAlignment="1">
      <alignment vertical="center"/>
    </xf>
    <xf numFmtId="0" fontId="81" fillId="8" borderId="0" xfId="0" applyFont="1" applyFill="1" applyBorder="1">
      <alignment vertical="center"/>
    </xf>
    <xf numFmtId="0" fontId="0" fillId="0" borderId="78" xfId="0" applyBorder="1">
      <alignment vertical="center"/>
    </xf>
    <xf numFmtId="0" fontId="58" fillId="0" borderId="70" xfId="2" applyBorder="1">
      <alignment vertical="center"/>
    </xf>
    <xf numFmtId="0" fontId="0" fillId="0" borderId="70" xfId="0" applyBorder="1">
      <alignment vertical="center"/>
    </xf>
    <xf numFmtId="0" fontId="0" fillId="0" borderId="79" xfId="0" applyBorder="1">
      <alignment vertical="center"/>
    </xf>
    <xf numFmtId="0" fontId="0" fillId="0" borderId="80" xfId="0" applyBorder="1">
      <alignment vertical="center"/>
    </xf>
    <xf numFmtId="0" fontId="0" fillId="0" borderId="81" xfId="0" applyBorder="1">
      <alignment vertical="center"/>
    </xf>
    <xf numFmtId="181" fontId="51" fillId="48" borderId="82" xfId="81" applyBorder="1" applyAlignment="1">
      <alignment horizontal="right"/>
    </xf>
    <xf numFmtId="0" fontId="3" fillId="0" borderId="0" xfId="3" applyBorder="1">
      <alignment vertical="center"/>
    </xf>
    <xf numFmtId="168" fontId="5" fillId="0" borderId="2" xfId="13" applyNumberFormat="1" applyBorder="1">
      <alignment vertical="center"/>
    </xf>
    <xf numFmtId="0" fontId="0" fillId="8" borderId="81" xfId="0" applyFill="1" applyBorder="1">
      <alignment vertical="center"/>
    </xf>
    <xf numFmtId="0" fontId="0" fillId="0" borderId="83" xfId="0" applyBorder="1">
      <alignment vertical="center"/>
    </xf>
    <xf numFmtId="0" fontId="0" fillId="0" borderId="84" xfId="0" applyBorder="1">
      <alignment vertical="center"/>
    </xf>
    <xf numFmtId="0" fontId="5" fillId="7" borderId="69" xfId="0" applyNumberFormat="1" applyFont="1" applyFill="1" applyBorder="1" applyAlignment="1"/>
    <xf numFmtId="0" fontId="5" fillId="7" borderId="85" xfId="0" applyNumberFormat="1" applyFont="1" applyFill="1" applyBorder="1" applyAlignment="1"/>
    <xf numFmtId="0" fontId="5" fillId="7" borderId="86" xfId="0" applyNumberFormat="1" applyFont="1" applyFill="1" applyBorder="1" applyAlignment="1"/>
    <xf numFmtId="0" fontId="5" fillId="7" borderId="87" xfId="0" applyNumberFormat="1" applyFont="1" applyFill="1" applyBorder="1" applyAlignment="1"/>
    <xf numFmtId="0" fontId="5" fillId="7" borderId="88" xfId="0" applyNumberFormat="1" applyFont="1" applyFill="1" applyBorder="1" applyAlignment="1"/>
    <xf numFmtId="0" fontId="5" fillId="7" borderId="89" xfId="0" applyNumberFormat="1" applyFont="1" applyFill="1" applyBorder="1" applyAlignment="1"/>
    <xf numFmtId="0" fontId="5" fillId="7" borderId="90" xfId="0" applyNumberFormat="1" applyFont="1" applyFill="1" applyBorder="1" applyAlignment="1"/>
    <xf numFmtId="0" fontId="5" fillId="7" borderId="91" xfId="0" applyNumberFormat="1" applyFont="1" applyFill="1" applyBorder="1" applyAlignment="1"/>
    <xf numFmtId="0" fontId="5" fillId="7" borderId="92" xfId="0" applyNumberFormat="1" applyFont="1" applyFill="1" applyBorder="1" applyAlignment="1"/>
    <xf numFmtId="0" fontId="62" fillId="54" borderId="0" xfId="0" applyFont="1" applyFill="1">
      <alignment vertical="center"/>
    </xf>
    <xf numFmtId="0" fontId="0" fillId="0" borderId="0" xfId="0" applyAlignment="1" applyProtection="1">
      <alignment vertical="center"/>
    </xf>
    <xf numFmtId="0" fontId="19" fillId="51" borderId="0" xfId="22" applyProtection="1">
      <alignment vertical="center"/>
      <protection hidden="1"/>
    </xf>
    <xf numFmtId="0" fontId="0" fillId="0" borderId="0" xfId="0" applyProtection="1">
      <alignment vertical="center"/>
      <protection hidden="1"/>
    </xf>
    <xf numFmtId="168" fontId="18" fillId="8" borderId="0" xfId="79" applyNumberFormat="1" applyFont="1" applyFill="1">
      <alignment vertical="center"/>
    </xf>
    <xf numFmtId="0" fontId="8" fillId="51" borderId="101" xfId="9" applyBorder="1">
      <alignment horizontal="centerContinuous" vertical="center" wrapText="1"/>
    </xf>
    <xf numFmtId="0" fontId="0" fillId="0" borderId="98" xfId="0" applyBorder="1">
      <alignment vertical="center"/>
    </xf>
    <xf numFmtId="0" fontId="0" fillId="0" borderId="99" xfId="0" applyBorder="1">
      <alignment vertical="center"/>
    </xf>
    <xf numFmtId="0" fontId="8" fillId="51" borderId="102" xfId="9" applyBorder="1">
      <alignment horizontal="centerContinuous" vertical="center" wrapText="1"/>
    </xf>
    <xf numFmtId="168" fontId="18" fillId="8" borderId="6" xfId="11" applyNumberFormat="1" applyFont="1" applyFill="1"/>
    <xf numFmtId="0" fontId="0" fillId="0" borderId="0" xfId="0" quotePrefix="1" applyBorder="1">
      <alignment vertical="center"/>
    </xf>
    <xf numFmtId="0" fontId="23" fillId="0" borderId="0" xfId="0" applyFont="1" applyProtection="1">
      <alignment vertical="center"/>
      <protection hidden="1"/>
    </xf>
    <xf numFmtId="0" fontId="0" fillId="47" borderId="0" xfId="0" applyFill="1">
      <alignment vertical="center"/>
    </xf>
    <xf numFmtId="168" fontId="5" fillId="2" borderId="2" xfId="5" applyNumberFormat="1" applyAlignment="1">
      <alignment vertical="center"/>
    </xf>
    <xf numFmtId="168" fontId="0" fillId="8" borderId="0" xfId="79" applyNumberFormat="1" applyFont="1" applyFill="1" applyAlignment="1">
      <alignment vertical="center"/>
    </xf>
    <xf numFmtId="0" fontId="84" fillId="0" borderId="0" xfId="0" applyFont="1">
      <alignment vertical="center"/>
    </xf>
    <xf numFmtId="0" fontId="84" fillId="0" borderId="0" xfId="0" applyFont="1" applyAlignment="1">
      <alignment horizontal="right"/>
    </xf>
    <xf numFmtId="191" fontId="0" fillId="0" borderId="0" xfId="0" applyNumberFormat="1">
      <alignment vertical="center"/>
    </xf>
    <xf numFmtId="175" fontId="5" fillId="0" borderId="2" xfId="78" applyFont="1" applyBorder="1"/>
    <xf numFmtId="0" fontId="23" fillId="8" borderId="0" xfId="0" quotePrefix="1" applyNumberFormat="1" applyFont="1" applyFill="1" applyBorder="1" applyAlignment="1"/>
    <xf numFmtId="0" fontId="0" fillId="43" borderId="0" xfId="0" quotePrefix="1" applyNumberFormat="1" applyFill="1" applyBorder="1" applyAlignment="1"/>
    <xf numFmtId="0" fontId="21" fillId="43" borderId="0" xfId="0" quotePrefix="1" applyNumberFormat="1" applyFont="1" applyFill="1" applyBorder="1" applyAlignment="1"/>
    <xf numFmtId="0" fontId="0" fillId="0" borderId="0" xfId="0" applyAlignment="1">
      <alignment vertical="center"/>
    </xf>
    <xf numFmtId="0" fontId="19" fillId="51" borderId="0" xfId="22" applyAlignment="1">
      <alignment horizontal="right" vertical="center"/>
    </xf>
    <xf numFmtId="0" fontId="0" fillId="0" borderId="0" xfId="0" applyAlignment="1">
      <alignment vertical="center"/>
    </xf>
    <xf numFmtId="0" fontId="83" fillId="0" borderId="0" xfId="0" applyFont="1" applyAlignment="1">
      <alignment vertical="center"/>
    </xf>
    <xf numFmtId="0" fontId="18" fillId="8" borderId="0" xfId="0" applyFont="1" applyFill="1" applyAlignment="1">
      <alignment vertical="center"/>
    </xf>
    <xf numFmtId="0" fontId="47" fillId="7"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vertical="center"/>
    </xf>
    <xf numFmtId="168" fontId="0" fillId="0" borderId="0" xfId="0" applyNumberFormat="1">
      <alignment vertical="center"/>
    </xf>
    <xf numFmtId="0" fontId="89" fillId="0" borderId="0" xfId="0" applyFont="1" applyAlignment="1">
      <alignment vertical="center"/>
    </xf>
    <xf numFmtId="0" fontId="17" fillId="0" borderId="0" xfId="0" applyFont="1" applyAlignment="1">
      <alignment vertical="center"/>
    </xf>
    <xf numFmtId="177" fontId="18" fillId="0" borderId="0" xfId="76" applyNumberFormat="1"/>
    <xf numFmtId="0" fontId="0" fillId="0" borderId="0" xfId="0" applyAlignment="1">
      <alignment vertical="center"/>
    </xf>
    <xf numFmtId="0" fontId="72" fillId="8" borderId="0" xfId="0" applyFont="1" applyFill="1">
      <alignment vertical="center"/>
    </xf>
    <xf numFmtId="0" fontId="5" fillId="0" borderId="0" xfId="3" applyFont="1" applyAlignment="1">
      <alignment vertical="center"/>
    </xf>
    <xf numFmtId="0" fontId="24" fillId="0" borderId="0" xfId="0" applyFont="1" applyAlignment="1">
      <alignment vertical="center"/>
    </xf>
    <xf numFmtId="0" fontId="0" fillId="0" borderId="0" xfId="0" applyFont="1" applyAlignment="1">
      <alignment horizontal="right" vertical="center"/>
    </xf>
    <xf numFmtId="0" fontId="49" fillId="8" borderId="0" xfId="0" applyFont="1" applyFill="1">
      <alignment vertical="center"/>
    </xf>
    <xf numFmtId="168" fontId="70" fillId="46" borderId="12" xfId="27" applyNumberFormat="1" applyProtection="1">
      <alignment vertical="center"/>
      <protection locked="0"/>
    </xf>
    <xf numFmtId="181" fontId="70" fillId="46" borderId="12" xfId="27" applyNumberFormat="1" applyProtection="1">
      <alignment vertical="center"/>
      <protection locked="0"/>
    </xf>
    <xf numFmtId="177" fontId="70" fillId="46" borderId="12" xfId="27" applyNumberFormat="1" applyProtection="1">
      <alignment vertical="center"/>
      <protection locked="0"/>
    </xf>
    <xf numFmtId="173" fontId="70" fillId="46" borderId="12" xfId="27" applyNumberFormat="1" applyProtection="1">
      <alignment vertical="center"/>
      <protection locked="0"/>
    </xf>
    <xf numFmtId="0" fontId="3" fillId="47" borderId="0" xfId="3" applyFill="1">
      <alignment vertical="center"/>
    </xf>
    <xf numFmtId="0" fontId="0" fillId="47" borderId="0" xfId="0" applyFill="1" applyAlignment="1">
      <alignment horizontal="right"/>
    </xf>
    <xf numFmtId="0" fontId="4" fillId="47" borderId="0" xfId="6" applyFill="1">
      <alignment vertical="center"/>
    </xf>
    <xf numFmtId="176" fontId="4" fillId="47" borderId="0" xfId="6" applyNumberFormat="1" applyFill="1" applyAlignment="1">
      <alignment horizontal="left"/>
    </xf>
    <xf numFmtId="0" fontId="0" fillId="47" borderId="0" xfId="0" applyFill="1" applyBorder="1">
      <alignment vertical="center"/>
    </xf>
    <xf numFmtId="0" fontId="23" fillId="47" borderId="0" xfId="0" applyFont="1" applyFill="1" applyAlignment="1">
      <alignment horizontal="left"/>
    </xf>
    <xf numFmtId="0" fontId="58" fillId="47" borderId="0" xfId="2" applyFill="1">
      <alignment vertical="center"/>
    </xf>
    <xf numFmtId="0" fontId="14" fillId="47" borderId="0" xfId="0" applyFont="1" applyFill="1" applyBorder="1">
      <alignment vertical="center"/>
    </xf>
    <xf numFmtId="0" fontId="18" fillId="47" borderId="0" xfId="0" applyFont="1" applyFill="1" applyBorder="1">
      <alignment vertical="center"/>
    </xf>
    <xf numFmtId="0" fontId="18" fillId="47" borderId="0" xfId="0" applyFont="1" applyFill="1" applyBorder="1" applyAlignment="1"/>
    <xf numFmtId="0" fontId="41" fillId="47" borderId="0" xfId="0" applyFont="1" applyFill="1" applyBorder="1" applyAlignment="1">
      <alignment horizontal="left"/>
    </xf>
    <xf numFmtId="0" fontId="14" fillId="47" borderId="0" xfId="0" applyFont="1" applyFill="1" applyBorder="1" applyAlignment="1"/>
    <xf numFmtId="0" fontId="47" fillId="47" borderId="0" xfId="0" applyFont="1" applyFill="1" applyBorder="1" applyAlignment="1"/>
    <xf numFmtId="0" fontId="18" fillId="47" borderId="0" xfId="0" applyFont="1" applyFill="1" applyBorder="1" applyAlignment="1">
      <alignment horizontal="right"/>
    </xf>
    <xf numFmtId="0" fontId="0" fillId="47" borderId="0" xfId="0" applyFill="1">
      <alignment vertical="center"/>
    </xf>
    <xf numFmtId="0" fontId="2" fillId="54" borderId="1" xfId="1" applyFill="1" applyAlignment="1">
      <alignment horizontal="left"/>
    </xf>
    <xf numFmtId="0" fontId="2" fillId="54" borderId="1" xfId="1" applyFill="1">
      <alignment vertical="center"/>
    </xf>
    <xf numFmtId="0" fontId="18" fillId="54" borderId="0" xfId="0" applyFont="1" applyFill="1">
      <alignment vertical="center"/>
    </xf>
    <xf numFmtId="0" fontId="3" fillId="54" borderId="0" xfId="3" applyFill="1">
      <alignment vertical="center"/>
    </xf>
    <xf numFmtId="0" fontId="15" fillId="54" borderId="0" xfId="75" applyFont="1" applyFill="1" applyAlignment="1">
      <alignment vertical="center"/>
    </xf>
    <xf numFmtId="0" fontId="0" fillId="54" borderId="0" xfId="0" applyFill="1">
      <alignment vertical="center"/>
    </xf>
    <xf numFmtId="0" fontId="14" fillId="54" borderId="0" xfId="0" applyFont="1" applyFill="1" applyBorder="1">
      <alignment vertical="center"/>
    </xf>
    <xf numFmtId="0" fontId="5" fillId="54" borderId="0" xfId="0" applyFont="1" applyFill="1" applyAlignment="1"/>
    <xf numFmtId="0" fontId="77" fillId="54" borderId="0" xfId="0" applyFont="1" applyFill="1" applyAlignment="1"/>
    <xf numFmtId="0" fontId="47" fillId="54" borderId="0" xfId="0" applyFont="1" applyFill="1" applyBorder="1" applyAlignment="1"/>
    <xf numFmtId="0" fontId="58" fillId="54" borderId="0" xfId="2" applyFill="1">
      <alignment vertical="center"/>
    </xf>
    <xf numFmtId="0" fontId="71" fillId="54" borderId="0" xfId="6" applyFont="1" applyFill="1">
      <alignment vertical="center"/>
    </xf>
    <xf numFmtId="0" fontId="23" fillId="54" borderId="0" xfId="0" applyFont="1" applyFill="1">
      <alignment vertical="center"/>
    </xf>
    <xf numFmtId="0" fontId="66" fillId="54" borderId="0" xfId="0" applyFont="1" applyFill="1">
      <alignment vertical="center"/>
    </xf>
    <xf numFmtId="14" fontId="0" fillId="54" borderId="0" xfId="0" applyNumberFormat="1" applyFill="1">
      <alignment vertical="center"/>
    </xf>
    <xf numFmtId="181" fontId="0" fillId="54" borderId="0" xfId="0" applyNumberFormat="1" applyFill="1">
      <alignment vertical="center"/>
    </xf>
    <xf numFmtId="0" fontId="4" fillId="54" borderId="0" xfId="6" applyFill="1">
      <alignment vertical="center"/>
    </xf>
    <xf numFmtId="176" fontId="48" fillId="54" borderId="0" xfId="0" applyNumberFormat="1" applyFont="1" applyFill="1">
      <alignment vertical="center"/>
    </xf>
    <xf numFmtId="0" fontId="5" fillId="54" borderId="0" xfId="0" applyFont="1" applyFill="1">
      <alignment vertical="center"/>
    </xf>
    <xf numFmtId="0" fontId="5" fillId="54" borderId="0" xfId="0" applyFont="1" applyFill="1" applyProtection="1">
      <alignment vertical="center"/>
    </xf>
    <xf numFmtId="0" fontId="3" fillId="54" borderId="0" xfId="3" applyFill="1" applyAlignment="1">
      <alignment horizontal="right"/>
    </xf>
    <xf numFmtId="181" fontId="24" fillId="54" borderId="0" xfId="0" applyNumberFormat="1" applyFont="1" applyFill="1">
      <alignment vertical="center"/>
    </xf>
    <xf numFmtId="0" fontId="0" fillId="54" borderId="0" xfId="0" applyFill="1" applyAlignment="1">
      <alignment horizontal="center"/>
    </xf>
    <xf numFmtId="14" fontId="0" fillId="54" borderId="0" xfId="0" quotePrefix="1" applyNumberFormat="1" applyFill="1">
      <alignment vertical="center"/>
    </xf>
    <xf numFmtId="0" fontId="0" fillId="54" borderId="0" xfId="0" quotePrefix="1" applyFill="1">
      <alignment vertical="center"/>
    </xf>
    <xf numFmtId="176" fontId="4" fillId="54" borderId="0" xfId="6" applyNumberFormat="1" applyFill="1" applyAlignment="1">
      <alignment horizontal="left"/>
    </xf>
    <xf numFmtId="187" fontId="18" fillId="54" borderId="0" xfId="0" applyNumberFormat="1" applyFont="1" applyFill="1" applyBorder="1">
      <alignment vertical="center"/>
    </xf>
    <xf numFmtId="0" fontId="4" fillId="54" borderId="0" xfId="6" applyFill="1" applyBorder="1" applyAlignment="1">
      <alignment horizontal="center"/>
    </xf>
    <xf numFmtId="173" fontId="18" fillId="54" borderId="0" xfId="76" applyFill="1" applyBorder="1" applyProtection="1"/>
    <xf numFmtId="173" fontId="69" fillId="54" borderId="0" xfId="76" applyFont="1" applyFill="1" applyBorder="1" applyProtection="1"/>
    <xf numFmtId="0" fontId="7" fillId="54" borderId="0" xfId="7" applyFill="1">
      <alignment vertical="center"/>
    </xf>
    <xf numFmtId="0" fontId="0" fillId="54" borderId="0" xfId="0" applyFill="1" applyProtection="1">
      <alignment vertical="center"/>
    </xf>
    <xf numFmtId="176" fontId="0" fillId="54" borderId="0" xfId="0" applyNumberFormat="1" applyFill="1" applyAlignment="1" applyProtection="1">
      <alignment horizontal="left"/>
    </xf>
    <xf numFmtId="181" fontId="3" fillId="54" borderId="0" xfId="3" applyNumberFormat="1" applyFill="1">
      <alignment vertical="center"/>
    </xf>
    <xf numFmtId="0" fontId="78" fillId="54" borderId="0" xfId="0" applyFont="1" applyFill="1">
      <alignment vertical="center"/>
    </xf>
    <xf numFmtId="0" fontId="2" fillId="47" borderId="1" xfId="1" applyFill="1" applyAlignment="1">
      <alignment horizontal="left"/>
    </xf>
    <xf numFmtId="0" fontId="73" fillId="47" borderId="0" xfId="3" applyFont="1" applyFill="1">
      <alignment vertical="center"/>
    </xf>
    <xf numFmtId="0" fontId="72" fillId="47" borderId="0" xfId="0" applyFont="1" applyFill="1">
      <alignment vertical="center"/>
    </xf>
    <xf numFmtId="0" fontId="5" fillId="47" borderId="0" xfId="0" applyFont="1" applyFill="1">
      <alignment vertical="center"/>
    </xf>
    <xf numFmtId="168" fontId="0" fillId="8" borderId="0" xfId="79" applyFont="1" applyFill="1">
      <alignment vertical="center"/>
    </xf>
    <xf numFmtId="0" fontId="72" fillId="47" borderId="0" xfId="0" applyFont="1" applyFill="1" applyAlignment="1">
      <alignment vertical="top"/>
    </xf>
    <xf numFmtId="168" fontId="0" fillId="47" borderId="0" xfId="0" applyNumberFormat="1" applyFill="1">
      <alignment vertical="center"/>
    </xf>
    <xf numFmtId="14" fontId="0" fillId="47" borderId="0" xfId="0" applyNumberFormat="1" applyFill="1">
      <alignment vertical="center"/>
    </xf>
    <xf numFmtId="0" fontId="64" fillId="47" borderId="0" xfId="0" applyFont="1" applyFill="1">
      <alignment vertical="center"/>
    </xf>
    <xf numFmtId="168" fontId="18" fillId="47" borderId="0" xfId="0" applyNumberFormat="1" applyFont="1" applyFill="1">
      <alignment vertical="center"/>
    </xf>
    <xf numFmtId="164" fontId="18" fillId="47" borderId="0" xfId="0" quotePrefix="1" applyNumberFormat="1" applyFont="1" applyFill="1">
      <alignment vertical="center"/>
    </xf>
    <xf numFmtId="0" fontId="69" fillId="47" borderId="0" xfId="0" applyFont="1" applyFill="1">
      <alignment vertical="center"/>
    </xf>
    <xf numFmtId="0" fontId="75" fillId="47" borderId="1" xfId="1" applyFont="1" applyFill="1" applyAlignment="1">
      <alignment horizontal="left"/>
    </xf>
    <xf numFmtId="0" fontId="48" fillId="47" borderId="0" xfId="0" applyFont="1" applyFill="1">
      <alignment vertical="center"/>
    </xf>
    <xf numFmtId="0" fontId="2" fillId="47" borderId="1" xfId="1" applyFill="1">
      <alignment vertical="center"/>
    </xf>
    <xf numFmtId="0" fontId="82" fillId="47" borderId="0" xfId="0" applyFont="1" applyFill="1">
      <alignment vertical="center"/>
    </xf>
    <xf numFmtId="0" fontId="0" fillId="47" borderId="0" xfId="0" applyFill="1" applyProtection="1">
      <alignment vertical="center"/>
      <protection hidden="1"/>
    </xf>
    <xf numFmtId="0" fontId="4" fillId="47" borderId="0" xfId="6" applyFill="1" applyProtection="1">
      <alignment vertical="center"/>
      <protection hidden="1"/>
    </xf>
    <xf numFmtId="169" fontId="0" fillId="47" borderId="0" xfId="0" applyNumberFormat="1" applyFill="1" applyProtection="1">
      <alignment vertical="center"/>
      <protection hidden="1"/>
    </xf>
    <xf numFmtId="0" fontId="4" fillId="47" borderId="0" xfId="6" applyFill="1" applyBorder="1">
      <alignment vertical="center"/>
    </xf>
    <xf numFmtId="180" fontId="0" fillId="47" borderId="0" xfId="0" applyNumberFormat="1" applyFill="1" applyBorder="1">
      <alignment vertical="center"/>
    </xf>
    <xf numFmtId="180" fontId="18" fillId="47" borderId="0" xfId="0" applyNumberFormat="1" applyFont="1" applyFill="1">
      <alignment vertical="center"/>
    </xf>
    <xf numFmtId="0" fontId="67" fillId="47" borderId="0" xfId="0" applyFont="1" applyFill="1">
      <alignment vertical="center"/>
    </xf>
    <xf numFmtId="0" fontId="0" fillId="8" borderId="0" xfId="0" applyFill="1">
      <alignment vertical="center"/>
    </xf>
    <xf numFmtId="0" fontId="0" fillId="54" borderId="0" xfId="0" applyFill="1" applyProtection="1">
      <alignment vertical="center"/>
      <protection hidden="1"/>
    </xf>
    <xf numFmtId="0" fontId="18" fillId="54" borderId="0" xfId="0" applyFont="1" applyFill="1" applyBorder="1">
      <alignment vertical="center"/>
    </xf>
    <xf numFmtId="0" fontId="58" fillId="54" borderId="0" xfId="2" applyFill="1" applyProtection="1">
      <alignment vertical="center"/>
      <protection hidden="1"/>
    </xf>
    <xf numFmtId="0" fontId="18" fillId="54" borderId="0" xfId="0" applyFont="1" applyFill="1" applyBorder="1" applyAlignment="1"/>
    <xf numFmtId="0" fontId="23" fillId="54" borderId="0" xfId="0" applyFont="1" applyFill="1" applyProtection="1">
      <alignment vertical="center"/>
      <protection hidden="1"/>
    </xf>
    <xf numFmtId="0" fontId="18" fillId="54" borderId="0" xfId="0" applyFont="1" applyFill="1" applyBorder="1" applyAlignment="1" applyProtection="1">
      <alignment horizontal="right"/>
      <protection hidden="1"/>
    </xf>
    <xf numFmtId="0" fontId="41" fillId="54" borderId="0" xfId="0" applyFont="1" applyFill="1" applyBorder="1" applyAlignment="1">
      <alignment horizontal="left"/>
    </xf>
    <xf numFmtId="0" fontId="14" fillId="54" borderId="0" xfId="0" applyFont="1" applyFill="1" applyBorder="1" applyAlignment="1"/>
    <xf numFmtId="0" fontId="92" fillId="0" borderId="0" xfId="0" applyFont="1" applyAlignment="1">
      <alignment vertical="center"/>
    </xf>
    <xf numFmtId="0" fontId="19" fillId="51" borderId="0" xfId="22" applyBorder="1">
      <alignment vertical="center"/>
    </xf>
    <xf numFmtId="168" fontId="18" fillId="8" borderId="0" xfId="79" applyFont="1" applyFill="1">
      <alignment vertical="center"/>
    </xf>
    <xf numFmtId="173" fontId="0" fillId="0" borderId="0" xfId="0" applyNumberFormat="1">
      <alignment vertical="center"/>
    </xf>
    <xf numFmtId="193" fontId="8" fillId="51" borderId="107" xfId="9" applyNumberFormat="1" applyBorder="1" applyAlignment="1">
      <alignment horizontal="centerContinuous" vertical="center" wrapText="1"/>
    </xf>
    <xf numFmtId="193" fontId="8" fillId="51" borderId="108" xfId="9" applyNumberFormat="1" applyBorder="1" applyAlignment="1">
      <alignment horizontal="centerContinuous" vertical="center" wrapText="1"/>
    </xf>
    <xf numFmtId="193" fontId="8" fillId="51" borderId="109" xfId="9" applyNumberFormat="1" applyBorder="1" applyAlignment="1">
      <alignment horizontal="centerContinuous" vertical="center" wrapText="1"/>
    </xf>
    <xf numFmtId="193" fontId="8" fillId="51" borderId="110" xfId="9" applyNumberFormat="1" applyBorder="1" applyAlignment="1">
      <alignment horizontal="centerContinuous" vertical="center"/>
    </xf>
    <xf numFmtId="193" fontId="8" fillId="51" borderId="111" xfId="9" applyNumberFormat="1" applyBorder="1" applyAlignment="1">
      <alignment horizontal="centerContinuous" vertical="center"/>
    </xf>
    <xf numFmtId="193" fontId="8" fillId="51" borderId="112" xfId="9" applyNumberFormat="1" applyBorder="1" applyAlignment="1">
      <alignment horizontal="centerContinuous" vertical="center"/>
    </xf>
    <xf numFmtId="193" fontId="8" fillId="51" borderId="113" xfId="9" applyNumberFormat="1" applyBorder="1" applyAlignment="1">
      <alignment horizontal="centerContinuous" vertical="center" wrapText="1"/>
    </xf>
    <xf numFmtId="0" fontId="8" fillId="51" borderId="107" xfId="9" applyBorder="1" applyAlignment="1">
      <alignment horizontal="centerContinuous" vertical="center"/>
    </xf>
    <xf numFmtId="0" fontId="8" fillId="51" borderId="111" xfId="9" applyBorder="1" applyAlignment="1">
      <alignment horizontal="centerContinuous" vertical="center"/>
    </xf>
    <xf numFmtId="168" fontId="79" fillId="51" borderId="69" xfId="9" applyNumberFormat="1" applyFont="1" applyBorder="1" applyAlignment="1">
      <alignment horizontal="centerContinuous" vertical="center"/>
    </xf>
    <xf numFmtId="168" fontId="79" fillId="51" borderId="0" xfId="9" applyNumberFormat="1" applyFont="1" applyBorder="1" applyAlignment="1">
      <alignment horizontal="centerContinuous" vertical="center"/>
    </xf>
    <xf numFmtId="0" fontId="0" fillId="0" borderId="80" xfId="0" applyBorder="1" applyAlignment="1">
      <alignment horizontal="center"/>
    </xf>
    <xf numFmtId="0" fontId="0" fillId="8" borderId="0" xfId="0" applyFill="1" applyBorder="1" applyAlignment="1">
      <alignment horizontal="center"/>
    </xf>
    <xf numFmtId="0" fontId="0" fillId="0" borderId="97" xfId="0" applyBorder="1">
      <alignment vertical="center"/>
    </xf>
    <xf numFmtId="0" fontId="3" fillId="0" borderId="98" xfId="3" applyBorder="1">
      <alignment vertical="center"/>
    </xf>
    <xf numFmtId="0" fontId="0" fillId="8" borderId="69" xfId="0" applyFill="1" applyBorder="1" applyAlignment="1">
      <alignment horizontal="center"/>
    </xf>
    <xf numFmtId="0" fontId="0" fillId="8" borderId="27" xfId="0" applyFill="1" applyBorder="1">
      <alignment vertical="center"/>
    </xf>
    <xf numFmtId="0" fontId="0" fillId="8" borderId="28" xfId="0" applyFill="1" applyBorder="1">
      <alignment vertical="center"/>
    </xf>
    <xf numFmtId="0" fontId="0" fillId="8" borderId="28" xfId="0" applyFill="1" applyBorder="1" applyAlignment="1">
      <alignment horizontal="right"/>
    </xf>
    <xf numFmtId="3" fontId="0" fillId="54" borderId="0" xfId="0" applyNumberFormat="1" applyFill="1">
      <alignment vertical="center"/>
    </xf>
    <xf numFmtId="0" fontId="0" fillId="0" borderId="0" xfId="0" applyAlignment="1">
      <alignment vertical="center"/>
    </xf>
    <xf numFmtId="0" fontId="2" fillId="54" borderId="1" xfId="1" quotePrefix="1" applyFill="1">
      <alignment vertical="center"/>
    </xf>
    <xf numFmtId="168" fontId="18" fillId="7" borderId="0" xfId="0" applyNumberFormat="1" applyFont="1" applyFill="1" applyBorder="1" applyAlignment="1">
      <alignment horizontal="right"/>
    </xf>
    <xf numFmtId="0" fontId="0" fillId="8" borderId="56" xfId="0" applyFill="1" applyBorder="1">
      <alignment vertical="center"/>
    </xf>
    <xf numFmtId="200" fontId="0" fillId="54" borderId="0" xfId="82" applyFont="1" applyFill="1" applyAlignment="1"/>
    <xf numFmtId="195" fontId="0" fillId="0" borderId="0" xfId="0" applyNumberFormat="1">
      <alignment vertical="center"/>
    </xf>
    <xf numFmtId="200" fontId="0" fillId="0" borderId="0" xfId="82" applyFont="1" applyFill="1" applyAlignment="1"/>
    <xf numFmtId="2" fontId="0" fillId="54" borderId="0" xfId="0" applyNumberFormat="1" applyFill="1">
      <alignment vertical="center"/>
    </xf>
    <xf numFmtId="0" fontId="0" fillId="0" borderId="0" xfId="0" applyAlignment="1">
      <alignment vertical="center"/>
    </xf>
    <xf numFmtId="0" fontId="0" fillId="0" borderId="0" xfId="0" applyAlignment="1">
      <alignment vertical="center"/>
    </xf>
    <xf numFmtId="0" fontId="21" fillId="54" borderId="0" xfId="0" applyFont="1" applyFill="1" applyAlignment="1">
      <alignment horizontal="right" vertical="center"/>
    </xf>
    <xf numFmtId="0" fontId="24" fillId="54" borderId="0" xfId="0" applyFont="1" applyFill="1" applyAlignment="1">
      <alignment vertical="center"/>
    </xf>
    <xf numFmtId="0" fontId="0" fillId="54" borderId="0" xfId="0" applyFill="1" applyBorder="1" applyAlignment="1">
      <alignment vertical="center"/>
    </xf>
    <xf numFmtId="0" fontId="58" fillId="54" borderId="0" xfId="2" applyFill="1" applyAlignment="1">
      <alignment vertical="center"/>
    </xf>
    <xf numFmtId="0" fontId="3" fillId="8" borderId="0" xfId="3" applyFill="1">
      <alignment vertical="center"/>
    </xf>
    <xf numFmtId="0" fontId="0" fillId="0" borderId="0" xfId="0" applyBorder="1" applyAlignment="1">
      <alignment vertical="center"/>
    </xf>
    <xf numFmtId="168" fontId="0" fillId="46" borderId="0" xfId="0" applyNumberFormat="1" applyFill="1" applyAlignment="1">
      <alignment vertical="center"/>
    </xf>
    <xf numFmtId="168" fontId="0" fillId="0" borderId="0" xfId="79" applyNumberFormat="1" applyFont="1" applyBorder="1" applyAlignment="1">
      <alignment vertical="center"/>
    </xf>
    <xf numFmtId="168" fontId="0" fillId="0" borderId="56" xfId="79" applyNumberFormat="1" applyFont="1" applyBorder="1" applyAlignment="1">
      <alignment vertical="center"/>
    </xf>
    <xf numFmtId="168" fontId="0" fillId="0" borderId="57" xfId="79" applyNumberFormat="1" applyFont="1" applyBorder="1" applyAlignment="1">
      <alignment vertical="center"/>
    </xf>
    <xf numFmtId="0" fontId="3" fillId="3" borderId="0" xfId="3" applyFill="1" applyAlignment="1">
      <alignment vertical="center"/>
    </xf>
    <xf numFmtId="0" fontId="0" fillId="3" borderId="0" xfId="0" applyFill="1" applyAlignment="1">
      <alignment vertical="center"/>
    </xf>
    <xf numFmtId="168" fontId="21" fillId="3" borderId="6" xfId="11" applyNumberFormat="1" applyFont="1" applyFill="1" applyAlignment="1">
      <alignment vertical="center"/>
    </xf>
    <xf numFmtId="0" fontId="0" fillId="0" borderId="56" xfId="0" applyBorder="1" applyAlignment="1">
      <alignment vertical="center"/>
    </xf>
    <xf numFmtId="0" fontId="0" fillId="0" borderId="57" xfId="0" applyBorder="1" applyAlignment="1">
      <alignment vertical="center"/>
    </xf>
    <xf numFmtId="0" fontId="5" fillId="7" borderId="89" xfId="0" applyNumberFormat="1" applyFont="1" applyFill="1" applyBorder="1" applyAlignment="1">
      <alignment vertical="center"/>
    </xf>
    <xf numFmtId="0" fontId="5" fillId="7" borderId="91" xfId="0" applyNumberFormat="1" applyFont="1" applyFill="1" applyBorder="1" applyAlignment="1">
      <alignment vertical="center"/>
    </xf>
    <xf numFmtId="0" fontId="5" fillId="7" borderId="92" xfId="0" applyNumberFormat="1" applyFont="1" applyFill="1" applyBorder="1" applyAlignment="1">
      <alignment vertical="center"/>
    </xf>
    <xf numFmtId="0" fontId="8" fillId="51" borderId="111" xfId="9" applyBorder="1" applyAlignment="1">
      <alignment horizontal="centerContinuous" vertical="center" wrapText="1"/>
    </xf>
    <xf numFmtId="0" fontId="8" fillId="51" borderId="117" xfId="9" applyBorder="1" applyAlignment="1">
      <alignment horizontal="centerContinuous" vertical="center" wrapText="1"/>
    </xf>
    <xf numFmtId="173" fontId="5" fillId="0" borderId="2" xfId="13" applyNumberFormat="1">
      <alignment vertical="center"/>
    </xf>
    <xf numFmtId="168" fontId="18" fillId="8" borderId="7" xfId="12" applyNumberFormat="1" applyFont="1" applyFill="1"/>
    <xf numFmtId="0" fontId="8" fillId="51" borderId="117" xfId="9" applyBorder="1">
      <alignment horizontal="centerContinuous" vertical="center" wrapText="1"/>
    </xf>
    <xf numFmtId="0" fontId="4" fillId="8" borderId="0" xfId="6" applyFill="1">
      <alignment vertical="center"/>
    </xf>
    <xf numFmtId="0" fontId="3" fillId="47" borderId="0" xfId="3" quotePrefix="1" applyFill="1" applyBorder="1">
      <alignment vertical="center"/>
    </xf>
    <xf numFmtId="197" fontId="0" fillId="47" borderId="0" xfId="0" applyNumberFormat="1" applyFill="1">
      <alignment vertical="center"/>
    </xf>
    <xf numFmtId="0" fontId="18" fillId="54" borderId="0" xfId="0" applyFont="1" applyFill="1" applyBorder="1" applyAlignment="1" applyProtection="1">
      <protection hidden="1"/>
    </xf>
    <xf numFmtId="0" fontId="0" fillId="0" borderId="0" xfId="0" applyProtection="1">
      <alignment vertical="center"/>
    </xf>
    <xf numFmtId="169" fontId="0" fillId="0" borderId="0" xfId="0" applyNumberFormat="1" applyProtection="1">
      <alignment vertical="center"/>
    </xf>
    <xf numFmtId="0" fontId="0" fillId="8" borderId="0" xfId="0" applyFill="1" applyProtection="1">
      <alignment vertical="center"/>
    </xf>
    <xf numFmtId="169" fontId="0" fillId="8" borderId="0" xfId="0" applyNumberFormat="1" applyFill="1" applyProtection="1">
      <alignment vertical="center"/>
    </xf>
    <xf numFmtId="14" fontId="0" fillId="54" borderId="0" xfId="0" applyNumberFormat="1" applyFill="1" applyProtection="1">
      <alignment vertical="center"/>
    </xf>
    <xf numFmtId="0" fontId="0" fillId="0" borderId="0" xfId="0" applyAlignment="1" applyProtection="1">
      <alignment horizontal="right"/>
    </xf>
    <xf numFmtId="0" fontId="0" fillId="4" borderId="2" xfId="17" applyFont="1" applyProtection="1"/>
    <xf numFmtId="0" fontId="58" fillId="47" borderId="0" xfId="2" applyFill="1" applyAlignment="1">
      <alignment vertical="center"/>
    </xf>
    <xf numFmtId="0" fontId="5" fillId="47" borderId="0" xfId="0" applyNumberFormat="1" applyFont="1" applyFill="1" applyBorder="1" applyAlignment="1" applyProtection="1">
      <alignment horizontal="left" vertical="center"/>
    </xf>
    <xf numFmtId="0" fontId="3" fillId="47" borderId="0" xfId="3" applyFill="1" applyBorder="1">
      <alignment vertical="center"/>
    </xf>
    <xf numFmtId="177" fontId="5" fillId="0" borderId="2" xfId="13" applyNumberFormat="1" applyBorder="1">
      <alignment vertical="center"/>
    </xf>
    <xf numFmtId="1" fontId="8" fillId="51" borderId="117" xfId="9" applyNumberFormat="1" applyBorder="1" applyAlignment="1">
      <alignment horizontal="center" vertical="center" wrapText="1"/>
    </xf>
    <xf numFmtId="168" fontId="60" fillId="54" borderId="2" xfId="13" applyNumberFormat="1" applyFont="1" applyFill="1">
      <alignment vertical="center"/>
    </xf>
    <xf numFmtId="0" fontId="86" fillId="54" borderId="0" xfId="0" applyFont="1" applyFill="1">
      <alignment vertical="center"/>
    </xf>
    <xf numFmtId="0" fontId="64" fillId="47" borderId="0" xfId="0" applyFont="1" applyFill="1" applyAlignment="1">
      <alignment horizontal="right"/>
    </xf>
    <xf numFmtId="0" fontId="21" fillId="8" borderId="0" xfId="0" applyFont="1" applyFill="1">
      <alignment vertical="center"/>
    </xf>
    <xf numFmtId="0" fontId="0" fillId="47" borderId="0" xfId="0" applyFill="1" applyAlignment="1">
      <alignment vertical="center"/>
    </xf>
    <xf numFmtId="0" fontId="72" fillId="43" borderId="0" xfId="0" applyNumberFormat="1" applyFont="1" applyFill="1" applyBorder="1" applyAlignment="1"/>
    <xf numFmtId="0" fontId="18" fillId="47" borderId="0" xfId="0" applyFont="1" applyFill="1" applyAlignment="1">
      <alignment vertical="center"/>
    </xf>
    <xf numFmtId="0" fontId="5" fillId="0" borderId="0" xfId="0" applyFont="1" applyAlignment="1">
      <alignment vertical="center"/>
    </xf>
    <xf numFmtId="0" fontId="4" fillId="0" borderId="0" xfId="6" applyAlignment="1">
      <alignment vertical="center"/>
    </xf>
    <xf numFmtId="168" fontId="0" fillId="8" borderId="0" xfId="0" applyNumberFormat="1" applyFill="1" applyAlignment="1">
      <alignment vertical="center"/>
    </xf>
    <xf numFmtId="169" fontId="9" fillId="2" borderId="2" xfId="15" applyNumberFormat="1" applyAlignment="1">
      <alignment vertical="center"/>
    </xf>
    <xf numFmtId="168" fontId="0" fillId="8" borderId="5" xfId="10" applyNumberFormat="1" applyFont="1" applyFill="1" applyAlignment="1">
      <alignment vertical="center"/>
    </xf>
    <xf numFmtId="1" fontId="76" fillId="51" borderId="117" xfId="9" applyNumberFormat="1" applyFont="1" applyBorder="1" applyAlignment="1">
      <alignment horizontal="center" vertical="center" wrapText="1"/>
    </xf>
    <xf numFmtId="0" fontId="2" fillId="47" borderId="1" xfId="1" applyFill="1" applyAlignment="1">
      <alignment horizontal="left" vertical="center"/>
    </xf>
    <xf numFmtId="0" fontId="48" fillId="47" borderId="0" xfId="0" applyFont="1" applyFill="1" applyAlignment="1">
      <alignment horizontal="left" vertical="center"/>
    </xf>
    <xf numFmtId="0" fontId="15" fillId="47" borderId="0" xfId="75" applyFont="1" applyFill="1" applyAlignment="1">
      <alignment vertical="center"/>
    </xf>
    <xf numFmtId="0" fontId="18" fillId="47" borderId="0" xfId="0" applyFont="1" applyFill="1" applyAlignment="1">
      <alignment horizontal="right" vertical="center"/>
    </xf>
    <xf numFmtId="168" fontId="18" fillId="47" borderId="0" xfId="80" applyNumberFormat="1" applyFont="1" applyFill="1" applyAlignment="1">
      <alignment vertical="center"/>
    </xf>
    <xf numFmtId="0" fontId="8" fillId="51" borderId="4" xfId="9" applyAlignment="1">
      <alignment horizontal="centerContinuous" vertical="center" wrapText="1"/>
    </xf>
    <xf numFmtId="168" fontId="9" fillId="2" borderId="2" xfId="15" applyNumberFormat="1" applyAlignment="1">
      <alignment vertical="center"/>
    </xf>
    <xf numFmtId="0" fontId="5" fillId="47" borderId="0" xfId="0" applyFont="1" applyFill="1" applyAlignment="1">
      <alignment vertical="center"/>
    </xf>
    <xf numFmtId="182" fontId="18" fillId="47" borderId="0" xfId="0" applyNumberFormat="1" applyFont="1" applyFill="1" applyAlignment="1">
      <alignment vertical="center"/>
    </xf>
    <xf numFmtId="182" fontId="18" fillId="47" borderId="0" xfId="0" applyNumberFormat="1" applyFont="1" applyFill="1" applyAlignment="1">
      <alignment vertical="center" wrapText="1"/>
    </xf>
    <xf numFmtId="168" fontId="70" fillId="46" borderId="12" xfId="27" applyNumberFormat="1" applyAlignment="1" applyProtection="1">
      <alignment vertical="center"/>
      <protection locked="0"/>
    </xf>
    <xf numFmtId="168" fontId="18" fillId="47" borderId="0" xfId="0" applyNumberFormat="1" applyFont="1" applyFill="1" applyAlignment="1">
      <alignment vertical="center"/>
    </xf>
    <xf numFmtId="0" fontId="4" fillId="2" borderId="2" xfId="4" applyAlignment="1">
      <alignment horizontal="center" vertical="center"/>
    </xf>
    <xf numFmtId="176" fontId="4" fillId="47" borderId="0" xfId="6" applyNumberFormat="1" applyFill="1" applyAlignment="1">
      <alignment horizontal="left" vertical="center"/>
    </xf>
    <xf numFmtId="168" fontId="0" fillId="47" borderId="0" xfId="0" applyNumberFormat="1" applyFill="1" applyAlignment="1">
      <alignment vertical="center"/>
    </xf>
    <xf numFmtId="0" fontId="3" fillId="47" borderId="0" xfId="3" applyFill="1" applyAlignment="1">
      <alignment vertical="center"/>
    </xf>
    <xf numFmtId="168" fontId="18" fillId="54" borderId="7" xfId="12" applyNumberFormat="1" applyFont="1" applyFill="1" applyAlignment="1">
      <alignment vertical="center"/>
    </xf>
    <xf numFmtId="0" fontId="0" fillId="0" borderId="0" xfId="0" applyAlignment="1">
      <alignment vertical="center"/>
    </xf>
    <xf numFmtId="168" fontId="79" fillId="51" borderId="69" xfId="9" applyNumberFormat="1" applyFont="1" applyBorder="1" applyAlignment="1">
      <alignment horizontal="centerContinuous" vertical="center" wrapText="1"/>
    </xf>
    <xf numFmtId="168" fontId="79" fillId="51" borderId="0" xfId="9" applyNumberFormat="1" applyFont="1" applyBorder="1" applyAlignment="1">
      <alignment horizontal="centerContinuous" vertical="center" wrapText="1"/>
    </xf>
    <xf numFmtId="168" fontId="79" fillId="51" borderId="26" xfId="9" applyNumberFormat="1" applyFont="1" applyBorder="1" applyAlignment="1">
      <alignment horizontal="centerContinuous" vertical="center" wrapText="1"/>
    </xf>
    <xf numFmtId="0" fontId="79" fillId="51" borderId="107" xfId="9" applyFont="1" applyBorder="1" applyAlignment="1">
      <alignment horizontal="centerContinuous" vertical="center" wrapText="1"/>
    </xf>
    <xf numFmtId="0" fontId="79" fillId="51" borderId="108" xfId="9" applyFont="1" applyBorder="1" applyAlignment="1">
      <alignment horizontal="centerContinuous" vertical="center" wrapText="1"/>
    </xf>
    <xf numFmtId="0" fontId="79" fillId="51" borderId="111" xfId="9" applyFont="1" applyBorder="1" applyAlignment="1">
      <alignment horizontal="centerContinuous" vertical="center" wrapText="1"/>
    </xf>
    <xf numFmtId="168" fontId="0" fillId="54" borderId="0" xfId="79" applyNumberFormat="1" applyFont="1" applyFill="1" applyAlignment="1">
      <alignment vertical="center"/>
    </xf>
    <xf numFmtId="0" fontId="0" fillId="0" borderId="0" xfId="0" quotePrefix="1" applyAlignment="1">
      <alignment vertical="center"/>
    </xf>
    <xf numFmtId="0" fontId="72" fillId="8" borderId="0" xfId="0" applyFont="1" applyFill="1" applyAlignment="1">
      <alignment vertical="center"/>
    </xf>
    <xf numFmtId="168" fontId="0" fillId="8" borderId="0" xfId="79" applyNumberFormat="1" applyFont="1" applyFill="1" applyAlignment="1">
      <alignment horizontal="centerContinuous" vertical="center"/>
    </xf>
    <xf numFmtId="0" fontId="0" fillId="8" borderId="0" xfId="0" applyFill="1" applyAlignment="1">
      <alignment horizontal="centerContinuous" vertical="center"/>
    </xf>
    <xf numFmtId="177" fontId="18" fillId="54" borderId="0" xfId="76" applyNumberFormat="1" applyFill="1" applyAlignment="1">
      <alignment horizontal="centerContinuous" vertical="center"/>
    </xf>
    <xf numFmtId="168" fontId="21" fillId="3" borderId="44" xfId="12" applyNumberFormat="1" applyFont="1" applyFill="1" applyBorder="1" applyAlignment="1">
      <alignment horizontal="centerContinuous" vertical="center"/>
    </xf>
    <xf numFmtId="0" fontId="0" fillId="3" borderId="44" xfId="0" applyFill="1" applyBorder="1" applyAlignment="1">
      <alignment horizontal="centerContinuous" vertical="center"/>
    </xf>
    <xf numFmtId="177" fontId="49" fillId="3" borderId="44" xfId="76" applyNumberFormat="1" applyFont="1" applyFill="1" applyBorder="1" applyAlignment="1">
      <alignment horizontal="centerContinuous" vertical="center"/>
    </xf>
    <xf numFmtId="0" fontId="0" fillId="54" borderId="0" xfId="0" quotePrefix="1" applyFill="1" applyAlignment="1">
      <alignment vertical="center"/>
    </xf>
    <xf numFmtId="0" fontId="0" fillId="0" borderId="72" xfId="0" applyBorder="1" applyAlignment="1">
      <alignment vertical="center"/>
    </xf>
    <xf numFmtId="0" fontId="85" fillId="0" borderId="106" xfId="0" applyFont="1" applyBorder="1" applyAlignment="1">
      <alignment horizontal="right" vertical="center"/>
    </xf>
    <xf numFmtId="0" fontId="17" fillId="0" borderId="76" xfId="0" applyFont="1" applyBorder="1" applyAlignment="1">
      <alignment vertical="center"/>
    </xf>
    <xf numFmtId="0" fontId="17" fillId="0" borderId="81" xfId="0" applyFont="1" applyBorder="1" applyAlignment="1">
      <alignment vertical="center"/>
    </xf>
    <xf numFmtId="0" fontId="0" fillId="0" borderId="114" xfId="0" applyBorder="1" applyAlignment="1">
      <alignment vertical="center"/>
    </xf>
    <xf numFmtId="168" fontId="0" fillId="8" borderId="0" xfId="79" applyNumberFormat="1" applyFont="1" applyFill="1" applyBorder="1" applyAlignment="1">
      <alignment horizontal="centerContinuous" vertical="center"/>
    </xf>
    <xf numFmtId="0" fontId="0" fillId="8" borderId="0" xfId="0" applyFill="1" applyBorder="1" applyAlignment="1">
      <alignment horizontal="centerContinuous" vertical="center"/>
    </xf>
    <xf numFmtId="0" fontId="0" fillId="8" borderId="73" xfId="0" applyFill="1" applyBorder="1" applyAlignment="1">
      <alignment horizontal="centerContinuous" vertical="center"/>
    </xf>
    <xf numFmtId="177" fontId="67" fillId="0" borderId="76" xfId="76" applyNumberFormat="1" applyFont="1" applyBorder="1" applyAlignment="1">
      <alignment horizontal="centerContinuous" vertical="center"/>
    </xf>
    <xf numFmtId="0" fontId="17" fillId="0" borderId="81" xfId="0" applyFont="1" applyBorder="1" applyAlignment="1">
      <alignment horizontal="centerContinuous" vertical="center"/>
    </xf>
    <xf numFmtId="168" fontId="0" fillId="8" borderId="80" xfId="79" applyNumberFormat="1" applyFont="1" applyFill="1" applyBorder="1" applyAlignment="1">
      <alignment horizontal="centerContinuous" vertical="center"/>
    </xf>
    <xf numFmtId="168" fontId="0" fillId="0" borderId="0" xfId="79" applyNumberFormat="1" applyFont="1" applyBorder="1" applyAlignment="1">
      <alignment horizontal="centerContinuous" vertical="center"/>
    </xf>
    <xf numFmtId="0" fontId="0" fillId="0" borderId="0" xfId="0" applyBorder="1" applyAlignment="1">
      <alignment horizontal="centerContinuous" vertical="center"/>
    </xf>
    <xf numFmtId="0" fontId="0" fillId="0" borderId="73" xfId="0" applyBorder="1" applyAlignment="1">
      <alignment horizontal="centerContinuous" vertical="center"/>
    </xf>
    <xf numFmtId="168" fontId="0" fillId="0" borderId="80" xfId="79" applyNumberFormat="1" applyFont="1" applyBorder="1" applyAlignment="1">
      <alignment horizontal="centerContinuous" vertical="center"/>
    </xf>
    <xf numFmtId="168" fontId="21" fillId="54" borderId="0" xfId="11" applyNumberFormat="1" applyFont="1" applyFill="1" applyBorder="1" applyAlignment="1">
      <alignment horizontal="centerContinuous" vertical="center"/>
    </xf>
    <xf numFmtId="0" fontId="0" fillId="54" borderId="0" xfId="0" applyFill="1" applyBorder="1" applyAlignment="1">
      <alignment horizontal="centerContinuous" vertical="center"/>
    </xf>
    <xf numFmtId="0" fontId="0" fillId="54" borderId="73" xfId="0" applyFill="1" applyBorder="1" applyAlignment="1">
      <alignment horizontal="centerContinuous" vertical="center"/>
    </xf>
    <xf numFmtId="177" fontId="67" fillId="54" borderId="76" xfId="76" applyNumberFormat="1" applyFont="1" applyFill="1" applyBorder="1" applyAlignment="1">
      <alignment horizontal="centerContinuous" vertical="center"/>
    </xf>
    <xf numFmtId="0" fontId="17" fillId="54" borderId="81" xfId="0" applyFont="1" applyFill="1" applyBorder="1" applyAlignment="1">
      <alignment horizontal="centerContinuous" vertical="center"/>
    </xf>
    <xf numFmtId="168" fontId="21" fillId="54" borderId="80" xfId="11" applyNumberFormat="1" applyFont="1" applyFill="1" applyBorder="1" applyAlignment="1">
      <alignment horizontal="centerContinuous" vertical="center"/>
    </xf>
    <xf numFmtId="177" fontId="93" fillId="54" borderId="76" xfId="76" applyNumberFormat="1" applyFont="1" applyFill="1" applyBorder="1" applyAlignment="1">
      <alignment horizontal="centerContinuous" vertical="center"/>
    </xf>
    <xf numFmtId="0" fontId="0" fillId="3" borderId="74" xfId="0" applyFill="1" applyBorder="1" applyAlignment="1">
      <alignment horizontal="centerContinuous" vertical="center"/>
    </xf>
    <xf numFmtId="177" fontId="93" fillId="3" borderId="77" xfId="76" applyNumberFormat="1" applyFont="1" applyFill="1" applyBorder="1" applyAlignment="1">
      <alignment horizontal="centerContinuous" vertical="center"/>
    </xf>
    <xf numFmtId="0" fontId="94" fillId="3" borderId="115" xfId="0" applyFont="1" applyFill="1" applyBorder="1" applyAlignment="1">
      <alignment horizontal="centerContinuous" vertical="center"/>
    </xf>
    <xf numFmtId="168" fontId="21" fillId="3" borderId="116" xfId="12" applyNumberFormat="1" applyFont="1" applyFill="1" applyBorder="1" applyAlignment="1">
      <alignment horizontal="centerContinuous" vertical="center"/>
    </xf>
    <xf numFmtId="0" fontId="17" fillId="0" borderId="0" xfId="0" applyFont="1" applyFill="1" applyBorder="1" applyAlignment="1">
      <alignment vertical="center"/>
    </xf>
    <xf numFmtId="0" fontId="58" fillId="8" borderId="0" xfId="2" applyFill="1" applyAlignment="1">
      <alignment vertical="center"/>
    </xf>
    <xf numFmtId="192" fontId="21" fillId="8" borderId="107" xfId="79" applyNumberFormat="1" applyFont="1" applyFill="1" applyBorder="1" applyAlignment="1">
      <alignment horizontal="centerContinuous" vertical="center"/>
    </xf>
    <xf numFmtId="192" fontId="21" fillId="0" borderId="111" xfId="0" applyNumberFormat="1" applyFont="1" applyBorder="1" applyAlignment="1">
      <alignment horizontal="centerContinuous" vertical="center"/>
    </xf>
    <xf numFmtId="186" fontId="78" fillId="0" borderId="107" xfId="0" applyNumberFormat="1" applyFont="1" applyBorder="1" applyAlignment="1">
      <alignment horizontal="centerContinuous" vertical="center"/>
    </xf>
    <xf numFmtId="0" fontId="0" fillId="0" borderId="111" xfId="0" applyFont="1" applyBorder="1" applyAlignment="1">
      <alignment horizontal="centerContinuous" vertical="center"/>
    </xf>
    <xf numFmtId="14" fontId="0" fillId="0" borderId="0" xfId="0" applyNumberFormat="1" applyAlignment="1">
      <alignment vertical="center"/>
    </xf>
    <xf numFmtId="0" fontId="50" fillId="0" borderId="0" xfId="0" applyFont="1" applyAlignment="1">
      <alignment horizontal="right" vertical="center"/>
    </xf>
    <xf numFmtId="0" fontId="5" fillId="0" borderId="0" xfId="0" applyFont="1" applyAlignment="1">
      <alignment horizontal="left" vertical="center"/>
    </xf>
    <xf numFmtId="0" fontId="0" fillId="8" borderId="0" xfId="0" applyFill="1" applyBorder="1" applyAlignment="1">
      <alignment vertical="center"/>
    </xf>
    <xf numFmtId="168" fontId="5" fillId="0" borderId="2" xfId="13" applyNumberFormat="1" applyAlignment="1">
      <alignment vertical="center"/>
    </xf>
    <xf numFmtId="0" fontId="23" fillId="47" borderId="0" xfId="0" applyFont="1" applyFill="1" applyAlignment="1">
      <alignment vertical="center"/>
    </xf>
    <xf numFmtId="0" fontId="23" fillId="8" borderId="0" xfId="0" applyFont="1" applyFill="1" applyAlignment="1">
      <alignment vertical="center"/>
    </xf>
    <xf numFmtId="0" fontId="0" fillId="47" borderId="0" xfId="0" applyFill="1" applyBorder="1" applyAlignment="1">
      <alignment vertical="center"/>
    </xf>
    <xf numFmtId="176" fontId="4" fillId="8" borderId="0" xfId="6" applyNumberFormat="1" applyFill="1" applyBorder="1" applyAlignment="1">
      <alignment horizontal="left" vertical="center"/>
    </xf>
    <xf numFmtId="0" fontId="0" fillId="47" borderId="0" xfId="0" quotePrefix="1" applyFill="1" applyBorder="1" applyAlignment="1">
      <alignment vertical="center"/>
    </xf>
    <xf numFmtId="0" fontId="0" fillId="47" borderId="0" xfId="0" applyFill="1" applyBorder="1" applyAlignment="1">
      <alignment horizontal="center" vertical="center"/>
    </xf>
    <xf numFmtId="0" fontId="70" fillId="46" borderId="45" xfId="27" applyBorder="1" applyAlignment="1" applyProtection="1">
      <alignment vertical="center"/>
      <protection locked="0"/>
    </xf>
    <xf numFmtId="0" fontId="70" fillId="46" borderId="46" xfId="27" applyBorder="1" applyAlignment="1">
      <alignment vertical="center"/>
    </xf>
    <xf numFmtId="173" fontId="70" fillId="46" borderId="12" xfId="27" applyNumberFormat="1" applyAlignment="1" applyProtection="1">
      <alignment vertical="center"/>
      <protection locked="0"/>
    </xf>
    <xf numFmtId="174" fontId="9" fillId="2" borderId="2" xfId="15" applyNumberFormat="1" applyAlignment="1">
      <alignment horizontal="center" vertical="center"/>
    </xf>
    <xf numFmtId="169" fontId="10" fillId="5" borderId="8" xfId="18" applyAlignment="1">
      <alignment vertical="center"/>
    </xf>
    <xf numFmtId="0" fontId="0" fillId="4" borderId="2" xfId="17" applyFont="1" applyAlignment="1">
      <alignment vertical="center"/>
    </xf>
    <xf numFmtId="168" fontId="0" fillId="8" borderId="7" xfId="12" applyNumberFormat="1" applyFont="1" applyFill="1" applyAlignment="1">
      <alignment vertical="center"/>
    </xf>
    <xf numFmtId="169" fontId="10" fillId="6" borderId="8" xfId="18" applyFill="1" applyAlignment="1">
      <alignment vertical="center"/>
    </xf>
    <xf numFmtId="0" fontId="9" fillId="2" borderId="2" xfId="15" applyAlignment="1">
      <alignment horizontal="center" vertical="center"/>
    </xf>
    <xf numFmtId="0" fontId="4" fillId="47" borderId="0" xfId="6" applyFill="1" applyAlignment="1">
      <alignment vertical="center"/>
    </xf>
    <xf numFmtId="0" fontId="0" fillId="47" borderId="0" xfId="0" applyFill="1" applyAlignment="1">
      <alignment horizontal="right" vertical="center"/>
    </xf>
    <xf numFmtId="173" fontId="9" fillId="2" borderId="2" xfId="78" applyNumberFormat="1" applyFont="1" applyFill="1" applyBorder="1" applyAlignment="1">
      <alignment vertical="center"/>
    </xf>
    <xf numFmtId="168" fontId="0" fillId="8" borderId="3" xfId="8" applyNumberFormat="1" applyFont="1" applyFill="1" applyAlignment="1">
      <alignment vertical="center"/>
    </xf>
    <xf numFmtId="0" fontId="0" fillId="47" borderId="0" xfId="0" quotePrefix="1" applyFill="1" applyAlignment="1">
      <alignment vertical="center"/>
    </xf>
    <xf numFmtId="0" fontId="0" fillId="47" borderId="0" xfId="0" applyFill="1" applyAlignment="1">
      <alignment horizontal="center" vertical="center"/>
    </xf>
    <xf numFmtId="2" fontId="0" fillId="47" borderId="0" xfId="0" applyNumberFormat="1" applyFill="1" applyAlignment="1">
      <alignment vertical="center"/>
    </xf>
    <xf numFmtId="200" fontId="24" fillId="0" borderId="0" xfId="82" applyFont="1" applyFill="1" applyAlignment="1">
      <alignment horizontal="centerContinuous" vertical="center"/>
    </xf>
    <xf numFmtId="200" fontId="24" fillId="0" borderId="0" xfId="82" applyFont="1" applyFill="1" applyAlignment="1">
      <alignment vertical="center"/>
    </xf>
    <xf numFmtId="0" fontId="0" fillId="8" borderId="0" xfId="0" applyFill="1" applyAlignment="1">
      <alignment vertical="center"/>
    </xf>
    <xf numFmtId="0" fontId="0" fillId="0" borderId="0" xfId="0" applyAlignment="1">
      <alignment vertical="center"/>
    </xf>
    <xf numFmtId="0" fontId="0" fillId="0" borderId="0" xfId="0" applyAlignment="1">
      <alignment vertical="center"/>
    </xf>
    <xf numFmtId="0" fontId="0" fillId="8" borderId="0" xfId="0" applyFill="1" applyAlignment="1">
      <alignment vertical="center"/>
    </xf>
    <xf numFmtId="0" fontId="0" fillId="54" borderId="0" xfId="0" applyFill="1" applyAlignment="1">
      <alignment vertical="center"/>
    </xf>
    <xf numFmtId="0" fontId="0" fillId="8" borderId="0" xfId="0" applyFill="1" applyAlignment="1">
      <alignment vertical="center"/>
    </xf>
    <xf numFmtId="0" fontId="0" fillId="8" borderId="0" xfId="0" applyFill="1" applyAlignment="1">
      <alignment vertical="center"/>
    </xf>
    <xf numFmtId="0" fontId="0" fillId="54" borderId="0" xfId="0" applyFill="1" applyAlignment="1">
      <alignment vertical="center"/>
    </xf>
    <xf numFmtId="0" fontId="0" fillId="54" borderId="0" xfId="0" applyFill="1" applyAlignment="1">
      <alignment vertical="center"/>
    </xf>
    <xf numFmtId="0" fontId="0" fillId="8" borderId="0" xfId="0" applyFill="1" applyAlignment="1">
      <alignment vertical="center"/>
    </xf>
    <xf numFmtId="0" fontId="0" fillId="0" borderId="118" xfId="0" applyBorder="1">
      <alignment vertical="center"/>
    </xf>
    <xf numFmtId="168" fontId="5" fillId="0" borderId="0" xfId="13" applyNumberFormat="1" applyBorder="1">
      <alignment vertical="center"/>
    </xf>
    <xf numFmtId="0" fontId="0" fillId="0" borderId="120" xfId="0" applyBorder="1">
      <alignment vertical="center"/>
    </xf>
    <xf numFmtId="0" fontId="4" fillId="47" borderId="0" xfId="6" quotePrefix="1" applyFill="1">
      <alignment vertical="center"/>
    </xf>
    <xf numFmtId="0" fontId="0" fillId="54" borderId="0" xfId="0" applyFill="1" applyAlignment="1">
      <alignment vertical="center"/>
    </xf>
    <xf numFmtId="0" fontId="0" fillId="54" borderId="0" xfId="0" applyFill="1" applyAlignment="1">
      <alignment vertical="center"/>
    </xf>
    <xf numFmtId="0" fontId="0" fillId="8" borderId="0" xfId="0" applyFill="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73" xfId="0" applyBorder="1" applyAlignment="1">
      <alignment horizontal="center" vertical="center" wrapText="1"/>
    </xf>
    <xf numFmtId="168" fontId="0" fillId="0" borderId="0" xfId="79" applyNumberFormat="1" applyFont="1" applyAlignment="1">
      <alignment horizontal="center" vertical="center" wrapText="1"/>
    </xf>
    <xf numFmtId="168" fontId="0" fillId="0" borderId="76" xfId="79" applyNumberFormat="1" applyFont="1" applyBorder="1" applyAlignment="1">
      <alignment horizontal="center" vertical="center" wrapText="1"/>
    </xf>
    <xf numFmtId="168" fontId="0" fillId="0" borderId="76" xfId="79" applyNumberFormat="1" applyFont="1" applyBorder="1" applyAlignment="1">
      <alignment vertical="center"/>
    </xf>
    <xf numFmtId="0" fontId="0" fillId="0" borderId="0" xfId="0" applyBorder="1" applyAlignment="1">
      <alignment vertical="center"/>
    </xf>
    <xf numFmtId="0" fontId="0" fillId="0" borderId="73" xfId="0" applyBorder="1" applyAlignment="1">
      <alignment vertical="center"/>
    </xf>
    <xf numFmtId="168" fontId="0" fillId="0" borderId="0" xfId="79" applyNumberFormat="1" applyFont="1" applyAlignment="1">
      <alignment vertical="center"/>
    </xf>
    <xf numFmtId="0" fontId="0" fillId="0" borderId="0" xfId="0" applyAlignment="1">
      <alignment vertical="center"/>
    </xf>
    <xf numFmtId="0" fontId="0" fillId="3" borderId="44" xfId="0" applyFill="1" applyBorder="1" applyAlignment="1">
      <alignment vertical="center"/>
    </xf>
    <xf numFmtId="168" fontId="0" fillId="0" borderId="34" xfId="79" applyFont="1" applyBorder="1" applyAlignment="1">
      <alignment vertical="center"/>
    </xf>
    <xf numFmtId="168" fontId="0" fillId="0" borderId="0" xfId="79" applyFont="1" applyBorder="1" applyAlignment="1">
      <alignment vertical="center"/>
    </xf>
    <xf numFmtId="0" fontId="0" fillId="8" borderId="0" xfId="0" applyFill="1" applyAlignment="1">
      <alignment vertical="center"/>
    </xf>
    <xf numFmtId="0" fontId="0" fillId="54" borderId="0" xfId="0" applyFill="1" applyAlignment="1">
      <alignment vertical="center"/>
    </xf>
    <xf numFmtId="0" fontId="0" fillId="54" borderId="0" xfId="0" applyFill="1" applyBorder="1" applyAlignment="1">
      <alignment vertical="center"/>
    </xf>
    <xf numFmtId="168" fontId="0" fillId="0" borderId="0" xfId="79" applyNumberFormat="1" applyFont="1" applyAlignment="1"/>
    <xf numFmtId="0" fontId="0" fillId="0" borderId="0" xfId="0" applyAlignment="1"/>
    <xf numFmtId="0" fontId="0" fillId="54" borderId="0" xfId="0" applyFill="1" applyAlignment="1"/>
    <xf numFmtId="0" fontId="21" fillId="54" borderId="0" xfId="0" applyFont="1" applyFill="1" applyAlignment="1"/>
    <xf numFmtId="168" fontId="0" fillId="0" borderId="0" xfId="79" applyNumberFormat="1" applyFont="1" applyAlignment="1">
      <alignment vertical="center"/>
    </xf>
    <xf numFmtId="0" fontId="0" fillId="0" borderId="0" xfId="0" applyAlignment="1">
      <alignment vertical="center"/>
    </xf>
    <xf numFmtId="0" fontId="17" fillId="0" borderId="0" xfId="0" applyFont="1" applyAlignment="1">
      <alignment horizontal="center" vertical="center"/>
    </xf>
    <xf numFmtId="168" fontId="0" fillId="0" borderId="69" xfId="79" applyNumberFormat="1" applyFont="1" applyBorder="1" applyAlignment="1">
      <alignment horizontal="centerContinuous" vertical="center"/>
    </xf>
    <xf numFmtId="0" fontId="0" fillId="0" borderId="0" xfId="0" applyAlignment="1">
      <alignment horizontal="centerContinuous" vertical="center"/>
    </xf>
    <xf numFmtId="0" fontId="79" fillId="51" borderId="4" xfId="9" applyFont="1" applyAlignment="1">
      <alignment horizontal="centerContinuous" vertical="center" wrapText="1"/>
    </xf>
    <xf numFmtId="168" fontId="21" fillId="54" borderId="0" xfId="79" applyNumberFormat="1" applyFont="1" applyFill="1" applyAlignment="1">
      <alignment horizontal="centerContinuous" vertical="center" wrapText="1"/>
    </xf>
    <xf numFmtId="0" fontId="21" fillId="54" borderId="0" xfId="0" applyFont="1" applyFill="1" applyAlignment="1">
      <alignment horizontal="centerContinuous" vertical="center" wrapText="1"/>
    </xf>
    <xf numFmtId="177" fontId="50" fillId="54" borderId="0" xfId="76" applyNumberFormat="1" applyFont="1" applyFill="1" applyAlignment="1">
      <alignment horizontal="centerContinuous" vertical="center" wrapText="1"/>
    </xf>
    <xf numFmtId="168" fontId="0" fillId="0" borderId="0" xfId="79" applyNumberFormat="1" applyFont="1" applyAlignment="1">
      <alignment horizontal="centerContinuous" vertical="center" wrapText="1"/>
    </xf>
    <xf numFmtId="0" fontId="0" fillId="0" borderId="0" xfId="0" applyAlignment="1">
      <alignment horizontal="centerContinuous" vertical="center" wrapText="1"/>
    </xf>
    <xf numFmtId="177" fontId="18" fillId="0" borderId="0" xfId="76" applyNumberFormat="1" applyAlignment="1">
      <alignment horizontal="centerContinuous" vertical="center" wrapText="1"/>
    </xf>
    <xf numFmtId="0" fontId="21" fillId="3" borderId="44" xfId="0" applyFont="1" applyFill="1" applyBorder="1" applyAlignment="1"/>
    <xf numFmtId="0" fontId="0" fillId="3" borderId="44" xfId="0" applyFill="1" applyBorder="1" applyAlignment="1"/>
    <xf numFmtId="168" fontId="21" fillId="3" borderId="44" xfId="79" applyNumberFormat="1" applyFont="1" applyFill="1" applyBorder="1" applyAlignment="1">
      <alignment horizontal="centerContinuous"/>
    </xf>
    <xf numFmtId="0" fontId="0" fillId="3" borderId="44" xfId="0" applyFill="1" applyBorder="1" applyAlignment="1">
      <alignment horizontal="centerContinuous"/>
    </xf>
    <xf numFmtId="177" fontId="49" fillId="3" borderId="44" xfId="76" applyNumberFormat="1" applyFont="1" applyFill="1" applyBorder="1" applyAlignment="1">
      <alignment horizontal="centerContinuous"/>
    </xf>
    <xf numFmtId="190" fontId="50" fillId="54" borderId="119" xfId="0" applyNumberFormat="1" applyFont="1" applyFill="1" applyBorder="1" applyAlignment="1">
      <alignment horizontal="centerContinuous"/>
    </xf>
    <xf numFmtId="0" fontId="21" fillId="54" borderId="121" xfId="0" applyFont="1" applyFill="1" applyBorder="1" applyAlignment="1">
      <alignment horizontal="centerContinuous"/>
    </xf>
    <xf numFmtId="0" fontId="21" fillId="54" borderId="122" xfId="0" applyFont="1" applyFill="1" applyBorder="1" applyAlignment="1">
      <alignment horizontal="centerContinuous"/>
    </xf>
    <xf numFmtId="168" fontId="24" fillId="0" borderId="0" xfId="79" applyNumberFormat="1" applyFont="1" applyAlignment="1"/>
    <xf numFmtId="0" fontId="24" fillId="0" borderId="0" xfId="0" applyFont="1" applyAlignment="1"/>
    <xf numFmtId="168" fontId="0" fillId="0" borderId="104" xfId="79" applyFont="1" applyBorder="1" applyAlignment="1">
      <alignment horizontal="centerContinuous" vertical="center"/>
    </xf>
    <xf numFmtId="0" fontId="8" fillId="51" borderId="107" xfId="9" applyBorder="1" applyAlignment="1">
      <alignment horizontal="centerContinuous" vertical="center" wrapText="1"/>
    </xf>
    <xf numFmtId="0" fontId="85" fillId="0" borderId="100" xfId="0" applyFont="1" applyBorder="1" applyAlignment="1">
      <alignment horizontal="right"/>
    </xf>
    <xf numFmtId="0" fontId="0" fillId="0" borderId="123" xfId="0" applyBorder="1" applyAlignment="1">
      <alignment vertical="center"/>
    </xf>
    <xf numFmtId="0" fontId="0" fillId="0" borderId="106" xfId="0" applyBorder="1" applyAlignment="1">
      <alignment vertical="center"/>
    </xf>
    <xf numFmtId="168" fontId="21" fillId="54" borderId="0" xfId="11" applyNumberFormat="1" applyFont="1" applyFill="1" applyBorder="1" applyAlignment="1">
      <alignment horizontal="centerContinuous" vertical="center" wrapText="1"/>
    </xf>
    <xf numFmtId="0" fontId="0" fillId="54" borderId="0" xfId="0" applyFill="1" applyAlignment="1">
      <alignment horizontal="centerContinuous" vertical="center" wrapText="1"/>
    </xf>
    <xf numFmtId="168" fontId="21" fillId="54" borderId="76" xfId="11" applyNumberFormat="1" applyFont="1" applyFill="1" applyBorder="1" applyAlignment="1">
      <alignment horizontal="centerContinuous" vertical="center" wrapText="1"/>
    </xf>
    <xf numFmtId="0" fontId="0" fillId="54" borderId="73" xfId="0" applyFill="1" applyBorder="1" applyAlignment="1">
      <alignment horizontal="centerContinuous" vertical="center" wrapText="1"/>
    </xf>
    <xf numFmtId="168" fontId="0" fillId="0" borderId="76" xfId="79" applyNumberFormat="1" applyFont="1" applyBorder="1" applyAlignment="1">
      <alignment horizontal="centerContinuous" vertical="center" wrapText="1"/>
    </xf>
    <xf numFmtId="0" fontId="0" fillId="0" borderId="73" xfId="0" applyBorder="1" applyAlignment="1">
      <alignment horizontal="centerContinuous" vertical="center" wrapText="1"/>
    </xf>
    <xf numFmtId="168" fontId="21" fillId="3" borderId="44" xfId="12" applyNumberFormat="1" applyFont="1" applyFill="1" applyBorder="1" applyAlignment="1">
      <alignment horizontal="centerContinuous" vertical="center" wrapText="1"/>
    </xf>
    <xf numFmtId="0" fontId="0" fillId="3" borderId="44" xfId="0" applyFill="1" applyBorder="1" applyAlignment="1">
      <alignment horizontal="centerContinuous" vertical="center" wrapText="1"/>
    </xf>
    <xf numFmtId="168" fontId="21" fillId="3" borderId="77" xfId="12" applyNumberFormat="1" applyFont="1" applyFill="1" applyBorder="1" applyAlignment="1">
      <alignment horizontal="centerContinuous" vertical="center" wrapText="1"/>
    </xf>
    <xf numFmtId="0" fontId="0" fillId="3" borderId="74" xfId="0" applyFill="1" applyBorder="1" applyAlignment="1">
      <alignment horizontal="centerContinuous" vertical="center" wrapText="1"/>
    </xf>
    <xf numFmtId="168" fontId="0" fillId="8" borderId="0" xfId="79" applyNumberFormat="1" applyFont="1" applyFill="1" applyAlignment="1">
      <alignment horizontal="centerContinuous" vertical="center" wrapText="1"/>
    </xf>
    <xf numFmtId="0" fontId="0" fillId="8" borderId="0" xfId="0" applyFill="1" applyAlignment="1">
      <alignment horizontal="centerContinuous" vertical="center" wrapText="1"/>
    </xf>
    <xf numFmtId="168" fontId="0" fillId="8" borderId="76" xfId="79" applyNumberFormat="1" applyFont="1" applyFill="1" applyBorder="1" applyAlignment="1">
      <alignment horizontal="centerContinuous" vertical="center" wrapText="1"/>
    </xf>
    <xf numFmtId="168" fontId="0" fillId="8" borderId="0" xfId="79" applyFont="1" applyFill="1" applyAlignment="1">
      <alignment horizontal="centerContinuous" vertical="center"/>
    </xf>
    <xf numFmtId="193" fontId="8" fillId="51" borderId="30" xfId="9" applyNumberFormat="1" applyBorder="1" applyAlignment="1">
      <alignment horizontal="centerContinuous" vertical="center" wrapText="1"/>
    </xf>
    <xf numFmtId="0" fontId="0" fillId="54" borderId="0" xfId="0" applyFill="1" applyBorder="1" applyAlignment="1">
      <alignment horizontal="centerContinuous" vertical="center" wrapText="1"/>
    </xf>
    <xf numFmtId="0" fontId="0" fillId="0" borderId="0" xfId="0" applyBorder="1" applyAlignment="1">
      <alignment horizontal="centerContinuous" vertical="center" wrapText="1"/>
    </xf>
    <xf numFmtId="168" fontId="5" fillId="0" borderId="2" xfId="13" applyNumberFormat="1" applyFont="1" applyAlignment="1">
      <alignment horizontal="centerContinuous"/>
    </xf>
    <xf numFmtId="0" fontId="5" fillId="0" borderId="2" xfId="13" applyFont="1" applyAlignment="1">
      <alignment horizontal="centerContinuous"/>
    </xf>
    <xf numFmtId="177" fontId="5" fillId="0" borderId="2" xfId="76" applyNumberFormat="1" applyFont="1" applyBorder="1" applyAlignment="1">
      <alignment horizontal="centerContinuous"/>
    </xf>
    <xf numFmtId="0" fontId="21" fillId="3" borderId="108" xfId="0" applyFont="1" applyFill="1" applyBorder="1" applyAlignment="1">
      <alignment vertical="center"/>
    </xf>
    <xf numFmtId="0" fontId="0" fillId="3" borderId="108" xfId="0" applyFill="1" applyBorder="1" applyAlignment="1">
      <alignment vertical="center"/>
    </xf>
    <xf numFmtId="168" fontId="21" fillId="3" borderId="108" xfId="79" applyNumberFormat="1" applyFont="1" applyFill="1" applyBorder="1" applyAlignment="1">
      <alignment horizontal="centerContinuous" vertical="center" wrapText="1"/>
    </xf>
    <xf numFmtId="0" fontId="21" fillId="3" borderId="108" xfId="0" applyFont="1" applyFill="1" applyBorder="1" applyAlignment="1">
      <alignment horizontal="centerContinuous" vertical="center" wrapText="1"/>
    </xf>
    <xf numFmtId="168" fontId="21" fillId="3" borderId="110" xfId="79" applyNumberFormat="1" applyFont="1" applyFill="1" applyBorder="1" applyAlignment="1">
      <alignment horizontal="centerContinuous" vertical="center" wrapText="1"/>
    </xf>
    <xf numFmtId="0" fontId="21" fillId="3" borderId="109" xfId="0" applyFont="1" applyFill="1" applyBorder="1" applyAlignment="1">
      <alignment horizontal="centerContinuous" vertical="center" wrapText="1"/>
    </xf>
    <xf numFmtId="168" fontId="21" fillId="8" borderId="0" xfId="79" applyNumberFormat="1" applyFont="1" applyFill="1" applyAlignment="1">
      <alignment horizontal="centerContinuous" vertical="center" wrapText="1"/>
    </xf>
    <xf numFmtId="0" fontId="21" fillId="8" borderId="0" xfId="0" applyFont="1" applyFill="1" applyAlignment="1">
      <alignment horizontal="centerContinuous" vertical="center" wrapText="1"/>
    </xf>
    <xf numFmtId="168" fontId="21" fillId="8" borderId="76" xfId="79" applyNumberFormat="1" applyFont="1" applyFill="1" applyBorder="1" applyAlignment="1">
      <alignment horizontal="centerContinuous" vertical="center" wrapText="1"/>
    </xf>
    <xf numFmtId="0" fontId="21" fillId="8" borderId="0" xfId="0" applyFont="1" applyFill="1" applyBorder="1" applyAlignment="1">
      <alignment horizontal="centerContinuous" vertical="center" wrapText="1"/>
    </xf>
    <xf numFmtId="0" fontId="21" fillId="8" borderId="73" xfId="0" applyFont="1" applyFill="1" applyBorder="1" applyAlignment="1">
      <alignment horizontal="centerContinuous" vertical="center" wrapText="1"/>
    </xf>
    <xf numFmtId="176" fontId="4" fillId="0" borderId="0" xfId="6" applyNumberFormat="1" applyAlignment="1">
      <alignment horizontal="left" vertical="center"/>
    </xf>
    <xf numFmtId="0" fontId="70" fillId="46" borderId="12" xfId="27" applyAlignment="1" applyProtection="1">
      <alignment vertical="center"/>
      <protection locked="0"/>
    </xf>
    <xf numFmtId="1" fontId="8" fillId="0" borderId="0" xfId="82" applyNumberFormat="1" applyFont="1" applyFill="1" applyAlignment="1">
      <alignment horizontal="centerContinuous" vertical="center"/>
    </xf>
    <xf numFmtId="177" fontId="67" fillId="0" borderId="76" xfId="76" applyNumberFormat="1" applyFont="1" applyBorder="1" applyAlignment="1">
      <alignment vertical="center"/>
    </xf>
    <xf numFmtId="0" fontId="0" fillId="54" borderId="0" xfId="0" applyFill="1" applyAlignment="1">
      <alignment horizontal="right" vertical="center"/>
    </xf>
    <xf numFmtId="3" fontId="5" fillId="0" borderId="0" xfId="13" applyNumberFormat="1" applyBorder="1">
      <alignment vertical="center"/>
    </xf>
    <xf numFmtId="0" fontId="0" fillId="56" borderId="0" xfId="0" applyFill="1">
      <alignment vertical="center"/>
    </xf>
    <xf numFmtId="0" fontId="95" fillId="53" borderId="2" xfId="86" applyBorder="1">
      <alignment vertical="center"/>
    </xf>
    <xf numFmtId="178" fontId="70" fillId="46" borderId="12" xfId="79" applyNumberFormat="1" applyFont="1" applyFill="1" applyBorder="1" applyAlignment="1">
      <alignment horizontal="center" vertical="center"/>
    </xf>
    <xf numFmtId="179" fontId="100" fillId="8" borderId="31" xfId="0" applyNumberFormat="1" applyFont="1" applyFill="1" applyBorder="1">
      <alignment vertical="center"/>
    </xf>
    <xf numFmtId="168" fontId="70" fillId="46" borderId="12" xfId="88" applyNumberFormat="1" applyProtection="1">
      <alignment vertical="center"/>
      <protection locked="0"/>
    </xf>
    <xf numFmtId="168" fontId="101" fillId="46" borderId="12" xfId="88" applyNumberFormat="1" applyFont="1" applyProtection="1">
      <alignment vertical="center"/>
      <protection locked="0"/>
    </xf>
    <xf numFmtId="170" fontId="63" fillId="0" borderId="2" xfId="19" applyNumberFormat="1" applyAlignment="1">
      <alignment horizontal="center" vertical="center"/>
    </xf>
    <xf numFmtId="184" fontId="4" fillId="52" borderId="2" xfId="84" applyAlignment="1">
      <alignment horizontal="center" vertical="center"/>
    </xf>
    <xf numFmtId="172" fontId="14" fillId="0" borderId="10" xfId="74" applyAlignment="1" applyProtection="1">
      <alignment horizontal="center" vertical="center"/>
    </xf>
    <xf numFmtId="0" fontId="15" fillId="0" borderId="0" xfId="89">
      <alignment vertical="center"/>
    </xf>
    <xf numFmtId="0" fontId="70" fillId="46" borderId="12" xfId="88" applyProtection="1">
      <alignment vertical="center"/>
      <protection locked="0"/>
    </xf>
    <xf numFmtId="170" fontId="63" fillId="0" borderId="2" xfId="19" applyNumberFormat="1" applyAlignment="1">
      <alignment horizontal="centerContinuous" vertical="center"/>
    </xf>
    <xf numFmtId="0" fontId="0" fillId="0" borderId="0" xfId="0">
      <alignment vertical="center"/>
    </xf>
    <xf numFmtId="169" fontId="10" fillId="5" borderId="8" xfId="18" applyAlignment="1"/>
    <xf numFmtId="198" fontId="4" fillId="2" borderId="2" xfId="4" applyNumberFormat="1" applyAlignment="1">
      <alignment horizontal="center" vertical="center"/>
    </xf>
    <xf numFmtId="0" fontId="4" fillId="0" borderId="0" xfId="6" applyAlignment="1">
      <alignment horizontal="right" vertical="center"/>
    </xf>
    <xf numFmtId="199" fontId="5" fillId="8" borderId="0" xfId="90" applyFont="1" applyFill="1" applyBorder="1">
      <alignment horizontal="center" vertical="center"/>
    </xf>
    <xf numFmtId="200" fontId="9" fillId="2" borderId="2" xfId="82" applyFont="1" applyFill="1" applyBorder="1">
      <alignment horizontal="center" vertical="center"/>
    </xf>
    <xf numFmtId="200" fontId="18" fillId="8" borderId="0" xfId="82" applyFont="1" applyFill="1" applyBorder="1" applyProtection="1">
      <alignment horizontal="center" vertical="center"/>
    </xf>
    <xf numFmtId="200" fontId="18" fillId="7" borderId="0" xfId="82" applyFont="1" applyFill="1" applyBorder="1" applyProtection="1">
      <alignment horizontal="center" vertical="center"/>
    </xf>
    <xf numFmtId="0" fontId="14" fillId="54" borderId="0" xfId="0" applyFont="1" applyFill="1" applyBorder="1" applyAlignment="1">
      <alignment vertical="center"/>
    </xf>
    <xf numFmtId="0" fontId="18" fillId="54" borderId="0" xfId="0" applyFont="1" applyFill="1" applyBorder="1" applyAlignment="1">
      <alignment vertical="center"/>
    </xf>
    <xf numFmtId="169" fontId="5" fillId="54" borderId="2" xfId="5" applyNumberFormat="1" applyFill="1" applyAlignment="1" applyProtection="1">
      <alignment vertical="center"/>
      <protection hidden="1"/>
    </xf>
    <xf numFmtId="169" fontId="10" fillId="6" borderId="8" xfId="18" applyFill="1" applyAlignment="1" applyProtection="1">
      <alignment vertical="center"/>
    </xf>
    <xf numFmtId="200" fontId="9" fillId="54" borderId="2" xfId="82" applyFont="1" applyFill="1" applyBorder="1" applyProtection="1">
      <alignment horizontal="center" vertical="center"/>
      <protection hidden="1"/>
    </xf>
    <xf numFmtId="0" fontId="0" fillId="54" borderId="0" xfId="0" applyFill="1" applyAlignment="1" applyProtection="1">
      <alignment vertical="center"/>
    </xf>
    <xf numFmtId="0" fontId="4" fillId="0" borderId="0" xfId="6" quotePrefix="1" applyAlignment="1">
      <alignment vertical="center"/>
    </xf>
    <xf numFmtId="0" fontId="0" fillId="0" borderId="0" xfId="0" quotePrefix="1" applyAlignment="1" applyProtection="1">
      <alignment vertical="center"/>
    </xf>
    <xf numFmtId="0" fontId="4" fillId="54" borderId="0" xfId="6" applyFill="1" applyAlignment="1">
      <alignment vertical="center"/>
    </xf>
    <xf numFmtId="0" fontId="21" fillId="0" borderId="0" xfId="0" applyFont="1" applyAlignment="1" applyProtection="1">
      <alignment vertical="center"/>
    </xf>
    <xf numFmtId="0" fontId="6" fillId="4" borderId="2" xfId="17" applyFont="1" applyAlignment="1" applyProtection="1">
      <alignment vertical="center"/>
    </xf>
    <xf numFmtId="0" fontId="4" fillId="0" borderId="0" xfId="6" applyAlignment="1" applyProtection="1">
      <alignment vertical="center"/>
    </xf>
    <xf numFmtId="169" fontId="5" fillId="0" borderId="2" xfId="13" applyNumberFormat="1" applyAlignment="1">
      <alignment horizontal="center" vertical="center"/>
    </xf>
    <xf numFmtId="194" fontId="9" fillId="2" borderId="2" xfId="15" applyNumberFormat="1" applyAlignment="1">
      <alignment horizontal="center" vertical="center"/>
    </xf>
    <xf numFmtId="201" fontId="0" fillId="0" borderId="0" xfId="0" applyNumberFormat="1" applyAlignment="1" applyProtection="1">
      <alignment horizontal="center"/>
    </xf>
    <xf numFmtId="201" fontId="0" fillId="47" borderId="0" xfId="0" applyNumberFormat="1" applyFill="1" applyAlignment="1" applyProtection="1">
      <alignment horizontal="center"/>
    </xf>
    <xf numFmtId="0" fontId="4" fillId="0" borderId="0" xfId="6" applyAlignment="1">
      <alignment horizontal="center" vertical="center"/>
    </xf>
    <xf numFmtId="0" fontId="4" fillId="54" borderId="0" xfId="6" applyFill="1" applyAlignment="1">
      <alignment horizontal="center" vertical="center"/>
    </xf>
    <xf numFmtId="0" fontId="72" fillId="0" borderId="0" xfId="0" applyFont="1" applyAlignment="1" applyProtection="1">
      <alignment vertical="center"/>
    </xf>
    <xf numFmtId="202" fontId="0" fillId="0" borderId="0" xfId="0" applyNumberFormat="1" applyProtection="1">
      <alignment vertical="center"/>
    </xf>
    <xf numFmtId="203" fontId="0" fillId="0" borderId="0" xfId="0" applyNumberFormat="1" applyProtection="1">
      <alignment vertical="center"/>
    </xf>
    <xf numFmtId="203" fontId="0" fillId="0" borderId="0" xfId="0" applyNumberFormat="1" applyAlignment="1" applyProtection="1">
      <alignment horizontal="center"/>
    </xf>
    <xf numFmtId="203" fontId="0" fillId="47" borderId="0" xfId="0" applyNumberFormat="1" applyFill="1" applyAlignment="1" applyProtection="1">
      <alignment horizontal="center"/>
    </xf>
    <xf numFmtId="170" fontId="63" fillId="54" borderId="2" xfId="19" applyNumberFormat="1" applyFill="1" applyAlignment="1">
      <alignment horizontal="center" vertical="center"/>
    </xf>
    <xf numFmtId="0" fontId="0" fillId="47" borderId="0" xfId="0" applyFill="1" applyAlignment="1"/>
    <xf numFmtId="0" fontId="18" fillId="47" borderId="0" xfId="0" applyFont="1" applyFill="1" applyBorder="1" applyAlignment="1" applyProtection="1">
      <protection hidden="1"/>
    </xf>
    <xf numFmtId="0" fontId="14" fillId="47" borderId="0" xfId="0" applyFont="1" applyFill="1" applyBorder="1" applyAlignment="1">
      <alignment vertical="center"/>
    </xf>
    <xf numFmtId="0" fontId="18" fillId="47" borderId="0" xfId="0" applyFont="1" applyFill="1" applyBorder="1" applyAlignment="1">
      <alignment vertical="center"/>
    </xf>
    <xf numFmtId="170" fontId="63" fillId="47" borderId="2" xfId="19" applyNumberFormat="1" applyFill="1" applyAlignment="1">
      <alignment horizontal="center" vertical="center"/>
    </xf>
    <xf numFmtId="169" fontId="5" fillId="47" borderId="2" xfId="5" applyNumberFormat="1" applyFill="1" applyAlignment="1" applyProtection="1">
      <alignment vertical="center"/>
      <protection hidden="1"/>
    </xf>
    <xf numFmtId="200" fontId="5" fillId="0" borderId="2" xfId="82" applyFill="1" applyBorder="1" applyAlignment="1">
      <alignment horizontal="right" vertical="center"/>
    </xf>
    <xf numFmtId="0" fontId="8" fillId="51" borderId="124" xfId="9" applyBorder="1">
      <alignment horizontal="centerContinuous" vertical="center" wrapText="1"/>
    </xf>
    <xf numFmtId="14" fontId="8" fillId="51" borderId="124" xfId="9" applyNumberFormat="1" applyBorder="1">
      <alignment horizontal="centerContinuous" vertical="center" wrapText="1"/>
    </xf>
    <xf numFmtId="168" fontId="0" fillId="0" borderId="6" xfId="11" applyNumberFormat="1" applyFont="1" applyAlignment="1">
      <alignment vertical="center"/>
    </xf>
    <xf numFmtId="200" fontId="8" fillId="51" borderId="124" xfId="9" applyNumberFormat="1" applyBorder="1">
      <alignment horizontal="centerContinuous" vertical="center" wrapText="1"/>
    </xf>
    <xf numFmtId="168" fontId="0" fillId="0" borderId="7" xfId="12" applyNumberFormat="1" applyFont="1" applyAlignment="1">
      <alignment vertical="center"/>
    </xf>
    <xf numFmtId="205" fontId="9" fillId="2" borderId="2" xfId="15" applyNumberFormat="1">
      <alignment vertical="center"/>
    </xf>
    <xf numFmtId="173" fontId="9" fillId="2" borderId="2" xfId="15" applyNumberFormat="1">
      <alignment vertical="center"/>
    </xf>
    <xf numFmtId="204" fontId="0" fillId="8" borderId="0" xfId="0" applyNumberFormat="1" applyFill="1" applyBorder="1">
      <alignment vertical="center"/>
    </xf>
    <xf numFmtId="0" fontId="18" fillId="0" borderId="0" xfId="0" applyFont="1" applyAlignment="1">
      <alignment horizontal="right" vertical="center"/>
    </xf>
    <xf numFmtId="0" fontId="0" fillId="54" borderId="0" xfId="0" quotePrefix="1" applyFill="1" applyAlignment="1">
      <alignment horizontal="right" vertical="center"/>
    </xf>
    <xf numFmtId="0" fontId="0" fillId="54" borderId="126" xfId="0" applyFill="1" applyBorder="1" applyAlignment="1">
      <alignment horizontal="centerContinuous" vertical="center"/>
    </xf>
    <xf numFmtId="0" fontId="0" fillId="54" borderId="127" xfId="0" applyFill="1" applyBorder="1" applyAlignment="1">
      <alignment horizontal="centerContinuous" vertical="center"/>
    </xf>
    <xf numFmtId="0" fontId="0" fillId="54" borderId="128" xfId="0" applyFill="1" applyBorder="1" applyAlignment="1">
      <alignment horizontal="centerContinuous" vertical="center"/>
    </xf>
    <xf numFmtId="0" fontId="8" fillId="51" borderId="125" xfId="9" applyBorder="1">
      <alignment horizontal="centerContinuous" vertical="center" wrapText="1"/>
    </xf>
    <xf numFmtId="168" fontId="9" fillId="4" borderId="2" xfId="17" applyNumberFormat="1" applyFont="1" applyAlignment="1">
      <alignment vertical="center"/>
    </xf>
    <xf numFmtId="178" fontId="9" fillId="2" borderId="2" xfId="15" applyNumberFormat="1" applyAlignment="1">
      <alignment horizontal="center" vertical="center"/>
    </xf>
    <xf numFmtId="0" fontId="0" fillId="0" borderId="0" xfId="0">
      <alignment vertical="center"/>
    </xf>
    <xf numFmtId="178" fontId="70" fillId="46" borderId="12" xfId="88" applyNumberFormat="1" applyAlignment="1">
      <alignment horizontal="center" vertical="center"/>
      <protection locked="0"/>
    </xf>
    <xf numFmtId="168" fontId="8" fillId="51" borderId="124" xfId="9" applyNumberFormat="1" applyBorder="1">
      <alignment horizontal="centerContinuous" vertical="center" wrapText="1"/>
    </xf>
    <xf numFmtId="0" fontId="18" fillId="54" borderId="0" xfId="0" applyFont="1" applyFill="1" applyAlignment="1">
      <alignment horizontal="right" vertical="center"/>
    </xf>
    <xf numFmtId="0" fontId="64" fillId="47" borderId="0" xfId="0" applyFont="1" applyFill="1" applyAlignment="1">
      <alignment horizontal="right" vertical="center"/>
    </xf>
    <xf numFmtId="185" fontId="18" fillId="8" borderId="7" xfId="12" applyNumberFormat="1" applyFont="1" applyFill="1" applyAlignment="1">
      <alignment vertical="center"/>
    </xf>
    <xf numFmtId="186" fontId="68" fillId="0" borderId="0" xfId="0" applyNumberFormat="1" applyFont="1" applyAlignment="1">
      <alignment vertical="center"/>
    </xf>
    <xf numFmtId="168" fontId="18" fillId="3" borderId="7" xfId="12" applyNumberFormat="1" applyFont="1" applyFill="1" applyAlignment="1">
      <alignment vertical="center"/>
    </xf>
    <xf numFmtId="168" fontId="18" fillId="53" borderId="7" xfId="12" applyNumberFormat="1" applyFont="1" applyFill="1" applyAlignment="1">
      <alignment vertical="center"/>
    </xf>
    <xf numFmtId="0" fontId="0" fillId="47" borderId="0" xfId="0" applyFill="1" applyAlignment="1">
      <alignment vertical="center" wrapText="1"/>
    </xf>
    <xf numFmtId="206" fontId="9" fillId="2" borderId="2" xfId="15" applyNumberFormat="1" applyAlignment="1">
      <alignment horizontal="center" vertical="center"/>
    </xf>
    <xf numFmtId="204" fontId="0" fillId="8" borderId="6" xfId="11" applyNumberFormat="1" applyFont="1" applyFill="1" applyAlignment="1">
      <alignment vertical="center"/>
    </xf>
    <xf numFmtId="208" fontId="8" fillId="51" borderId="4" xfId="9" applyNumberFormat="1">
      <alignment horizontal="centerContinuous" vertical="center" wrapText="1"/>
    </xf>
    <xf numFmtId="0" fontId="7" fillId="47" borderId="0" xfId="7" applyFill="1">
      <alignment vertical="center"/>
    </xf>
    <xf numFmtId="177" fontId="0" fillId="8" borderId="0" xfId="78" applyNumberFormat="1" applyFont="1" applyFill="1" applyAlignment="1">
      <alignment vertical="center"/>
    </xf>
    <xf numFmtId="3" fontId="0" fillId="8" borderId="0" xfId="0" applyNumberFormat="1" applyFill="1">
      <alignment vertical="center"/>
    </xf>
    <xf numFmtId="168" fontId="0" fillId="0" borderId="0" xfId="79" applyFont="1" applyBorder="1">
      <alignment vertical="center"/>
    </xf>
    <xf numFmtId="168" fontId="0" fillId="0" borderId="0" xfId="0" applyNumberFormat="1" applyFont="1" applyAlignment="1">
      <alignment vertical="center"/>
    </xf>
    <xf numFmtId="168" fontId="0" fillId="8" borderId="0" xfId="79" applyFont="1" applyFill="1" applyBorder="1">
      <alignment vertical="center"/>
    </xf>
    <xf numFmtId="168" fontId="0" fillId="47" borderId="0" xfId="79" applyFont="1" applyFill="1">
      <alignment vertical="center"/>
    </xf>
    <xf numFmtId="164" fontId="0" fillId="47" borderId="0" xfId="0" applyNumberFormat="1" applyFill="1">
      <alignment vertical="center"/>
    </xf>
    <xf numFmtId="168" fontId="0" fillId="3" borderId="7" xfId="12" applyNumberFormat="1" applyFont="1" applyFill="1" applyAlignment="1">
      <alignment vertical="center"/>
    </xf>
    <xf numFmtId="168" fontId="0" fillId="46" borderId="7" xfId="12" applyNumberFormat="1" applyFont="1" applyFill="1" applyAlignment="1">
      <alignment vertical="center"/>
    </xf>
    <xf numFmtId="0" fontId="67" fillId="8" borderId="0" xfId="0" applyFont="1" applyFill="1">
      <alignment vertical="center"/>
    </xf>
    <xf numFmtId="0" fontId="72" fillId="8" borderId="0" xfId="0" applyFont="1" applyFill="1" applyAlignment="1">
      <alignment horizontal="right"/>
    </xf>
    <xf numFmtId="0" fontId="0" fillId="54" borderId="0" xfId="0" applyFill="1" applyAlignment="1">
      <alignment horizontal="centerContinuous" vertical="center"/>
    </xf>
    <xf numFmtId="0" fontId="64" fillId="54" borderId="0" xfId="0" applyFont="1" applyFill="1">
      <alignment vertical="center"/>
    </xf>
    <xf numFmtId="168" fontId="0" fillId="54" borderId="0" xfId="0" applyNumberFormat="1" applyFill="1">
      <alignment vertical="center"/>
    </xf>
    <xf numFmtId="168" fontId="16" fillId="47" borderId="0" xfId="0" applyNumberFormat="1" applyFont="1" applyFill="1" applyAlignment="1">
      <alignment vertical="center"/>
    </xf>
    <xf numFmtId="176" fontId="0" fillId="47" borderId="0" xfId="0" applyNumberFormat="1" applyFill="1" applyAlignment="1">
      <alignment horizontal="left" vertical="center"/>
    </xf>
    <xf numFmtId="0" fontId="73" fillId="47" borderId="0" xfId="0" applyFont="1" applyFill="1" applyAlignment="1">
      <alignment vertical="center"/>
    </xf>
    <xf numFmtId="168" fontId="16" fillId="47" borderId="0" xfId="0" applyNumberFormat="1" applyFont="1" applyFill="1" applyAlignment="1">
      <alignment horizontal="right" vertical="center"/>
    </xf>
    <xf numFmtId="0" fontId="0" fillId="47" borderId="0" xfId="0" applyFill="1" applyAlignment="1">
      <alignment vertical="center"/>
    </xf>
    <xf numFmtId="0" fontId="0" fillId="0" borderId="0" xfId="0" applyAlignment="1">
      <alignment vertical="center"/>
    </xf>
    <xf numFmtId="0" fontId="0" fillId="47" borderId="0" xfId="0" applyFill="1" applyAlignment="1">
      <alignment horizontal="left" vertical="center"/>
    </xf>
    <xf numFmtId="209" fontId="18" fillId="47" borderId="0" xfId="0" applyNumberFormat="1" applyFont="1" applyFill="1" applyAlignment="1">
      <alignment vertical="center"/>
    </xf>
    <xf numFmtId="182" fontId="18" fillId="4" borderId="2" xfId="17" applyNumberFormat="1" applyFont="1" applyAlignment="1">
      <alignment vertical="center"/>
    </xf>
    <xf numFmtId="168" fontId="18" fillId="0" borderId="6" xfId="11" applyNumberFormat="1" applyFont="1" applyAlignment="1">
      <alignment vertical="center"/>
    </xf>
    <xf numFmtId="168" fontId="18" fillId="8" borderId="3" xfId="8" applyNumberFormat="1" applyFont="1" applyFill="1">
      <alignment vertical="center"/>
    </xf>
    <xf numFmtId="168" fontId="18" fillId="0" borderId="3" xfId="8" applyNumberFormat="1" applyFont="1">
      <alignment vertical="center"/>
    </xf>
    <xf numFmtId="205" fontId="70" fillId="46" borderId="12" xfId="88" applyNumberFormat="1" applyProtection="1">
      <alignment vertical="center"/>
      <protection locked="0"/>
    </xf>
    <xf numFmtId="3" fontId="70" fillId="46" borderId="12" xfId="88" applyNumberFormat="1" applyAlignment="1">
      <alignment horizontal="center" vertical="center"/>
      <protection locked="0"/>
    </xf>
    <xf numFmtId="173" fontId="5" fillId="0" borderId="2" xfId="78" applyNumberFormat="1" applyFont="1" applyBorder="1" applyAlignment="1">
      <alignment horizontal="center" vertical="center"/>
    </xf>
    <xf numFmtId="168" fontId="18" fillId="0" borderId="0" xfId="79" applyFont="1">
      <alignment vertical="center"/>
    </xf>
    <xf numFmtId="175" fontId="70" fillId="46" borderId="12" xfId="88" applyNumberFormat="1">
      <alignment vertical="center"/>
      <protection locked="0"/>
    </xf>
    <xf numFmtId="0" fontId="4" fillId="8" borderId="0" xfId="6" applyFill="1" applyAlignment="1">
      <alignment horizontal="right" vertical="center"/>
    </xf>
    <xf numFmtId="168" fontId="16" fillId="0" borderId="2" xfId="13" applyNumberFormat="1" applyFont="1">
      <alignment vertical="center"/>
    </xf>
    <xf numFmtId="200" fontId="5" fillId="2" borderId="2" xfId="82" applyFill="1" applyBorder="1">
      <alignment horizontal="center" vertical="center"/>
    </xf>
    <xf numFmtId="168" fontId="0" fillId="54" borderId="0" xfId="0" applyNumberFormat="1" applyFill="1" applyAlignment="1">
      <alignment horizontal="right" vertical="center"/>
    </xf>
    <xf numFmtId="168" fontId="16" fillId="54" borderId="2" xfId="13" applyNumberFormat="1" applyFont="1" applyFill="1">
      <alignment vertical="center"/>
    </xf>
    <xf numFmtId="168" fontId="5" fillId="0" borderId="2" xfId="13" applyNumberFormat="1" applyFont="1">
      <alignment vertical="center"/>
    </xf>
    <xf numFmtId="168" fontId="5" fillId="54" borderId="2" xfId="13" applyNumberFormat="1" applyFont="1" applyFill="1">
      <alignment vertical="center"/>
    </xf>
    <xf numFmtId="168" fontId="49" fillId="47" borderId="103" xfId="0" applyNumberFormat="1" applyFont="1" applyFill="1" applyBorder="1">
      <alignment vertical="center"/>
    </xf>
    <xf numFmtId="0" fontId="18" fillId="0" borderId="0" xfId="0" applyFont="1" applyAlignment="1">
      <alignment horizontal="center" vertical="center"/>
    </xf>
    <xf numFmtId="0" fontId="0" fillId="0" borderId="0" xfId="0" applyFont="1" applyAlignment="1">
      <alignment vertical="center"/>
    </xf>
    <xf numFmtId="0" fontId="18" fillId="4" borderId="2" xfId="17" applyFont="1" applyAlignment="1">
      <alignment vertical="center"/>
    </xf>
    <xf numFmtId="207" fontId="14" fillId="0" borderId="0" xfId="0" applyNumberFormat="1" applyFont="1" applyAlignment="1" applyProtection="1">
      <alignment horizontal="center" vertical="center"/>
    </xf>
    <xf numFmtId="168" fontId="21" fillId="54" borderId="5" xfId="10" applyNumberFormat="1" applyFont="1" applyFill="1" applyAlignment="1">
      <alignment vertical="center"/>
    </xf>
    <xf numFmtId="0" fontId="0" fillId="47" borderId="0" xfId="0" applyFill="1" applyAlignment="1">
      <alignment vertical="center"/>
    </xf>
    <xf numFmtId="0" fontId="0" fillId="8" borderId="0" xfId="0" quotePrefix="1" applyFill="1" applyBorder="1" applyAlignment="1">
      <alignment vertical="center"/>
    </xf>
    <xf numFmtId="211" fontId="9" fillId="2" borderId="2" xfId="15" quotePrefix="1" applyNumberFormat="1" applyAlignment="1">
      <alignment horizontal="center" vertical="center"/>
    </xf>
    <xf numFmtId="0" fontId="0" fillId="47" borderId="0" xfId="0" applyFill="1" applyAlignment="1">
      <alignment vertical="center"/>
    </xf>
    <xf numFmtId="0" fontId="0" fillId="0" borderId="0" xfId="0" applyAlignment="1">
      <alignment horizontal="right" vertical="center"/>
    </xf>
    <xf numFmtId="0" fontId="0" fillId="0" borderId="0" xfId="0" applyAlignment="1">
      <alignment vertical="center"/>
    </xf>
    <xf numFmtId="0" fontId="0" fillId="47" borderId="118" xfId="0" applyFill="1" applyBorder="1" applyAlignment="1">
      <alignment vertical="center"/>
    </xf>
    <xf numFmtId="168" fontId="0" fillId="8" borderId="0" xfId="85" applyNumberFormat="1" applyFont="1" applyFill="1" applyBorder="1" applyAlignment="1">
      <alignment vertical="center"/>
    </xf>
    <xf numFmtId="0" fontId="16" fillId="47" borderId="0" xfId="0" applyFont="1" applyFill="1" applyBorder="1" applyAlignment="1">
      <alignment vertical="center"/>
    </xf>
    <xf numFmtId="0" fontId="5" fillId="47" borderId="0" xfId="0" applyFont="1" applyFill="1" applyBorder="1" applyAlignment="1">
      <alignment vertical="center"/>
    </xf>
    <xf numFmtId="168" fontId="0" fillId="47" borderId="0" xfId="85" applyNumberFormat="1" applyFont="1" applyFill="1" applyBorder="1" applyAlignment="1">
      <alignment vertical="center"/>
    </xf>
    <xf numFmtId="168" fontId="21" fillId="8" borderId="7" xfId="12" applyNumberFormat="1" applyFont="1" applyFill="1" applyAlignment="1">
      <alignment vertical="center"/>
    </xf>
    <xf numFmtId="0" fontId="0" fillId="47" borderId="81" xfId="0" applyFill="1" applyBorder="1" applyAlignment="1">
      <alignment vertical="center"/>
    </xf>
    <xf numFmtId="168" fontId="0" fillId="8" borderId="81" xfId="85" applyNumberFormat="1" applyFont="1" applyFill="1" applyBorder="1" applyAlignment="1">
      <alignment vertical="center"/>
    </xf>
    <xf numFmtId="168" fontId="0" fillId="0" borderId="0" xfId="0" applyNumberFormat="1" applyAlignment="1">
      <alignment vertical="center"/>
    </xf>
    <xf numFmtId="168" fontId="24" fillId="8" borderId="7" xfId="79" applyNumberFormat="1" applyFont="1" applyFill="1" applyBorder="1" applyAlignment="1">
      <alignment vertical="center"/>
    </xf>
    <xf numFmtId="197" fontId="0" fillId="47" borderId="0" xfId="0" applyNumberFormat="1" applyFill="1" applyAlignment="1">
      <alignment vertical="center"/>
    </xf>
    <xf numFmtId="2" fontId="0" fillId="47" borderId="0" xfId="0" quotePrefix="1" applyNumberFormat="1" applyFill="1" applyAlignment="1">
      <alignment vertical="center"/>
    </xf>
    <xf numFmtId="0" fontId="0" fillId="8" borderId="0" xfId="0" quotePrefix="1" applyFont="1" applyFill="1" applyBorder="1" applyAlignment="1">
      <alignment vertical="center"/>
    </xf>
    <xf numFmtId="176" fontId="48" fillId="54" borderId="0" xfId="0" applyNumberFormat="1" applyFont="1" applyFill="1" applyAlignment="1">
      <alignment vertical="center"/>
    </xf>
    <xf numFmtId="177" fontId="70" fillId="46" borderId="12" xfId="27" applyNumberFormat="1" applyAlignment="1" applyProtection="1">
      <alignment vertical="center"/>
      <protection locked="0"/>
    </xf>
    <xf numFmtId="0" fontId="7" fillId="0" borderId="0" xfId="7" applyAlignment="1">
      <alignment vertical="center"/>
    </xf>
    <xf numFmtId="192" fontId="5" fillId="0" borderId="2" xfId="13" applyNumberFormat="1" applyAlignment="1">
      <alignment horizontal="center" vertical="center"/>
    </xf>
    <xf numFmtId="200" fontId="70" fillId="46" borderId="12" xfId="27" applyNumberFormat="1" applyAlignment="1" applyProtection="1">
      <alignment horizontal="center" vertical="center"/>
      <protection locked="0"/>
    </xf>
    <xf numFmtId="213" fontId="5" fillId="0" borderId="2" xfId="13" applyNumberFormat="1" applyAlignment="1">
      <alignment horizontal="center" vertical="center"/>
    </xf>
    <xf numFmtId="0" fontId="71" fillId="54" borderId="0" xfId="6" applyFont="1" applyFill="1" applyAlignment="1">
      <alignment vertical="center"/>
    </xf>
    <xf numFmtId="0" fontId="3" fillId="54" borderId="0" xfId="3" applyFill="1" applyAlignment="1">
      <alignment horizontal="right" vertical="center"/>
    </xf>
    <xf numFmtId="200" fontId="0" fillId="0" borderId="105" xfId="82" applyFont="1" applyFill="1" applyBorder="1" applyAlignment="1">
      <alignment horizontal="center" vertical="center"/>
    </xf>
    <xf numFmtId="0" fontId="3" fillId="54" borderId="0" xfId="3" applyFill="1" applyAlignment="1">
      <alignment vertical="center"/>
    </xf>
    <xf numFmtId="0" fontId="70" fillId="46" borderId="47" xfId="27" applyBorder="1" applyAlignment="1" applyProtection="1">
      <alignment vertical="center"/>
      <protection locked="0"/>
    </xf>
    <xf numFmtId="0" fontId="70" fillId="46" borderId="48" xfId="27" applyBorder="1" applyAlignment="1">
      <alignment vertical="center"/>
    </xf>
    <xf numFmtId="0" fontId="4" fillId="2" borderId="49" xfId="4" applyBorder="1" applyAlignment="1">
      <alignment vertical="center"/>
    </xf>
    <xf numFmtId="0" fontId="4" fillId="2" borderId="6" xfId="4" applyBorder="1" applyAlignment="1">
      <alignment vertical="center"/>
    </xf>
    <xf numFmtId="0" fontId="4" fillId="2" borderId="50" xfId="4" applyBorder="1" applyAlignment="1">
      <alignment vertical="center"/>
    </xf>
    <xf numFmtId="0" fontId="4" fillId="54" borderId="0" xfId="6" applyFill="1" applyBorder="1" applyAlignment="1">
      <alignment vertical="center"/>
    </xf>
    <xf numFmtId="0" fontId="91" fillId="54" borderId="0" xfId="0" applyFont="1" applyFill="1" applyAlignment="1" applyProtection="1">
      <alignment horizontal="center" vertical="center"/>
    </xf>
    <xf numFmtId="0" fontId="0" fillId="54" borderId="0" xfId="0" applyFont="1" applyFill="1" applyAlignment="1" applyProtection="1">
      <alignment horizontal="left" vertical="center"/>
    </xf>
    <xf numFmtId="178" fontId="70" fillId="46" borderId="12" xfId="88" applyNumberFormat="1" applyAlignment="1" applyProtection="1">
      <alignment horizontal="center" vertical="center"/>
      <protection locked="0"/>
    </xf>
    <xf numFmtId="0" fontId="18" fillId="0" borderId="0" xfId="0" applyFont="1" applyAlignment="1"/>
    <xf numFmtId="200" fontId="5" fillId="0" borderId="2" xfId="13" applyNumberFormat="1">
      <alignment vertical="center"/>
    </xf>
    <xf numFmtId="205" fontId="5" fillId="0" borderId="2" xfId="13" applyNumberFormat="1">
      <alignment vertical="center"/>
    </xf>
    <xf numFmtId="173" fontId="5" fillId="0" borderId="2" xfId="13" applyNumberFormat="1" applyAlignment="1">
      <alignment horizontal="center" vertical="center"/>
    </xf>
    <xf numFmtId="0" fontId="0" fillId="47" borderId="0" xfId="0" applyFill="1" applyAlignment="1">
      <alignment horizontal="right" vertical="center"/>
    </xf>
    <xf numFmtId="0" fontId="0" fillId="47" borderId="0" xfId="0" applyFill="1" applyAlignment="1">
      <alignment horizontal="centerContinuous" vertical="center"/>
    </xf>
    <xf numFmtId="172" fontId="5" fillId="0" borderId="2" xfId="13" applyNumberFormat="1" applyAlignment="1">
      <alignment horizontal="center" vertical="center"/>
    </xf>
    <xf numFmtId="0" fontId="21" fillId="3" borderId="0" xfId="0" applyFont="1" applyFill="1" applyAlignment="1">
      <alignment vertical="center"/>
    </xf>
    <xf numFmtId="0" fontId="21" fillId="47" borderId="0" xfId="0" applyFont="1" applyFill="1" applyAlignment="1">
      <alignment vertical="center"/>
    </xf>
    <xf numFmtId="0" fontId="21" fillId="47" borderId="0" xfId="0" applyFont="1" applyFill="1" applyAlignment="1">
      <alignment horizontal="right" vertical="center"/>
    </xf>
    <xf numFmtId="200" fontId="9" fillId="2" borderId="2" xfId="82" applyFont="1" applyFill="1" applyBorder="1" applyAlignment="1">
      <alignment horizontal="center" vertical="center"/>
    </xf>
    <xf numFmtId="0" fontId="62" fillId="0" borderId="0" xfId="0" applyFont="1" applyAlignment="1">
      <alignment horizontal="right" vertical="center"/>
    </xf>
    <xf numFmtId="168" fontId="0" fillId="54" borderId="6" xfId="11" applyNumberFormat="1" applyFont="1" applyFill="1" applyAlignment="1">
      <alignment vertical="center"/>
    </xf>
    <xf numFmtId="0" fontId="8" fillId="51" borderId="96" xfId="9" applyBorder="1" applyAlignment="1">
      <alignment horizontal="centerContinuous" vertical="center" wrapText="1"/>
    </xf>
    <xf numFmtId="2" fontId="0" fillId="0" borderId="0" xfId="0" applyNumberFormat="1" applyAlignment="1">
      <alignment vertical="center"/>
    </xf>
    <xf numFmtId="0" fontId="97" fillId="0" borderId="0" xfId="0" applyFont="1" applyAlignment="1">
      <alignment horizontal="right" vertical="center"/>
    </xf>
    <xf numFmtId="0" fontId="23" fillId="0" borderId="0" xfId="0" applyFont="1" applyAlignment="1">
      <alignment horizontal="right" vertical="center"/>
    </xf>
    <xf numFmtId="0" fontId="0" fillId="47" borderId="0" xfId="0" applyFill="1" applyAlignment="1">
      <alignment vertical="center"/>
    </xf>
    <xf numFmtId="0" fontId="2" fillId="47" borderId="1" xfId="1" applyFill="1" applyAlignment="1">
      <alignment vertical="center"/>
    </xf>
    <xf numFmtId="0" fontId="75" fillId="47" borderId="1" xfId="1" applyFont="1" applyFill="1" applyAlignment="1">
      <alignment horizontal="left" vertical="center"/>
    </xf>
    <xf numFmtId="176" fontId="4" fillId="0" borderId="0" xfId="6" applyNumberFormat="1" applyAlignment="1">
      <alignment horizontal="right" vertical="center"/>
    </xf>
    <xf numFmtId="169" fontId="0" fillId="0" borderId="0" xfId="0" applyNumberFormat="1" applyAlignment="1">
      <alignment vertical="center"/>
    </xf>
    <xf numFmtId="0" fontId="5" fillId="0" borderId="0" xfId="0" applyFont="1" applyFill="1" applyBorder="1" applyAlignment="1">
      <alignment vertical="center"/>
    </xf>
    <xf numFmtId="168" fontId="0" fillId="8" borderId="7" xfId="79" applyNumberFormat="1" applyFont="1" applyFill="1" applyBorder="1" applyAlignment="1">
      <alignment vertical="center"/>
    </xf>
    <xf numFmtId="168" fontId="9" fillId="2" borderId="2" xfId="79" applyNumberFormat="1" applyFont="1" applyFill="1" applyBorder="1" applyAlignment="1">
      <alignment vertical="center"/>
    </xf>
    <xf numFmtId="0" fontId="8" fillId="51" borderId="124" xfId="9" applyBorder="1" applyAlignment="1">
      <alignment horizontal="centerContinuous" vertical="center" wrapText="1"/>
    </xf>
    <xf numFmtId="169" fontId="10" fillId="4" borderId="2" xfId="17" applyNumberFormat="1" applyFont="1" applyAlignment="1">
      <alignment vertical="center"/>
    </xf>
    <xf numFmtId="0" fontId="74" fillId="55" borderId="10" xfId="0" applyFont="1" applyFill="1" applyBorder="1" applyAlignment="1">
      <alignment vertical="center"/>
    </xf>
    <xf numFmtId="177" fontId="9" fillId="2" borderId="2" xfId="15" applyNumberFormat="1" applyAlignment="1">
      <alignment vertical="center"/>
    </xf>
    <xf numFmtId="10" fontId="5" fillId="0" borderId="2" xfId="13" applyNumberFormat="1" applyAlignment="1">
      <alignment vertical="center"/>
    </xf>
    <xf numFmtId="0" fontId="0" fillId="0" borderId="0" xfId="0">
      <alignment vertical="center"/>
    </xf>
    <xf numFmtId="0" fontId="0" fillId="8" borderId="0" xfId="0" applyFill="1">
      <alignment vertical="center"/>
    </xf>
    <xf numFmtId="0" fontId="5" fillId="8" borderId="2" xfId="13" applyFill="1">
      <alignment vertical="center"/>
    </xf>
    <xf numFmtId="168" fontId="18" fillId="0" borderId="0" xfId="0" applyNumberFormat="1" applyFont="1" applyAlignment="1">
      <alignment vertical="center"/>
    </xf>
    <xf numFmtId="169" fontId="9" fillId="2" borderId="2" xfId="15" applyNumberFormat="1">
      <alignment vertical="center"/>
    </xf>
    <xf numFmtId="214" fontId="0" fillId="0" borderId="0" xfId="0" applyNumberFormat="1" applyAlignment="1">
      <alignment horizontal="center" vertical="center"/>
    </xf>
    <xf numFmtId="170" fontId="63" fillId="8" borderId="2" xfId="19" applyNumberFormat="1" applyFill="1" applyAlignment="1">
      <alignment horizontal="center" vertical="center"/>
    </xf>
    <xf numFmtId="0" fontId="3" fillId="57" borderId="0" xfId="3" applyFill="1">
      <alignment vertical="center"/>
    </xf>
    <xf numFmtId="0" fontId="0" fillId="57" borderId="0" xfId="0" applyFill="1">
      <alignment vertical="center"/>
    </xf>
    <xf numFmtId="0" fontId="2" fillId="8" borderId="1" xfId="1" applyFill="1" applyAlignment="1">
      <alignment horizontal="left" vertical="center"/>
    </xf>
    <xf numFmtId="0" fontId="2" fillId="0" borderId="1" xfId="1" applyAlignment="1">
      <alignment horizontal="left" vertical="center"/>
    </xf>
    <xf numFmtId="0" fontId="75" fillId="0" borderId="1" xfId="1" applyFont="1" applyAlignment="1">
      <alignment horizontal="left" vertical="center"/>
    </xf>
    <xf numFmtId="0" fontId="48" fillId="0" borderId="0" xfId="0" applyFont="1" applyAlignment="1">
      <alignment vertical="center"/>
    </xf>
    <xf numFmtId="200" fontId="5" fillId="47" borderId="2" xfId="82" applyFill="1" applyBorder="1" applyAlignment="1">
      <alignment horizontal="center" vertical="center"/>
    </xf>
    <xf numFmtId="200" fontId="5" fillId="46" borderId="2" xfId="82" applyFill="1" applyBorder="1" applyAlignment="1">
      <alignment horizontal="center" vertical="center"/>
    </xf>
    <xf numFmtId="0" fontId="21" fillId="0" borderId="0" xfId="0" applyFont="1" applyAlignment="1">
      <alignment horizontal="center" vertical="center"/>
    </xf>
    <xf numFmtId="0" fontId="0" fillId="46" borderId="0" xfId="0" applyFill="1" applyAlignment="1">
      <alignment vertical="center"/>
    </xf>
    <xf numFmtId="0" fontId="0" fillId="0" borderId="63" xfId="0" applyBorder="1" applyAlignment="1">
      <alignment vertical="center"/>
    </xf>
    <xf numFmtId="168" fontId="0" fillId="8" borderId="56" xfId="79" applyNumberFormat="1" applyFont="1" applyFill="1" applyBorder="1" applyAlignment="1">
      <alignment vertical="center"/>
    </xf>
    <xf numFmtId="168" fontId="0" fillId="0" borderId="63" xfId="79" applyNumberFormat="1" applyFont="1" applyBorder="1" applyAlignment="1">
      <alignment vertical="center"/>
    </xf>
    <xf numFmtId="164" fontId="0" fillId="4" borderId="2" xfId="17" applyNumberFormat="1" applyFont="1" applyAlignment="1">
      <alignment vertical="center"/>
    </xf>
    <xf numFmtId="168" fontId="21" fillId="3" borderId="0" xfId="0" applyNumberFormat="1" applyFont="1" applyFill="1" applyAlignment="1">
      <alignment vertical="center"/>
    </xf>
    <xf numFmtId="168" fontId="21" fillId="3" borderId="56" xfId="0" applyNumberFormat="1" applyFont="1" applyFill="1" applyBorder="1" applyAlignment="1">
      <alignment vertical="center"/>
    </xf>
    <xf numFmtId="168" fontId="21" fillId="3" borderId="57" xfId="0" applyNumberFormat="1" applyFont="1" applyFill="1" applyBorder="1" applyAlignment="1">
      <alignment vertical="center"/>
    </xf>
    <xf numFmtId="168" fontId="21" fillId="3" borderId="63" xfId="0" applyNumberFormat="1" applyFont="1" applyFill="1" applyBorder="1" applyAlignment="1">
      <alignment vertical="center"/>
    </xf>
    <xf numFmtId="168" fontId="24" fillId="0" borderId="129" xfId="79" applyNumberFormat="1" applyFont="1" applyBorder="1" applyAlignment="1">
      <alignment vertical="center"/>
    </xf>
    <xf numFmtId="168" fontId="24" fillId="0" borderId="130" xfId="79" applyNumberFormat="1" applyFont="1" applyBorder="1" applyAlignment="1">
      <alignment vertical="center"/>
    </xf>
    <xf numFmtId="168" fontId="24" fillId="0" borderId="131" xfId="79" applyNumberFormat="1" applyFont="1" applyBorder="1" applyAlignment="1">
      <alignment vertical="center"/>
    </xf>
    <xf numFmtId="168" fontId="0" fillId="46" borderId="129" xfId="0" applyNumberFormat="1" applyFont="1" applyFill="1" applyBorder="1" applyAlignment="1">
      <alignment vertical="center"/>
    </xf>
    <xf numFmtId="168" fontId="24" fillId="8" borderId="130" xfId="79" applyNumberFormat="1" applyFont="1" applyFill="1" applyBorder="1" applyAlignment="1">
      <alignment vertical="center"/>
    </xf>
    <xf numFmtId="168" fontId="24" fillId="0" borderId="132" xfId="79" applyNumberFormat="1" applyFont="1" applyBorder="1" applyAlignment="1">
      <alignment vertical="center"/>
    </xf>
    <xf numFmtId="168" fontId="24" fillId="0" borderId="100" xfId="79" applyNumberFormat="1" applyFont="1" applyBorder="1" applyAlignment="1">
      <alignment vertical="center"/>
    </xf>
    <xf numFmtId="168" fontId="24" fillId="0" borderId="133" xfId="79" applyNumberFormat="1" applyFont="1" applyBorder="1" applyAlignment="1">
      <alignment vertical="center"/>
    </xf>
    <xf numFmtId="168" fontId="24" fillId="0" borderId="134" xfId="79" applyNumberFormat="1" applyFont="1" applyBorder="1" applyAlignment="1">
      <alignment vertical="center"/>
    </xf>
    <xf numFmtId="168" fontId="0" fillId="46" borderId="100" xfId="0" applyNumberFormat="1" applyFont="1" applyFill="1" applyBorder="1" applyAlignment="1">
      <alignment vertical="center"/>
    </xf>
    <xf numFmtId="168" fontId="24" fillId="8" borderId="133" xfId="79" applyNumberFormat="1" applyFont="1" applyFill="1" applyBorder="1" applyAlignment="1">
      <alignment vertical="center"/>
    </xf>
    <xf numFmtId="168" fontId="24" fillId="0" borderId="135" xfId="79" applyNumberFormat="1" applyFont="1" applyBorder="1" applyAlignment="1">
      <alignment vertical="center"/>
    </xf>
    <xf numFmtId="168" fontId="0" fillId="57" borderId="7" xfId="12" applyNumberFormat="1" applyFont="1" applyFill="1"/>
    <xf numFmtId="168" fontId="0" fillId="57" borderId="60" xfId="12" applyNumberFormat="1" applyFont="1" applyFill="1" applyBorder="1"/>
    <xf numFmtId="168" fontId="0" fillId="57" borderId="61" xfId="12" applyNumberFormat="1" applyFont="1" applyFill="1" applyBorder="1"/>
    <xf numFmtId="168" fontId="0" fillId="57" borderId="65" xfId="12" applyNumberFormat="1" applyFont="1" applyFill="1" applyBorder="1"/>
    <xf numFmtId="168" fontId="21" fillId="57" borderId="7" xfId="12" applyNumberFormat="1" applyFont="1" applyFill="1" applyAlignment="1">
      <alignment vertical="center"/>
    </xf>
    <xf numFmtId="0" fontId="3" fillId="57" borderId="0" xfId="3" applyFill="1" applyAlignment="1">
      <alignment vertical="center"/>
    </xf>
    <xf numFmtId="0" fontId="0" fillId="57" borderId="0" xfId="0" applyFill="1" applyAlignment="1">
      <alignment vertical="center"/>
    </xf>
    <xf numFmtId="168" fontId="21" fillId="57" borderId="60" xfId="12" applyNumberFormat="1" applyFont="1" applyFill="1" applyBorder="1" applyAlignment="1">
      <alignment vertical="center"/>
    </xf>
    <xf numFmtId="168" fontId="21" fillId="57" borderId="61" xfId="12" applyNumberFormat="1" applyFont="1" applyFill="1" applyBorder="1" applyAlignment="1">
      <alignment vertical="center"/>
    </xf>
    <xf numFmtId="168" fontId="21" fillId="57" borderId="65" xfId="12" applyNumberFormat="1" applyFont="1" applyFill="1" applyBorder="1" applyAlignment="1">
      <alignment vertical="center"/>
    </xf>
    <xf numFmtId="168" fontId="21" fillId="57" borderId="6" xfId="11" applyNumberFormat="1" applyFont="1" applyFill="1"/>
    <xf numFmtId="168" fontId="21" fillId="57" borderId="58" xfId="11" applyNumberFormat="1" applyFont="1" applyFill="1" applyBorder="1"/>
    <xf numFmtId="168" fontId="21" fillId="57" borderId="59" xfId="11" applyNumberFormat="1" applyFont="1" applyFill="1" applyBorder="1"/>
    <xf numFmtId="168" fontId="21" fillId="57" borderId="64" xfId="11" applyNumberFormat="1" applyFont="1" applyFill="1" applyBorder="1"/>
    <xf numFmtId="177" fontId="0" fillId="0" borderId="0" xfId="78" applyNumberFormat="1" applyFont="1" applyAlignment="1">
      <alignment vertical="center"/>
    </xf>
    <xf numFmtId="177" fontId="0" fillId="0" borderId="56" xfId="78" applyNumberFormat="1" applyFont="1" applyBorder="1" applyAlignment="1">
      <alignment vertical="center"/>
    </xf>
    <xf numFmtId="177" fontId="0" fillId="0" borderId="57" xfId="78" applyNumberFormat="1" applyFont="1" applyBorder="1" applyAlignment="1">
      <alignment vertical="center"/>
    </xf>
    <xf numFmtId="177" fontId="0" fillId="46" borderId="0" xfId="78" applyNumberFormat="1" applyFont="1" applyFill="1" applyAlignment="1">
      <alignment vertical="center"/>
    </xf>
    <xf numFmtId="177" fontId="0" fillId="8" borderId="56" xfId="78" applyNumberFormat="1" applyFont="1" applyFill="1" applyBorder="1" applyAlignment="1">
      <alignment vertical="center"/>
    </xf>
    <xf numFmtId="177" fontId="0" fillId="0" borderId="63" xfId="78" applyNumberFormat="1" applyFont="1" applyBorder="1" applyAlignment="1">
      <alignment vertical="center"/>
    </xf>
    <xf numFmtId="168" fontId="21" fillId="57" borderId="44" xfId="11" applyNumberFormat="1" applyFont="1" applyFill="1" applyBorder="1"/>
    <xf numFmtId="168" fontId="21" fillId="57" borderId="136" xfId="11" applyNumberFormat="1" applyFont="1" applyFill="1" applyBorder="1"/>
    <xf numFmtId="168" fontId="21" fillId="57" borderId="137" xfId="11" applyNumberFormat="1" applyFont="1" applyFill="1" applyBorder="1"/>
    <xf numFmtId="168" fontId="21" fillId="57" borderId="138" xfId="11" applyNumberFormat="1" applyFont="1" applyFill="1" applyBorder="1"/>
    <xf numFmtId="0" fontId="0" fillId="0" borderId="0" xfId="0" applyAlignment="1">
      <alignment horizontal="center" vertical="center"/>
    </xf>
    <xf numFmtId="9" fontId="0" fillId="8" borderId="0" xfId="0" applyNumberFormat="1" applyFill="1" applyAlignment="1">
      <alignment horizontal="center" vertical="center"/>
    </xf>
    <xf numFmtId="177" fontId="90" fillId="0" borderId="76" xfId="76" applyNumberFormat="1" applyFont="1" applyBorder="1" applyAlignment="1">
      <alignment horizontal="centerContinuous" vertical="center"/>
    </xf>
    <xf numFmtId="0" fontId="0" fillId="47" borderId="0" xfId="0" applyFill="1">
      <alignment vertical="center"/>
    </xf>
    <xf numFmtId="0" fontId="0" fillId="8" borderId="0" xfId="0" applyFont="1" applyFill="1" applyAlignment="1">
      <alignment horizontal="centerContinuous" vertical="center"/>
    </xf>
    <xf numFmtId="177" fontId="78" fillId="54" borderId="0" xfId="76" applyNumberFormat="1" applyFont="1" applyFill="1" applyAlignment="1">
      <alignment horizontal="centerContinuous" vertical="center"/>
    </xf>
    <xf numFmtId="215" fontId="21" fillId="54" borderId="0" xfId="11" applyNumberFormat="1" applyFont="1" applyFill="1" applyBorder="1" applyAlignment="1">
      <alignment horizontal="centerContinuous" vertical="center" wrapText="1"/>
    </xf>
    <xf numFmtId="200" fontId="5" fillId="8" borderId="2" xfId="82" applyFill="1" applyBorder="1">
      <alignment horizontal="center" vertical="center"/>
    </xf>
    <xf numFmtId="0" fontId="21" fillId="57" borderId="44" xfId="0" applyFont="1" applyFill="1" applyBorder="1" applyAlignment="1">
      <alignment vertical="center"/>
    </xf>
    <xf numFmtId="0" fontId="0" fillId="57" borderId="44" xfId="0" applyFill="1" applyBorder="1" applyAlignment="1">
      <alignment vertical="center"/>
    </xf>
    <xf numFmtId="168" fontId="21" fillId="57" borderId="44" xfId="12" applyNumberFormat="1" applyFont="1" applyFill="1" applyBorder="1" applyAlignment="1">
      <alignment horizontal="centerContinuous" vertical="center" wrapText="1"/>
    </xf>
    <xf numFmtId="0" fontId="0" fillId="57" borderId="44" xfId="0" applyFill="1" applyBorder="1" applyAlignment="1">
      <alignment horizontal="centerContinuous" vertical="center" wrapText="1"/>
    </xf>
    <xf numFmtId="168" fontId="21" fillId="57" borderId="77" xfId="12" applyNumberFormat="1" applyFont="1" applyFill="1" applyBorder="1" applyAlignment="1">
      <alignment horizontal="centerContinuous" vertical="center" wrapText="1"/>
    </xf>
    <xf numFmtId="0" fontId="0" fillId="57" borderId="74" xfId="0" applyFill="1" applyBorder="1" applyAlignment="1">
      <alignment horizontal="centerContinuous" vertical="center" wrapText="1"/>
    </xf>
    <xf numFmtId="216" fontId="0" fillId="54" borderId="0" xfId="0" applyNumberFormat="1" applyFill="1" applyAlignment="1">
      <alignment horizontal="centerContinuous" vertical="center"/>
    </xf>
    <xf numFmtId="0" fontId="0" fillId="54" borderId="0" xfId="0" applyFill="1" applyAlignment="1">
      <alignment horizontal="center" vertical="center"/>
    </xf>
    <xf numFmtId="176" fontId="4" fillId="0" borderId="0" xfId="6" applyNumberFormat="1" applyAlignment="1">
      <alignment horizontal="center" vertical="center"/>
    </xf>
    <xf numFmtId="0" fontId="5" fillId="54" borderId="0" xfId="0" applyFont="1" applyFill="1" applyAlignment="1">
      <alignment vertical="center"/>
    </xf>
    <xf numFmtId="0" fontId="0" fillId="54" borderId="0" xfId="0" applyFill="1">
      <alignment vertical="center"/>
    </xf>
    <xf numFmtId="0" fontId="0" fillId="54" borderId="0" xfId="0" applyFill="1" applyAlignment="1">
      <alignment vertical="center"/>
    </xf>
    <xf numFmtId="0" fontId="0" fillId="0" borderId="0" xfId="0">
      <alignment vertical="center"/>
    </xf>
    <xf numFmtId="168" fontId="5" fillId="8" borderId="2" xfId="13" applyNumberFormat="1" applyFill="1" applyAlignment="1">
      <alignment vertical="center"/>
    </xf>
    <xf numFmtId="0" fontId="7" fillId="54" borderId="0" xfId="7" applyFill="1" applyAlignment="1">
      <alignment vertical="center"/>
    </xf>
    <xf numFmtId="173" fontId="69" fillId="54" borderId="0" xfId="76" applyFont="1" applyFill="1" applyBorder="1" applyAlignment="1" applyProtection="1">
      <alignment vertical="center"/>
    </xf>
    <xf numFmtId="0" fontId="5" fillId="54" borderId="0" xfId="0" applyFont="1" applyFill="1" applyAlignment="1" applyProtection="1">
      <alignment vertical="center"/>
    </xf>
    <xf numFmtId="173" fontId="18" fillId="54" borderId="0" xfId="76" applyFill="1" applyBorder="1" applyAlignment="1" applyProtection="1">
      <alignment vertical="center"/>
    </xf>
    <xf numFmtId="173" fontId="49" fillId="54" borderId="0" xfId="76" applyFont="1" applyFill="1" applyBorder="1" applyAlignment="1" applyProtection="1">
      <alignment vertical="center"/>
    </xf>
    <xf numFmtId="173" fontId="69" fillId="54" borderId="0" xfId="76" quotePrefix="1" applyFont="1" applyFill="1" applyBorder="1" applyAlignment="1" applyProtection="1">
      <alignment vertical="center"/>
    </xf>
    <xf numFmtId="197" fontId="5" fillId="54" borderId="2" xfId="13" applyNumberFormat="1" applyFill="1" applyAlignment="1">
      <alignment vertical="center"/>
    </xf>
    <xf numFmtId="3" fontId="18" fillId="7" borderId="0" xfId="0" applyNumberFormat="1" applyFont="1" applyFill="1" applyBorder="1" applyAlignment="1">
      <alignment horizontal="right"/>
    </xf>
    <xf numFmtId="200" fontId="0" fillId="0" borderId="0" xfId="82" applyFont="1" applyFill="1" applyBorder="1">
      <alignment horizontal="center" vertical="center"/>
    </xf>
    <xf numFmtId="0" fontId="21" fillId="0" borderId="0" xfId="0" applyFont="1" applyBorder="1">
      <alignment vertical="center"/>
    </xf>
    <xf numFmtId="0" fontId="8" fillId="0" borderId="0" xfId="0" applyFont="1">
      <alignment vertical="center"/>
    </xf>
    <xf numFmtId="0" fontId="8" fillId="8" borderId="0" xfId="0" applyFont="1" applyFill="1" applyAlignment="1">
      <alignment vertical="center"/>
    </xf>
    <xf numFmtId="168" fontId="5" fillId="8" borderId="2" xfId="13" applyNumberFormat="1" applyFill="1" applyBorder="1">
      <alignment vertical="center"/>
    </xf>
    <xf numFmtId="0" fontId="8" fillId="51" borderId="140" xfId="9" applyBorder="1">
      <alignment horizontal="centerContinuous" vertical="center" wrapText="1"/>
    </xf>
    <xf numFmtId="0" fontId="72" fillId="54" borderId="0" xfId="0" applyFont="1" applyFill="1" applyAlignment="1">
      <alignment vertical="center"/>
    </xf>
    <xf numFmtId="200" fontId="5" fillId="8" borderId="0" xfId="82" applyFont="1" applyFill="1" applyBorder="1">
      <alignment horizontal="center" vertical="center"/>
    </xf>
    <xf numFmtId="168" fontId="104" fillId="46" borderId="12" xfId="27" applyNumberFormat="1" applyFont="1" applyProtection="1">
      <alignment vertical="center"/>
      <protection locked="0"/>
    </xf>
    <xf numFmtId="0" fontId="70" fillId="46" borderId="12" xfId="88">
      <alignment vertical="center"/>
      <protection locked="0"/>
    </xf>
    <xf numFmtId="3" fontId="70" fillId="46" borderId="12" xfId="88" applyNumberFormat="1" applyAlignment="1" applyProtection="1">
      <alignment horizontal="center" vertical="center"/>
      <protection locked="0"/>
    </xf>
    <xf numFmtId="200" fontId="70" fillId="46" borderId="12" xfId="88" applyNumberFormat="1" applyProtection="1">
      <alignment vertical="center"/>
      <protection locked="0"/>
    </xf>
    <xf numFmtId="212" fontId="70" fillId="46" borderId="12" xfId="88" applyNumberFormat="1" applyProtection="1">
      <alignment vertical="center"/>
      <protection locked="0"/>
    </xf>
    <xf numFmtId="0" fontId="70" fillId="46" borderId="12" xfId="88" applyAlignment="1" applyProtection="1">
      <alignment horizontal="center" vertical="center"/>
      <protection locked="0"/>
    </xf>
    <xf numFmtId="192" fontId="70" fillId="46" borderId="12" xfId="88" applyNumberFormat="1" applyAlignment="1" applyProtection="1">
      <alignment horizontal="center" vertical="center"/>
      <protection locked="0"/>
    </xf>
    <xf numFmtId="210" fontId="70" fillId="46" borderId="12" xfId="88" applyNumberFormat="1" applyProtection="1">
      <alignment vertical="center"/>
      <protection locked="0"/>
    </xf>
    <xf numFmtId="168" fontId="70" fillId="46" borderId="12" xfId="88" applyNumberFormat="1" applyProtection="1">
      <alignment vertical="center"/>
    </xf>
    <xf numFmtId="0" fontId="5" fillId="7" borderId="88" xfId="0" applyNumberFormat="1" applyFont="1" applyFill="1" applyBorder="1" applyAlignment="1">
      <alignment vertical="center"/>
    </xf>
    <xf numFmtId="0" fontId="5" fillId="7" borderId="26" xfId="0" applyNumberFormat="1" applyFont="1" applyFill="1" applyBorder="1" applyAlignment="1">
      <alignment vertical="center"/>
    </xf>
    <xf numFmtId="0" fontId="5" fillId="7" borderId="0" xfId="0" applyNumberFormat="1" applyFont="1" applyFill="1" applyBorder="1" applyAlignment="1">
      <alignment vertical="center"/>
    </xf>
    <xf numFmtId="0" fontId="5" fillId="7" borderId="90" xfId="0" applyNumberFormat="1" applyFont="1" applyFill="1" applyBorder="1" applyAlignment="1">
      <alignment vertical="center"/>
    </xf>
    <xf numFmtId="0" fontId="43" fillId="51" borderId="93" xfId="0" applyNumberFormat="1" applyFont="1" applyFill="1" applyBorder="1" applyAlignment="1">
      <alignment vertical="center"/>
    </xf>
    <xf numFmtId="0" fontId="43" fillId="51" borderId="94" xfId="0" applyNumberFormat="1" applyFont="1" applyFill="1" applyBorder="1" applyAlignment="1">
      <alignment vertical="center"/>
    </xf>
    <xf numFmtId="0" fontId="43" fillId="51" borderId="95" xfId="0" applyNumberFormat="1" applyFont="1" applyFill="1" applyBorder="1" applyAlignment="1">
      <alignment vertical="center"/>
    </xf>
    <xf numFmtId="0" fontId="5" fillId="7" borderId="85" xfId="0" applyNumberFormat="1" applyFont="1" applyFill="1" applyBorder="1" applyAlignment="1">
      <alignment vertical="center"/>
    </xf>
    <xf numFmtId="0" fontId="0" fillId="8" borderId="86" xfId="0" applyFill="1" applyBorder="1" applyAlignment="1">
      <alignment vertical="center"/>
    </xf>
    <xf numFmtId="0" fontId="5" fillId="7" borderId="86" xfId="0" applyNumberFormat="1" applyFont="1" applyFill="1" applyBorder="1" applyAlignment="1">
      <alignment vertical="center"/>
    </xf>
    <xf numFmtId="0" fontId="5" fillId="7" borderId="87" xfId="0" applyNumberFormat="1" applyFont="1" applyFill="1" applyBorder="1" applyAlignment="1">
      <alignment vertical="center"/>
    </xf>
    <xf numFmtId="0" fontId="5" fillId="7" borderId="0" xfId="0" applyNumberFormat="1" applyFont="1" applyFill="1" applyBorder="1" applyAlignment="1">
      <alignment horizontal="left" vertical="center"/>
    </xf>
    <xf numFmtId="0" fontId="44" fillId="0" borderId="91" xfId="0" applyFont="1" applyBorder="1" applyAlignment="1">
      <alignment vertical="center"/>
    </xf>
    <xf numFmtId="0" fontId="5" fillId="51" borderId="94" xfId="0" applyNumberFormat="1" applyFont="1" applyFill="1" applyBorder="1" applyAlignment="1">
      <alignment vertical="center"/>
    </xf>
    <xf numFmtId="0" fontId="5" fillId="51" borderId="94" xfId="0" applyNumberFormat="1" applyFont="1" applyFill="1" applyBorder="1" applyAlignment="1">
      <alignment horizontal="right" vertical="center"/>
    </xf>
    <xf numFmtId="0" fontId="5" fillId="51" borderId="95" xfId="0" applyNumberFormat="1" applyFont="1" applyFill="1" applyBorder="1" applyAlignment="1">
      <alignment vertical="center"/>
    </xf>
    <xf numFmtId="10" fontId="5" fillId="7" borderId="86" xfId="76" applyNumberFormat="1" applyFont="1" applyFill="1" applyBorder="1" applyAlignment="1" applyProtection="1">
      <alignment horizontal="right" vertical="center"/>
    </xf>
    <xf numFmtId="10" fontId="5" fillId="7" borderId="0" xfId="76" applyNumberFormat="1" applyFont="1" applyFill="1" applyBorder="1" applyAlignment="1" applyProtection="1">
      <alignment horizontal="right" vertical="center"/>
    </xf>
    <xf numFmtId="0" fontId="5" fillId="7" borderId="28" xfId="0" applyNumberFormat="1" applyFont="1" applyFill="1" applyBorder="1" applyAlignment="1">
      <alignment vertical="center"/>
    </xf>
    <xf numFmtId="0" fontId="5" fillId="7" borderId="29" xfId="0" applyNumberFormat="1" applyFont="1" applyFill="1" applyBorder="1" applyAlignment="1">
      <alignment vertical="center"/>
    </xf>
    <xf numFmtId="218" fontId="8" fillId="51" borderId="117" xfId="9" applyNumberFormat="1" applyBorder="1" applyAlignment="1">
      <alignment horizontal="centerContinuous" vertical="center" wrapText="1"/>
    </xf>
    <xf numFmtId="169" fontId="10" fillId="6" borderId="141" xfId="18" applyFill="1" applyBorder="1" applyAlignment="1">
      <alignment vertical="center"/>
    </xf>
    <xf numFmtId="169" fontId="10" fillId="6" borderId="142" xfId="18" applyFill="1" applyBorder="1" applyAlignment="1">
      <alignment vertical="center"/>
    </xf>
    <xf numFmtId="169" fontId="10" fillId="6" borderId="143" xfId="18" applyFill="1" applyBorder="1" applyAlignment="1">
      <alignment vertical="center"/>
    </xf>
    <xf numFmtId="0" fontId="8" fillId="51" borderId="144" xfId="9" applyBorder="1" applyAlignment="1">
      <alignment horizontal="centerContinuous" vertical="center" wrapText="1"/>
    </xf>
    <xf numFmtId="218" fontId="8" fillId="51" borderId="145" xfId="9" applyNumberFormat="1" applyBorder="1" applyAlignment="1">
      <alignment horizontal="centerContinuous" vertical="center" wrapText="1"/>
    </xf>
    <xf numFmtId="0" fontId="0" fillId="47" borderId="120" xfId="0" applyFill="1" applyBorder="1" applyAlignment="1">
      <alignment vertical="center"/>
    </xf>
    <xf numFmtId="168" fontId="0" fillId="8" borderId="120" xfId="85" applyNumberFormat="1" applyFont="1" applyFill="1" applyBorder="1" applyAlignment="1">
      <alignment vertical="center"/>
    </xf>
    <xf numFmtId="0" fontId="4" fillId="47" borderId="0" xfId="6" applyFill="1" applyAlignment="1">
      <alignment horizontal="left" vertical="center"/>
    </xf>
    <xf numFmtId="168" fontId="5" fillId="0" borderId="2" xfId="79" applyFont="1" applyBorder="1" applyAlignment="1">
      <alignment horizontal="center" vertical="center"/>
    </xf>
    <xf numFmtId="0" fontId="62" fillId="54" borderId="0" xfId="0" applyFont="1" applyFill="1" applyAlignment="1">
      <alignment horizontal="left" vertical="center"/>
    </xf>
    <xf numFmtId="10" fontId="5" fillId="0" borderId="2" xfId="13" applyNumberFormat="1" applyAlignment="1">
      <alignment horizontal="center" vertical="center"/>
    </xf>
    <xf numFmtId="217" fontId="0" fillId="54" borderId="0" xfId="0" applyNumberFormat="1" applyFill="1" applyAlignment="1">
      <alignment horizontal="centerContinuous" vertical="center"/>
    </xf>
    <xf numFmtId="0" fontId="0" fillId="8" borderId="0" xfId="0" applyFont="1" applyFill="1" applyAlignment="1">
      <alignment vertical="center"/>
    </xf>
    <xf numFmtId="0" fontId="0" fillId="8" borderId="0" xfId="0" quotePrefix="1" applyFont="1" applyFill="1" applyAlignment="1">
      <alignment horizontal="right" vertical="center"/>
    </xf>
    <xf numFmtId="200" fontId="24" fillId="8" borderId="0" xfId="82" applyFont="1" applyFill="1" applyAlignment="1">
      <alignment horizontal="centerContinuous" vertical="center"/>
    </xf>
    <xf numFmtId="219" fontId="72" fillId="0" borderId="0" xfId="0" applyNumberFormat="1" applyFont="1" applyAlignment="1">
      <alignment horizontal="left" vertical="center"/>
    </xf>
    <xf numFmtId="220" fontId="24" fillId="0" borderId="0" xfId="82" applyNumberFormat="1" applyFont="1" applyFill="1" applyAlignment="1">
      <alignment horizontal="centerContinuous" vertical="center"/>
    </xf>
    <xf numFmtId="221" fontId="24" fillId="0" borderId="0" xfId="82" applyNumberFormat="1" applyFont="1" applyFill="1" applyAlignment="1">
      <alignment horizontal="right" vertical="center"/>
    </xf>
    <xf numFmtId="0" fontId="0" fillId="0" borderId="72" xfId="0" applyBorder="1" applyAlignment="1">
      <alignment horizontal="centerContinuous" vertical="center"/>
    </xf>
    <xf numFmtId="221" fontId="85" fillId="0" borderId="106" xfId="0" applyNumberFormat="1" applyFont="1" applyBorder="1" applyAlignment="1">
      <alignment horizontal="centerContinuous" vertical="center"/>
    </xf>
    <xf numFmtId="222" fontId="85" fillId="0" borderId="73" xfId="0" applyNumberFormat="1" applyFont="1" applyBorder="1" applyAlignment="1">
      <alignment horizontal="centerContinuous" vertical="center"/>
    </xf>
    <xf numFmtId="200" fontId="70" fillId="46" borderId="12" xfId="88" applyNumberFormat="1" applyAlignment="1" applyProtection="1">
      <alignment horizontal="center" vertical="center"/>
      <protection locked="0"/>
    </xf>
    <xf numFmtId="0" fontId="18" fillId="47" borderId="0" xfId="0" quotePrefix="1" applyFont="1" applyFill="1">
      <alignment vertical="center"/>
    </xf>
    <xf numFmtId="0" fontId="0" fillId="47" borderId="0" xfId="0" quotePrefix="1" applyFill="1">
      <alignment vertical="center"/>
    </xf>
    <xf numFmtId="0" fontId="23" fillId="47" borderId="0" xfId="0" quotePrefix="1" applyFont="1" applyFill="1">
      <alignment vertical="center"/>
    </xf>
    <xf numFmtId="0" fontId="0" fillId="0" borderId="0" xfId="0" applyAlignment="1">
      <alignment horizontal="center" vertical="center"/>
    </xf>
    <xf numFmtId="181" fontId="5" fillId="0" borderId="0" xfId="13" applyNumberFormat="1" applyBorder="1">
      <alignment vertical="center"/>
    </xf>
    <xf numFmtId="1" fontId="5" fillId="0" borderId="0" xfId="13" applyNumberFormat="1" applyBorder="1" applyAlignment="1">
      <alignment horizontal="center" vertical="center"/>
    </xf>
    <xf numFmtId="168" fontId="16" fillId="0" borderId="2" xfId="13" applyNumberFormat="1" applyFont="1" applyBorder="1">
      <alignment vertical="center"/>
    </xf>
    <xf numFmtId="0" fontId="106" fillId="8" borderId="0" xfId="0" applyFont="1" applyFill="1" applyAlignment="1">
      <alignment vertical="center"/>
    </xf>
    <xf numFmtId="221" fontId="85" fillId="0" borderId="146" xfId="0" applyNumberFormat="1" applyFont="1" applyBorder="1" applyAlignment="1">
      <alignment horizontal="centerContinuous" vertical="center"/>
    </xf>
    <xf numFmtId="0" fontId="0" fillId="3" borderId="147" xfId="0" applyFill="1" applyBorder="1" applyAlignment="1">
      <alignment vertical="center"/>
    </xf>
    <xf numFmtId="193" fontId="8" fillId="51" borderId="107" xfId="9" applyNumberFormat="1" applyFont="1" applyBorder="1" applyAlignment="1">
      <alignment horizontal="centerContinuous" vertical="center" wrapText="1"/>
    </xf>
    <xf numFmtId="193" fontId="8" fillId="51" borderId="108" xfId="9" applyNumberFormat="1" applyFont="1" applyBorder="1" applyAlignment="1">
      <alignment horizontal="centerContinuous" vertical="center" wrapText="1"/>
    </xf>
    <xf numFmtId="193" fontId="8" fillId="51" borderId="109" xfId="9" applyNumberFormat="1" applyFont="1" applyBorder="1" applyAlignment="1">
      <alignment horizontal="centerContinuous" vertical="center" wrapText="1"/>
    </xf>
    <xf numFmtId="193" fontId="8" fillId="51" borderId="110" xfId="9" applyNumberFormat="1" applyFont="1" applyBorder="1" applyAlignment="1">
      <alignment horizontal="centerContinuous" vertical="center"/>
    </xf>
    <xf numFmtId="193" fontId="8" fillId="51" borderId="112" xfId="9" applyNumberFormat="1" applyFont="1" applyBorder="1" applyAlignment="1">
      <alignment horizontal="centerContinuous" vertical="center"/>
    </xf>
    <xf numFmtId="193" fontId="8" fillId="51" borderId="113" xfId="9" applyNumberFormat="1" applyFont="1" applyBorder="1" applyAlignment="1">
      <alignment horizontal="centerContinuous" vertical="center" wrapText="1"/>
    </xf>
    <xf numFmtId="193" fontId="8" fillId="51" borderId="111" xfId="9" applyNumberFormat="1" applyFont="1" applyBorder="1" applyAlignment="1">
      <alignment horizontal="centerContinuous" vertical="center"/>
    </xf>
    <xf numFmtId="0" fontId="24" fillId="0" borderId="146" xfId="0" applyFont="1" applyBorder="1" applyAlignment="1">
      <alignment horizontal="centerContinuous" vertical="center"/>
    </xf>
    <xf numFmtId="0" fontId="24" fillId="0" borderId="76" xfId="0" applyFont="1" applyBorder="1" applyAlignment="1">
      <alignment vertical="center"/>
    </xf>
    <xf numFmtId="0" fontId="24" fillId="0" borderId="81" xfId="0" applyFont="1" applyBorder="1" applyAlignment="1">
      <alignment vertical="center"/>
    </xf>
    <xf numFmtId="0" fontId="24" fillId="0" borderId="114" xfId="0" applyFont="1" applyBorder="1" applyAlignment="1">
      <alignment vertical="center"/>
    </xf>
    <xf numFmtId="0" fontId="24" fillId="0" borderId="72" xfId="0" applyFont="1" applyBorder="1" applyAlignment="1">
      <alignment vertical="center"/>
    </xf>
    <xf numFmtId="168" fontId="24" fillId="8" borderId="0" xfId="79" applyNumberFormat="1" applyFont="1" applyFill="1" applyBorder="1" applyAlignment="1">
      <alignment horizontal="centerContinuous" vertical="center"/>
    </xf>
    <xf numFmtId="0" fontId="24" fillId="8" borderId="0" xfId="0" applyFont="1" applyFill="1" applyBorder="1" applyAlignment="1">
      <alignment horizontal="centerContinuous" vertical="center"/>
    </xf>
    <xf numFmtId="0" fontId="24" fillId="8" borderId="73" xfId="0" applyFont="1" applyFill="1" applyBorder="1" applyAlignment="1">
      <alignment horizontal="centerContinuous" vertical="center"/>
    </xf>
    <xf numFmtId="177" fontId="24" fillId="0" borderId="76" xfId="76" applyNumberFormat="1" applyFont="1" applyBorder="1" applyAlignment="1">
      <alignment horizontal="centerContinuous" vertical="center"/>
    </xf>
    <xf numFmtId="0" fontId="24" fillId="0" borderId="81" xfId="0" applyFont="1" applyBorder="1" applyAlignment="1">
      <alignment horizontal="centerContinuous" vertical="center"/>
    </xf>
    <xf numFmtId="168" fontId="24" fillId="8" borderId="80" xfId="79" applyNumberFormat="1" applyFont="1" applyFill="1" applyBorder="1" applyAlignment="1">
      <alignment horizontal="centerContinuous" vertical="center"/>
    </xf>
    <xf numFmtId="0" fontId="5" fillId="8" borderId="0" xfId="0" applyFont="1" applyFill="1">
      <alignment vertical="center"/>
    </xf>
    <xf numFmtId="168" fontId="21" fillId="3" borderId="147" xfId="79" applyNumberFormat="1" applyFont="1" applyFill="1" applyBorder="1" applyAlignment="1">
      <alignment horizontal="centerContinuous" vertical="center"/>
    </xf>
    <xf numFmtId="0" fontId="21" fillId="3" borderId="147" xfId="0" applyFont="1" applyFill="1" applyBorder="1" applyAlignment="1">
      <alignment horizontal="centerContinuous" vertical="center"/>
    </xf>
    <xf numFmtId="0" fontId="21" fillId="3" borderId="148" xfId="0" applyFont="1" applyFill="1" applyBorder="1" applyAlignment="1">
      <alignment horizontal="centerContinuous" vertical="center"/>
    </xf>
    <xf numFmtId="177" fontId="21" fillId="3" borderId="149" xfId="76" applyNumberFormat="1" applyFont="1" applyFill="1" applyBorder="1" applyAlignment="1">
      <alignment horizontal="centerContinuous" vertical="center"/>
    </xf>
    <xf numFmtId="0" fontId="21" fillId="3" borderId="150" xfId="0" applyFont="1" applyFill="1" applyBorder="1" applyAlignment="1">
      <alignment horizontal="centerContinuous" vertical="center"/>
    </xf>
    <xf numFmtId="168" fontId="21" fillId="3" borderId="151" xfId="79" applyNumberFormat="1" applyFont="1" applyFill="1" applyBorder="1" applyAlignment="1">
      <alignment horizontal="centerContinuous" vertical="center"/>
    </xf>
    <xf numFmtId="0" fontId="86" fillId="8" borderId="0" xfId="0" applyFont="1" applyFill="1" applyAlignment="1">
      <alignment vertical="center"/>
    </xf>
    <xf numFmtId="0" fontId="0" fillId="8" borderId="0" xfId="0" applyFill="1" applyAlignment="1" applyProtection="1">
      <alignment horizontal="center" vertical="center"/>
    </xf>
    <xf numFmtId="0" fontId="0" fillId="0" borderId="0" xfId="0" quotePrefix="1" applyAlignment="1">
      <alignment horizontal="center" vertical="center"/>
    </xf>
    <xf numFmtId="0" fontId="0" fillId="8" borderId="0" xfId="0" quotePrefix="1" applyFont="1" applyFill="1" applyAlignment="1">
      <alignment horizontal="left" vertical="center"/>
    </xf>
    <xf numFmtId="168" fontId="0" fillId="54" borderId="0" xfId="0" applyNumberFormat="1" applyFill="1" applyAlignment="1">
      <alignment vertical="center"/>
    </xf>
    <xf numFmtId="0" fontId="3" fillId="8" borderId="0" xfId="3" applyFill="1" applyAlignment="1">
      <alignment vertical="center"/>
    </xf>
    <xf numFmtId="0" fontId="53" fillId="0" borderId="0" xfId="92" applyBorder="1">
      <alignment vertical="center"/>
    </xf>
    <xf numFmtId="0" fontId="107" fillId="8" borderId="0" xfId="0" applyFont="1" applyFill="1" applyBorder="1">
      <alignment vertical="center"/>
    </xf>
    <xf numFmtId="0" fontId="108" fillId="8" borderId="0" xfId="0" applyFont="1" applyFill="1" applyBorder="1">
      <alignment vertical="center"/>
    </xf>
    <xf numFmtId="0" fontId="109" fillId="8" borderId="0" xfId="0" applyFont="1" applyFill="1" applyBorder="1">
      <alignment vertical="center"/>
    </xf>
    <xf numFmtId="0" fontId="110" fillId="8" borderId="0" xfId="0" applyFont="1" applyFill="1" applyBorder="1">
      <alignment vertical="center"/>
    </xf>
    <xf numFmtId="223" fontId="84" fillId="0" borderId="0" xfId="0" applyNumberFormat="1" applyFont="1" applyAlignment="1">
      <alignment horizontal="right"/>
    </xf>
    <xf numFmtId="177" fontId="70" fillId="46" borderId="12" xfId="88" applyNumberFormat="1" applyProtection="1">
      <alignment vertical="center"/>
      <protection locked="0"/>
    </xf>
    <xf numFmtId="168" fontId="70" fillId="46" borderId="45" xfId="27" applyNumberFormat="1" applyBorder="1" applyProtection="1">
      <alignment vertical="center"/>
      <protection locked="0"/>
    </xf>
    <xf numFmtId="175" fontId="70" fillId="46" borderId="12" xfId="88" applyNumberFormat="1" applyProtection="1">
      <alignment vertical="center"/>
      <protection locked="0"/>
    </xf>
    <xf numFmtId="0" fontId="23" fillId="47" borderId="0" xfId="0" applyFont="1" applyFill="1" applyAlignment="1">
      <alignment horizontal="right" vertical="center"/>
    </xf>
    <xf numFmtId="0" fontId="72" fillId="47" borderId="0" xfId="0" quotePrefix="1" applyFont="1" applyFill="1">
      <alignment vertical="center"/>
    </xf>
    <xf numFmtId="200" fontId="0" fillId="54" borderId="0" xfId="82" applyFont="1" applyFill="1" applyAlignment="1">
      <alignment vertical="center"/>
    </xf>
    <xf numFmtId="175" fontId="70" fillId="46" borderId="12" xfId="27" applyNumberFormat="1" applyProtection="1">
      <alignment vertical="center"/>
      <protection locked="0"/>
    </xf>
    <xf numFmtId="178" fontId="70" fillId="46" borderId="12" xfId="79" applyNumberFormat="1" applyFont="1" applyFill="1" applyBorder="1" applyAlignment="1" applyProtection="1">
      <alignment horizontal="center" vertical="center"/>
      <protection locked="0"/>
    </xf>
    <xf numFmtId="206" fontId="70" fillId="46" borderId="12" xfId="27" applyNumberFormat="1" applyAlignment="1" applyProtection="1">
      <alignment horizontal="center" vertical="center"/>
      <protection locked="0"/>
    </xf>
    <xf numFmtId="168" fontId="70" fillId="46" borderId="46" xfId="88" applyNumberFormat="1" applyBorder="1" applyProtection="1">
      <alignment vertical="center"/>
    </xf>
    <xf numFmtId="178" fontId="70" fillId="46" borderId="139" xfId="79" applyNumberFormat="1" applyFont="1" applyFill="1" applyBorder="1" applyAlignment="1" applyProtection="1">
      <alignment horizontal="center" vertical="center"/>
      <protection locked="0"/>
    </xf>
    <xf numFmtId="0" fontId="0" fillId="0" borderId="0" xfId="0" applyAlignment="1">
      <alignment horizontal="center" vertical="center"/>
    </xf>
    <xf numFmtId="0" fontId="45" fillId="7" borderId="88" xfId="0" applyNumberFormat="1" applyFont="1" applyFill="1" applyBorder="1" applyAlignment="1">
      <alignment horizontal="center" vertical="center"/>
    </xf>
    <xf numFmtId="0" fontId="45" fillId="7" borderId="0" xfId="0" applyNumberFormat="1" applyFont="1" applyFill="1" applyBorder="1" applyAlignment="1">
      <alignment horizontal="center" vertical="center"/>
    </xf>
    <xf numFmtId="0" fontId="45" fillId="7" borderId="89" xfId="0" applyNumberFormat="1" applyFont="1" applyFill="1" applyBorder="1" applyAlignment="1">
      <alignment horizontal="center" vertical="center"/>
    </xf>
    <xf numFmtId="0" fontId="5" fillId="7" borderId="146" xfId="0" applyNumberFormat="1" applyFont="1" applyFill="1" applyBorder="1" applyAlignment="1"/>
    <xf numFmtId="0" fontId="5" fillId="7" borderId="129" xfId="0" applyNumberFormat="1" applyFont="1" applyFill="1" applyBorder="1" applyAlignment="1">
      <alignment vertical="center"/>
    </xf>
    <xf numFmtId="0" fontId="111" fillId="8" borderId="0" xfId="0" applyNumberFormat="1" applyFont="1" applyFill="1" applyBorder="1" applyAlignment="1">
      <alignment vertical="center"/>
    </xf>
    <xf numFmtId="0" fontId="75" fillId="7" borderId="85" xfId="0" applyNumberFormat="1" applyFont="1" applyFill="1" applyBorder="1" applyAlignment="1"/>
    <xf numFmtId="0" fontId="75" fillId="7" borderId="86" xfId="0" applyNumberFormat="1" applyFont="1" applyFill="1" applyBorder="1" applyAlignment="1"/>
    <xf numFmtId="0" fontId="75" fillId="7" borderId="87" xfId="0" applyNumberFormat="1" applyFont="1" applyFill="1" applyBorder="1" applyAlignment="1"/>
    <xf numFmtId="0" fontId="75" fillId="7" borderId="88" xfId="0" applyNumberFormat="1" applyFont="1" applyFill="1" applyBorder="1" applyAlignment="1">
      <alignment vertical="center"/>
    </xf>
    <xf numFmtId="0" fontId="87" fillId="8" borderId="0" xfId="0" applyFont="1" applyFill="1" applyBorder="1" applyAlignment="1">
      <alignment vertical="center"/>
    </xf>
    <xf numFmtId="0" fontId="75" fillId="8" borderId="0" xfId="0" applyFont="1" applyFill="1" applyBorder="1" applyAlignment="1">
      <alignment horizontal="right" vertical="center"/>
    </xf>
    <xf numFmtId="0" fontId="60" fillId="8" borderId="0" xfId="0" applyFont="1" applyFill="1" applyBorder="1" applyAlignment="1">
      <alignment vertical="center"/>
    </xf>
    <xf numFmtId="0" fontId="75" fillId="7" borderId="0" xfId="0" quotePrefix="1" applyNumberFormat="1" applyFont="1" applyFill="1" applyBorder="1" applyAlignment="1">
      <alignment horizontal="center" vertical="center"/>
    </xf>
    <xf numFmtId="0" fontId="75" fillId="7" borderId="89" xfId="0" applyNumberFormat="1" applyFont="1" applyFill="1" applyBorder="1" applyAlignment="1">
      <alignment vertical="center"/>
    </xf>
    <xf numFmtId="217" fontId="60" fillId="8" borderId="0" xfId="0" applyNumberFormat="1" applyFont="1" applyFill="1" applyBorder="1" applyAlignment="1">
      <alignment horizontal="left" vertical="center"/>
    </xf>
    <xf numFmtId="0" fontId="87" fillId="8" borderId="0" xfId="0" applyFont="1" applyFill="1" applyBorder="1" applyAlignment="1">
      <alignment horizontal="right" vertical="center"/>
    </xf>
    <xf numFmtId="0" fontId="75" fillId="7" borderId="0" xfId="0" applyNumberFormat="1" applyFont="1" applyFill="1" applyBorder="1" applyAlignment="1">
      <alignment vertical="center"/>
    </xf>
    <xf numFmtId="0" fontId="87" fillId="8" borderId="0" xfId="0" applyFont="1" applyFill="1" applyAlignment="1">
      <alignment vertical="center"/>
    </xf>
    <xf numFmtId="0" fontId="112" fillId="8" borderId="0" xfId="75" quotePrefix="1" applyFont="1" applyFill="1" applyBorder="1" applyAlignment="1">
      <alignment vertical="center"/>
    </xf>
    <xf numFmtId="0" fontId="75" fillId="8" borderId="0" xfId="0" applyFont="1" applyFill="1" applyBorder="1" applyAlignment="1">
      <alignment vertical="center"/>
    </xf>
    <xf numFmtId="0" fontId="113" fillId="8" borderId="0" xfId="0" applyNumberFormat="1" applyFont="1" applyFill="1" applyBorder="1" applyAlignment="1">
      <alignment vertical="center"/>
    </xf>
    <xf numFmtId="0" fontId="114" fillId="7" borderId="88" xfId="0" applyNumberFormat="1" applyFont="1" applyFill="1" applyBorder="1" applyAlignment="1">
      <alignment vertical="center"/>
    </xf>
    <xf numFmtId="0" fontId="75" fillId="8" borderId="0" xfId="0" applyNumberFormat="1" applyFont="1" applyFill="1" applyBorder="1" applyAlignment="1">
      <alignment vertical="center"/>
    </xf>
    <xf numFmtId="0" fontId="75" fillId="7" borderId="90" xfId="0" applyNumberFormat="1" applyFont="1" applyFill="1" applyBorder="1" applyAlignment="1">
      <alignment vertical="center"/>
    </xf>
    <xf numFmtId="0" fontId="87" fillId="8" borderId="91" xfId="0" applyFont="1" applyFill="1" applyBorder="1" applyAlignment="1">
      <alignment vertical="center"/>
    </xf>
    <xf numFmtId="0" fontId="75" fillId="7" borderId="91" xfId="0" applyNumberFormat="1" applyFont="1" applyFill="1" applyBorder="1" applyAlignment="1">
      <alignment vertical="center"/>
    </xf>
    <xf numFmtId="0" fontId="75" fillId="7" borderId="92" xfId="0" applyNumberFormat="1" applyFont="1" applyFill="1" applyBorder="1" applyAlignment="1">
      <alignment vertical="center"/>
    </xf>
    <xf numFmtId="0" fontId="114" fillId="8" borderId="0" xfId="0" quotePrefix="1" applyNumberFormat="1" applyFont="1" applyFill="1" applyBorder="1" applyAlignment="1"/>
    <xf numFmtId="0" fontId="60" fillId="54" borderId="0" xfId="0" applyFont="1" applyFill="1" applyBorder="1" applyAlignment="1">
      <alignment horizontal="right" vertical="center"/>
    </xf>
    <xf numFmtId="0" fontId="60" fillId="54" borderId="0" xfId="0" applyFont="1" applyFill="1" applyBorder="1" applyAlignment="1">
      <alignment vertical="center"/>
    </xf>
    <xf numFmtId="0" fontId="75" fillId="54" borderId="0" xfId="0" applyNumberFormat="1" applyFont="1" applyFill="1" applyBorder="1" applyAlignment="1">
      <alignment vertical="center"/>
    </xf>
    <xf numFmtId="0" fontId="75" fillId="54" borderId="89" xfId="0" applyNumberFormat="1" applyFont="1" applyFill="1" applyBorder="1" applyAlignment="1">
      <alignment vertical="center"/>
    </xf>
    <xf numFmtId="0" fontId="0" fillId="0" borderId="0" xfId="0" applyAlignment="1">
      <alignment vertical="center" wrapText="1"/>
    </xf>
    <xf numFmtId="0" fontId="114" fillId="54" borderId="1" xfId="1" applyFont="1" applyFill="1" applyAlignment="1">
      <alignment horizontal="left"/>
    </xf>
    <xf numFmtId="0" fontId="62" fillId="54" borderId="1" xfId="1" applyFont="1" applyFill="1" applyAlignment="1">
      <alignment horizontal="left"/>
    </xf>
    <xf numFmtId="224" fontId="70" fillId="46" borderId="12" xfId="88" applyNumberFormat="1" applyProtection="1">
      <alignment vertical="center"/>
      <protection locked="0"/>
    </xf>
    <xf numFmtId="0" fontId="91" fillId="54" borderId="0" xfId="0" applyFont="1" applyFill="1" applyBorder="1" applyAlignment="1">
      <alignment vertical="center"/>
    </xf>
    <xf numFmtId="0" fontId="5" fillId="0" borderId="2" xfId="13" applyAlignment="1">
      <alignment horizontal="center" vertical="center"/>
    </xf>
    <xf numFmtId="0" fontId="80" fillId="8" borderId="0" xfId="0" applyFont="1" applyFill="1" applyBorder="1">
      <alignment vertical="center"/>
    </xf>
    <xf numFmtId="0" fontId="21" fillId="0" borderId="0" xfId="0" applyFont="1" applyBorder="1" applyAlignment="1">
      <alignment horizontal="centerContinuous" vertical="center"/>
    </xf>
    <xf numFmtId="0" fontId="62" fillId="54" borderId="0" xfId="0" applyFont="1" applyFill="1" applyBorder="1" applyAlignment="1">
      <alignment horizontal="centerContinuous" vertical="center"/>
    </xf>
    <xf numFmtId="0" fontId="23" fillId="54" borderId="0" xfId="0" applyFont="1" applyFill="1" applyBorder="1" applyAlignment="1">
      <alignment horizontal="centerContinuous" vertical="center"/>
    </xf>
    <xf numFmtId="0" fontId="62" fillId="56" borderId="0" xfId="0" applyFont="1" applyFill="1" applyProtection="1">
      <alignment vertical="center"/>
      <protection hidden="1"/>
    </xf>
    <xf numFmtId="0" fontId="0" fillId="56" borderId="0" xfId="0" applyFill="1" applyProtection="1">
      <alignment vertical="center"/>
      <protection hidden="1"/>
    </xf>
    <xf numFmtId="0" fontId="0" fillId="56" borderId="0" xfId="0" applyFill="1" applyAlignment="1">
      <alignment vertical="center"/>
    </xf>
    <xf numFmtId="0" fontId="71" fillId="56" borderId="0" xfId="6" applyFont="1" applyFill="1" applyAlignment="1">
      <alignment vertical="center"/>
    </xf>
    <xf numFmtId="0" fontId="0" fillId="0" borderId="0" xfId="0" applyBorder="1" applyAlignment="1">
      <alignment vertical="top" wrapText="1"/>
    </xf>
    <xf numFmtId="0" fontId="115" fillId="0" borderId="154" xfId="0" applyFont="1" applyBorder="1" applyAlignment="1">
      <alignment horizontal="center" vertical="top" wrapText="1"/>
    </xf>
    <xf numFmtId="0" fontId="116" fillId="0" borderId="154" xfId="0" applyFont="1" applyBorder="1" applyAlignment="1">
      <alignment horizontal="center" vertical="top" wrapText="1"/>
    </xf>
    <xf numFmtId="0" fontId="108" fillId="0" borderId="0" xfId="0" applyFont="1">
      <alignment vertical="center"/>
    </xf>
    <xf numFmtId="0" fontId="118" fillId="58" borderId="154" xfId="0" applyFont="1" applyFill="1" applyBorder="1" applyAlignment="1">
      <alignment horizontal="center" vertical="top" wrapText="1"/>
    </xf>
    <xf numFmtId="0" fontId="117" fillId="0" borderId="154" xfId="0" applyFont="1" applyBorder="1" applyAlignment="1">
      <alignment horizontal="center" vertical="top" wrapText="1"/>
    </xf>
    <xf numFmtId="0" fontId="108" fillId="0" borderId="0" xfId="0" applyFont="1" applyBorder="1" applyAlignment="1">
      <alignment vertical="top" wrapText="1"/>
    </xf>
    <xf numFmtId="0" fontId="118" fillId="0" borderId="154" xfId="0" applyFont="1" applyBorder="1" applyAlignment="1">
      <alignment horizontal="center" vertical="top" wrapText="1"/>
    </xf>
    <xf numFmtId="0" fontId="119" fillId="58" borderId="154" xfId="0" applyFont="1" applyFill="1" applyBorder="1" applyAlignment="1">
      <alignment horizontal="center" vertical="top" wrapText="1"/>
    </xf>
    <xf numFmtId="0" fontId="108" fillId="58" borderId="0" xfId="0" applyFont="1" applyFill="1" applyBorder="1" applyAlignment="1">
      <alignment vertical="center" wrapText="1"/>
    </xf>
    <xf numFmtId="0" fontId="117" fillId="0" borderId="154" xfId="0" applyFont="1" applyBorder="1" applyAlignment="1">
      <alignment horizontal="center" vertical="center" wrapText="1"/>
    </xf>
    <xf numFmtId="0" fontId="108" fillId="0" borderId="0" xfId="0" applyFont="1" applyBorder="1" applyAlignment="1">
      <alignment vertical="center" wrapText="1"/>
    </xf>
    <xf numFmtId="0" fontId="118" fillId="0" borderId="154" xfId="0" applyFont="1" applyBorder="1" applyAlignment="1">
      <alignment horizontal="center" vertical="center" wrapText="1"/>
    </xf>
    <xf numFmtId="0" fontId="76" fillId="59" borderId="152" xfId="95" applyFont="1" applyFill="1" applyBorder="1" applyAlignment="1">
      <alignment horizontal="center" vertical="center" wrapText="1"/>
    </xf>
    <xf numFmtId="0" fontId="76" fillId="61" borderId="152" xfId="95" applyFont="1" applyFill="1" applyBorder="1">
      <alignment horizontal="centerContinuous" vertical="center" wrapText="1"/>
    </xf>
    <xf numFmtId="0" fontId="120" fillId="51" borderId="153" xfId="95" applyFont="1" applyBorder="1">
      <alignment horizontal="centerContinuous" vertical="center" wrapText="1"/>
    </xf>
    <xf numFmtId="0" fontId="0" fillId="60" borderId="0" xfId="0" applyFill="1" applyBorder="1">
      <alignment vertical="center"/>
    </xf>
    <xf numFmtId="0" fontId="0" fillId="60" borderId="0" xfId="0" applyFill="1" applyBorder="1" applyAlignment="1">
      <alignment vertical="top" wrapText="1"/>
    </xf>
    <xf numFmtId="0" fontId="116" fillId="60" borderId="0" xfId="0" applyFont="1" applyFill="1" applyBorder="1" applyAlignment="1">
      <alignment horizontal="center" vertical="top" wrapText="1"/>
    </xf>
    <xf numFmtId="0" fontId="115" fillId="60" borderId="0" xfId="0" applyFont="1" applyFill="1" applyBorder="1" applyAlignment="1">
      <alignment horizontal="center" vertical="top" wrapText="1"/>
    </xf>
    <xf numFmtId="0" fontId="0" fillId="60" borderId="0" xfId="0" applyFill="1" applyBorder="1" applyAlignment="1"/>
    <xf numFmtId="0" fontId="0" fillId="60" borderId="0" xfId="0" applyFill="1" applyBorder="1" applyAlignment="1">
      <alignment horizontal="center"/>
    </xf>
    <xf numFmtId="0" fontId="58" fillId="3" borderId="155" xfId="94" applyFill="1" applyBorder="1" applyAlignment="1">
      <alignment vertical="top" wrapText="1"/>
    </xf>
    <xf numFmtId="0" fontId="76" fillId="61" borderId="156" xfId="95" applyFont="1" applyFill="1" applyBorder="1">
      <alignment horizontal="centerContinuous" vertical="center" wrapText="1"/>
    </xf>
    <xf numFmtId="0" fontId="120" fillId="51" borderId="157" xfId="95" applyFont="1" applyBorder="1">
      <alignment horizontal="centerContinuous" vertical="center" wrapText="1"/>
    </xf>
    <xf numFmtId="0" fontId="76" fillId="59" borderId="156" xfId="95" applyFont="1" applyFill="1" applyBorder="1" applyAlignment="1">
      <alignment horizontal="center" vertical="center" wrapText="1"/>
    </xf>
    <xf numFmtId="0" fontId="120" fillId="51" borderId="158" xfId="95" applyFont="1" applyBorder="1">
      <alignment horizontal="centerContinuous" vertical="center" wrapText="1"/>
    </xf>
    <xf numFmtId="0" fontId="108" fillId="0" borderId="159" xfId="0" applyFont="1" applyBorder="1" applyAlignment="1">
      <alignment vertical="center" wrapText="1"/>
    </xf>
    <xf numFmtId="0" fontId="108" fillId="0" borderId="160" xfId="0" applyFont="1" applyBorder="1" applyAlignment="1">
      <alignment vertical="center" wrapText="1"/>
    </xf>
    <xf numFmtId="0" fontId="108" fillId="58" borderId="160" xfId="0" applyFont="1" applyFill="1" applyBorder="1" applyAlignment="1">
      <alignment vertical="center" wrapText="1"/>
    </xf>
    <xf numFmtId="0" fontId="108" fillId="0" borderId="159" xfId="0" applyFont="1" applyBorder="1" applyAlignment="1">
      <alignment vertical="top" wrapText="1"/>
    </xf>
    <xf numFmtId="0" fontId="108" fillId="0" borderId="160" xfId="0" applyFont="1" applyBorder="1" applyAlignment="1">
      <alignment vertical="top" wrapText="1"/>
    </xf>
    <xf numFmtId="0" fontId="58" fillId="3" borderId="159" xfId="94" applyFill="1" applyBorder="1" applyAlignment="1">
      <alignment vertical="top" wrapText="1"/>
    </xf>
    <xf numFmtId="0" fontId="120" fillId="51" borderId="161" xfId="95" applyFont="1" applyBorder="1">
      <alignment horizontal="centerContinuous" vertical="center" wrapText="1"/>
    </xf>
    <xf numFmtId="0" fontId="108" fillId="58" borderId="159" xfId="0" applyFont="1" applyFill="1" applyBorder="1" applyAlignment="1">
      <alignment vertical="center" wrapText="1"/>
    </xf>
    <xf numFmtId="0" fontId="0" fillId="0" borderId="159" xfId="0" applyBorder="1" applyAlignment="1">
      <alignment vertical="top" wrapText="1"/>
    </xf>
    <xf numFmtId="0" fontId="0" fillId="0" borderId="160" xfId="0" applyBorder="1" applyAlignment="1">
      <alignment vertical="top" wrapText="1"/>
    </xf>
    <xf numFmtId="0" fontId="108" fillId="58" borderId="162" xfId="0" applyFont="1" applyFill="1" applyBorder="1" applyAlignment="1">
      <alignment vertical="center" wrapText="1"/>
    </xf>
    <xf numFmtId="0" fontId="119" fillId="58" borderId="163" xfId="0" applyFont="1" applyFill="1" applyBorder="1" applyAlignment="1">
      <alignment horizontal="center" vertical="center" wrapText="1"/>
    </xf>
    <xf numFmtId="0" fontId="108" fillId="58" borderId="164" xfId="0" applyFont="1" applyFill="1" applyBorder="1" applyAlignment="1">
      <alignment vertical="center" wrapText="1"/>
    </xf>
    <xf numFmtId="0" fontId="118" fillId="58" borderId="163" xfId="0" applyFont="1" applyFill="1" applyBorder="1" applyAlignment="1">
      <alignment horizontal="center" vertical="center" wrapText="1"/>
    </xf>
    <xf numFmtId="0" fontId="108" fillId="58" borderId="165" xfId="0" applyFont="1" applyFill="1" applyBorder="1" applyAlignment="1">
      <alignment vertical="center" wrapText="1"/>
    </xf>
    <xf numFmtId="0" fontId="121" fillId="51" borderId="166" xfId="93" applyFont="1" applyBorder="1" applyAlignment="1">
      <alignment vertical="center"/>
    </xf>
    <xf numFmtId="0" fontId="19" fillId="51" borderId="167" xfId="93" applyBorder="1" applyAlignment="1">
      <alignment vertical="center"/>
    </xf>
    <xf numFmtId="0" fontId="19" fillId="51" borderId="168" xfId="93" applyBorder="1" applyAlignment="1">
      <alignment vertical="center"/>
    </xf>
    <xf numFmtId="0" fontId="81" fillId="8" borderId="0" xfId="0" applyFont="1" applyFill="1" applyBorder="1" applyAlignment="1">
      <alignment horizontal="center" vertical="center"/>
    </xf>
    <xf numFmtId="0" fontId="110" fillId="8" borderId="0" xfId="0" applyFont="1" applyFill="1" applyBorder="1" applyAlignment="1">
      <alignment horizontal="center" vertical="center"/>
    </xf>
    <xf numFmtId="0" fontId="122" fillId="47" borderId="1" xfId="1" quotePrefix="1" applyFont="1" applyFill="1" applyAlignment="1">
      <alignment horizontal="left"/>
    </xf>
    <xf numFmtId="9" fontId="0" fillId="8" borderId="0" xfId="0" applyNumberFormat="1" applyFill="1" applyAlignment="1">
      <alignment horizontal="center" vertical="center"/>
    </xf>
    <xf numFmtId="0" fontId="0" fillId="0" borderId="0" xfId="0" applyAlignment="1">
      <alignment horizontal="center" vertical="center"/>
    </xf>
    <xf numFmtId="14" fontId="5" fillId="8" borderId="0" xfId="0" applyNumberFormat="1" applyFont="1" applyFill="1" applyBorder="1" applyAlignment="1">
      <alignment horizontal="left" vertical="center"/>
    </xf>
    <xf numFmtId="0" fontId="0" fillId="0" borderId="0" xfId="0" applyFont="1" applyAlignment="1">
      <alignment horizontal="left" vertical="center"/>
    </xf>
    <xf numFmtId="0" fontId="76" fillId="51" borderId="4" xfId="9" applyFont="1" applyAlignment="1">
      <alignment horizontal="center" vertical="center" wrapText="1"/>
    </xf>
  </cellXfs>
  <cellStyles count="96">
    <cellStyle name="20 % - Akzent1" xfId="51" builtinId="30" hidden="1"/>
    <cellStyle name="20 % - Akzent2" xfId="55" builtinId="34" hidden="1"/>
    <cellStyle name="20 % - Akzent3" xfId="59" builtinId="38" hidden="1"/>
    <cellStyle name="20 % - Akzent4" xfId="63" builtinId="42" hidden="1"/>
    <cellStyle name="20 % - Akzent5" xfId="67" builtinId="46" hidden="1"/>
    <cellStyle name="20 % - Akzent6" xfId="71" builtinId="50" hidden="1"/>
    <cellStyle name="40 % - Akzent1" xfId="52" builtinId="31" hidden="1"/>
    <cellStyle name="40 % - Akzent2" xfId="56" builtinId="35" hidden="1"/>
    <cellStyle name="40 % - Akzent3" xfId="60" builtinId="39" hidden="1"/>
    <cellStyle name="40 % - Akzent4" xfId="64" builtinId="43" hidden="1"/>
    <cellStyle name="40 % - Akzent5" xfId="68" builtinId="47" hidden="1"/>
    <cellStyle name="40 % - Akzent6" xfId="72" builtinId="51" hidden="1"/>
    <cellStyle name="60 % - Akzent1" xfId="53" builtinId="32" hidden="1"/>
    <cellStyle name="60 % - Akzent2" xfId="57" builtinId="36" hidden="1"/>
    <cellStyle name="60 % - Akzent3" xfId="61" builtinId="40" hidden="1"/>
    <cellStyle name="60 % - Akzent4" xfId="65" builtinId="44" hidden="1"/>
    <cellStyle name="60 % - Akzent5" xfId="69" builtinId="48" hidden="1"/>
    <cellStyle name="60 % - Akzent6" xfId="73" builtinId="52" hidden="1"/>
    <cellStyle name="Actuals" xfId="86"/>
    <cellStyle name="Akzent1" xfId="50" builtinId="29" hidden="1"/>
    <cellStyle name="Akzent2" xfId="54" builtinId="33" hidden="1"/>
    <cellStyle name="Akzent3" xfId="58" builtinId="37" hidden="1"/>
    <cellStyle name="Akzent4" xfId="62" builtinId="41" hidden="1"/>
    <cellStyle name="Akzent5" xfId="66" builtinId="45" hidden="1"/>
    <cellStyle name="Akzent6" xfId="70" builtinId="49" hidden="1"/>
    <cellStyle name="Ausgabe" xfId="42" builtinId="21" hidden="1"/>
    <cellStyle name="Berechnung" xfId="43" builtinId="22" hidden="1"/>
    <cellStyle name="Besuchter Hyperlink" xfId="91" builtinId="9" hidden="1"/>
    <cellStyle name="Blatt_1" xfId="93"/>
    <cellStyle name="Cell_Check" xfId="19"/>
    <cellStyle name="Cell_Clue" xfId="84"/>
    <cellStyle name="Cell_OnOff" xfId="74"/>
    <cellStyle name="Check" xfId="87"/>
    <cellStyle name="Comment" xfId="21"/>
    <cellStyle name="DateLong" xfId="82"/>
    <cellStyle name="DateShort" xfId="90"/>
    <cellStyle name="Dezimal [0]" xfId="29" builtinId="6" hidden="1"/>
    <cellStyle name="Dezimal [0]" xfId="80" builtinId="6"/>
    <cellStyle name="Eingabe" xfId="41" builtinId="20" hidden="1"/>
    <cellStyle name="Empty_Cell" xfId="17"/>
    <cellStyle name="Ergebnis" xfId="49" builtinId="25" hidden="1"/>
    <cellStyle name="Erklärender Text" xfId="48" builtinId="53" hidden="1"/>
    <cellStyle name="Ext_Link" xfId="81"/>
    <cellStyle name="Flag" xfId="18"/>
    <cellStyle name="Gut" xfId="38" builtinId="26" hidden="1"/>
    <cellStyle name="Header_1" xfId="1"/>
    <cellStyle name="Header_2" xfId="2"/>
    <cellStyle name="Header_3" xfId="3"/>
    <cellStyle name="Header_4" xfId="7"/>
    <cellStyle name="Hyperlink" xfId="75" hidden="1"/>
    <cellStyle name="Hyperlink" xfId="77" builtinId="8" hidden="1"/>
    <cellStyle name="Hyperlink" xfId="83" builtinId="8" hidden="1"/>
    <cellStyle name="Hyperlink" xfId="92" builtinId="8"/>
    <cellStyle name="Hyperlink_Style" xfId="89"/>
    <cellStyle name="Input" xfId="27"/>
    <cellStyle name="Input_perm" xfId="88"/>
    <cellStyle name="Komma" xfId="28" builtinId="3" hidden="1"/>
    <cellStyle name="Komma" xfId="85" builtinId="3"/>
    <cellStyle name="Line_Closing" xfId="12"/>
    <cellStyle name="Line_Operation" xfId="8"/>
    <cellStyle name="Line_Subtotal" xfId="10"/>
    <cellStyle name="Line_Summary" xfId="5"/>
    <cellStyle name="Line_Total" xfId="11"/>
    <cellStyle name="Name_Input" xfId="16"/>
    <cellStyle name="Neutral" xfId="40" builtinId="28" hidden="1"/>
    <cellStyle name="Notiz" xfId="47" builtinId="10" hidden="1"/>
    <cellStyle name="Num_Percent" xfId="78"/>
    <cellStyle name="Num_Standard" xfId="79"/>
    <cellStyle name="Prozent" xfId="32" builtinId="5" hidden="1"/>
    <cellStyle name="Prozent" xfId="76" builtinId="5"/>
    <cellStyle name="Ratio" xfId="14"/>
    <cellStyle name="Ref_InSheet" xfId="13"/>
    <cellStyle name="Ref_OffSheet" xfId="15"/>
    <cellStyle name="Schlecht" xfId="39" builtinId="27" hidden="1"/>
    <cellStyle name="Sheet_1" xfId="22"/>
    <cellStyle name="Sheet_2" xfId="23"/>
    <cellStyle name="Sheet_3" xfId="24"/>
    <cellStyle name="Standard" xfId="0" builtinId="0" customBuiltin="1"/>
    <cellStyle name="Stat_Checked" xfId="25"/>
    <cellStyle name="Stat_tbchecked" xfId="26"/>
    <cellStyle name="Stat_WIP" xfId="20"/>
    <cellStyle name="Tabellen_Ueb" xfId="95"/>
    <cellStyle name="Table_Heading" xfId="9"/>
    <cellStyle name="Technical_Input" xfId="4"/>
    <cellStyle name="Überschrift" xfId="33" builtinId="15" hidden="1"/>
    <cellStyle name="Überschrift 1" xfId="34" builtinId="16" hidden="1"/>
    <cellStyle name="Überschrift 2" xfId="35" builtinId="17" hidden="1"/>
    <cellStyle name="Überschrift 3" xfId="36" builtinId="18" hidden="1"/>
    <cellStyle name="Überschrift 4" xfId="37" builtinId="19" hidden="1"/>
    <cellStyle name="Ueb2" xfId="94"/>
    <cellStyle name="Unit" xfId="6"/>
    <cellStyle name="Verknüpfte Zelle" xfId="44" builtinId="24" hidden="1"/>
    <cellStyle name="Währung" xfId="30" builtinId="4" hidden="1"/>
    <cellStyle name="Währung [0]" xfId="31" builtinId="7" hidden="1"/>
    <cellStyle name="Warnender Text" xfId="46" builtinId="11" hidden="1"/>
    <cellStyle name="Zelle überprüfen" xfId="45" builtinId="23" hidden="1"/>
  </cellStyles>
  <dxfs count="482">
    <dxf>
      <fill>
        <patternFill>
          <bgColor indexed="44"/>
        </patternFill>
      </fill>
      <border>
        <top/>
        <bottom/>
      </border>
    </dxf>
    <dxf>
      <font>
        <b val="0"/>
        <i val="0"/>
        <condense val="0"/>
        <extend val="0"/>
        <color auto="1"/>
      </font>
      <fill>
        <patternFill>
          <bgColor indexed="43"/>
        </patternFill>
      </fill>
      <border>
        <top/>
        <bottom style="thin">
          <color indexed="34"/>
        </bottom>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lor rgb="FFFF0000"/>
      </font>
      <fill>
        <patternFill>
          <bgColor rgb="FFFF0000"/>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condense val="0"/>
        <extend val="0"/>
        <color indexed="10"/>
      </font>
      <fill>
        <patternFill patternType="solid">
          <fgColor indexed="14"/>
          <bgColor theme="0" tint="-0.14996795556505021"/>
        </patternFill>
      </fill>
      <border>
        <left style="thin">
          <color indexed="10"/>
        </left>
        <right style="thin">
          <color indexed="10"/>
        </right>
        <top style="thin">
          <color indexed="10"/>
        </top>
        <bottom style="thin">
          <color indexed="10"/>
        </bottom>
      </border>
    </dxf>
    <dxf>
      <font>
        <condense val="0"/>
        <extend val="0"/>
        <color indexed="10"/>
      </font>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ndense val="0"/>
        <extend val="0"/>
        <color indexed="42"/>
      </font>
      <fill>
        <patternFill patternType="lightUp">
          <fgColor indexed="22"/>
          <bgColor indexed="42"/>
        </patternFill>
      </fill>
      <border>
        <left style="thin">
          <color indexed="55"/>
        </left>
        <right style="thin">
          <color indexed="55"/>
        </right>
        <top style="thin">
          <color indexed="55"/>
        </top>
        <bottom style="thin">
          <color indexed="55"/>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theme="6" tint="0.59996337778862885"/>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bgColor theme="0" tint="-0.14996795556505021"/>
        </patternFill>
      </fill>
    </dxf>
    <dxf>
      <fill>
        <patternFill>
          <bgColor theme="6" tint="0.59996337778862885"/>
        </patternFill>
      </fill>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ndense val="0"/>
        <extend val="0"/>
        <color indexed="10"/>
      </font>
      <fill>
        <patternFill patternType="solid">
          <fgColor indexed="14"/>
          <bgColor theme="0" tint="-0.14996795556505021"/>
        </patternFill>
      </fill>
      <border>
        <left style="thin">
          <color indexed="10"/>
        </left>
        <right style="thin">
          <color indexed="10"/>
        </right>
        <top style="thin">
          <color indexed="10"/>
        </top>
        <bottom style="thin">
          <color indexed="10"/>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lor theme="0" tint="-0.14996795556505021"/>
      </font>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lor theme="0"/>
        <name val="Cambria"/>
        <scheme val="none"/>
      </font>
      <fill>
        <patternFill patternType="none">
          <bgColor indexed="65"/>
        </patternFill>
      </fill>
    </dxf>
    <dxf>
      <font>
        <color theme="0"/>
        <name val="Cambria"/>
        <scheme val="none"/>
      </font>
      <fill>
        <patternFill patternType="none">
          <bgColor indexed="65"/>
        </patternFill>
      </fill>
    </dxf>
    <dxf>
      <font>
        <color theme="0"/>
        <name val="Cambria"/>
        <scheme val="none"/>
      </font>
      <fill>
        <patternFill patternType="none">
          <bgColor indexed="65"/>
        </patternFill>
      </fill>
    </dxf>
    <dxf>
      <font>
        <color theme="0"/>
        <name val="Cambria"/>
        <scheme val="none"/>
      </font>
      <fill>
        <patternFill patternType="none">
          <bgColor indexed="65"/>
        </patternFill>
      </fill>
    </dxf>
    <dxf>
      <font>
        <color theme="0"/>
        <name val="Cambria"/>
        <scheme val="none"/>
      </font>
      <fill>
        <patternFill patternType="none">
          <bgColor indexed="65"/>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lor theme="0"/>
        <name val="Cambria"/>
        <scheme val="none"/>
      </font>
      <fill>
        <patternFill patternType="none">
          <bgColor indexed="65"/>
        </patternFill>
      </fill>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ndense val="0"/>
        <extend val="0"/>
        <color indexed="42"/>
      </font>
      <fill>
        <patternFill patternType="lightUp">
          <fgColor indexed="22"/>
          <bgColor indexed="42"/>
        </patternFill>
      </fill>
      <border>
        <left style="thin">
          <color indexed="55"/>
        </left>
        <right style="thin">
          <color indexed="55"/>
        </right>
        <top style="thin">
          <color indexed="55"/>
        </top>
        <bottom style="thin">
          <color indexed="55"/>
        </bottom>
      </border>
    </dxf>
    <dxf>
      <font>
        <condense val="0"/>
        <extend val="0"/>
        <color indexed="42"/>
      </font>
      <fill>
        <patternFill patternType="lightUp">
          <fgColor indexed="22"/>
          <bgColor indexed="42"/>
        </patternFill>
      </fill>
      <border>
        <left style="thin">
          <color indexed="55"/>
        </left>
        <right style="thin">
          <color indexed="55"/>
        </right>
        <top style="thin">
          <color indexed="55"/>
        </top>
        <bottom style="thin">
          <color indexed="55"/>
        </bottom>
      </border>
    </dxf>
    <dxf>
      <font>
        <b/>
        <i val="0"/>
        <condense val="0"/>
        <extend val="0"/>
        <color indexed="10"/>
      </font>
      <fill>
        <patternFill patternType="solid">
          <fgColor indexed="14"/>
          <bgColor theme="0" tint="-0.14996795556505021"/>
        </patternFill>
      </fill>
      <border>
        <left style="thin">
          <color indexed="10"/>
        </left>
        <right style="thin">
          <color indexed="10"/>
        </right>
        <top style="thin">
          <color indexed="10"/>
        </top>
        <bottom style="thin">
          <color indexed="10"/>
        </bottom>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condense val="0"/>
        <extend val="0"/>
        <color indexed="22"/>
      </font>
      <fill>
        <patternFill patternType="darkDown">
          <fgColor indexed="22"/>
        </patternFill>
      </fill>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lor rgb="FF00B050"/>
      </font>
    </dxf>
    <dxf>
      <font>
        <condense val="0"/>
        <extend val="0"/>
        <color indexed="22"/>
      </font>
      <fill>
        <patternFill patternType="darkDown">
          <fgColor indexed="22"/>
        </patternFill>
      </fill>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00B050"/>
      </font>
      <fill>
        <patternFill patternType="solid">
          <fgColor indexed="14"/>
          <bgColor theme="0" tint="-0.14996795556505021"/>
        </patternFill>
      </fill>
      <border>
        <left style="thin">
          <color rgb="FF00B050"/>
        </left>
        <right style="thin">
          <color rgb="FF00B050"/>
        </right>
        <top style="thin">
          <color rgb="FF00B050"/>
        </top>
        <bottom style="thin">
          <color rgb="FF00B050"/>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ill>
        <patternFill>
          <bgColor indexed="44"/>
        </patternFill>
      </fill>
      <border>
        <top/>
        <bottom/>
      </border>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color rgb="FF00B050"/>
      </font>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lor rgb="FF00B050"/>
      </font>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lor theme="0" tint="-0.34998626667073579"/>
      </font>
      <fill>
        <patternFill patternType="lightDown">
          <fgColor theme="0" tint="-0.34998626667073579"/>
        </patternFill>
      </fill>
    </dxf>
    <dxf>
      <font>
        <color rgb="FF00B050"/>
      </font>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ill>
        <patternFill>
          <bgColor indexed="44"/>
        </patternFill>
      </fill>
      <border>
        <top/>
        <bottom/>
      </border>
    </dxf>
    <dxf>
      <fill>
        <patternFill>
          <bgColor indexed="44"/>
        </patternFill>
      </fill>
      <border>
        <top/>
        <bottom/>
      </border>
    </dxf>
    <dxf>
      <fill>
        <patternFill patternType="lightUp">
          <fgColor theme="4" tint="-0.24994659260841701"/>
          <bgColor indexed="44"/>
        </patternFill>
      </fill>
      <border>
        <left style="thin">
          <color indexed="55"/>
        </left>
        <right style="thin">
          <color indexed="55"/>
        </right>
        <top style="thin">
          <color indexed="55"/>
        </top>
        <bottom style="thin">
          <color indexed="55"/>
        </bottom>
      </border>
    </dxf>
    <dxf>
      <fill>
        <patternFill>
          <bgColor indexed="44"/>
        </patternFill>
      </fill>
      <border>
        <top/>
        <bottom/>
      </border>
    </dxf>
    <dxf>
      <fill>
        <patternFill patternType="lightUp">
          <fgColor indexed="55"/>
          <bgColor indexed="13"/>
        </patternFill>
      </fill>
      <border>
        <left style="thin">
          <color indexed="55"/>
        </left>
        <right style="thin">
          <color indexed="55"/>
        </right>
        <top style="thin">
          <color indexed="55"/>
        </top>
        <bottom style="thin">
          <color indexed="55"/>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condense val="0"/>
        <extend val="0"/>
        <color indexed="22"/>
      </font>
      <fill>
        <patternFill patternType="darkDown">
          <fgColor indexed="22"/>
        </patternFill>
      </fill>
    </dxf>
    <dxf>
      <font>
        <b/>
        <i val="0"/>
        <strike val="0"/>
        <condense val="0"/>
        <extend val="0"/>
        <outline val="0"/>
        <shadow val="0"/>
        <u val="none"/>
        <vertAlign val="baseline"/>
        <sz val="10"/>
        <color rgb="FF0070C0"/>
        <name val="Arial"/>
        <scheme val="none"/>
      </font>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fill>
        <patternFill patternType="lightDown">
          <fgColor rgb="FFFF0000"/>
          <bgColor indexed="65"/>
        </patternFill>
      </fill>
      <border>
        <left style="thin">
          <color indexed="23"/>
        </left>
        <right style="thin">
          <color indexed="23"/>
        </right>
        <top style="thin">
          <color indexed="23"/>
        </top>
        <bottom style="thin">
          <color indexed="23"/>
        </bottom>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b/>
        <i val="0"/>
        <color rgb="FFDC1414"/>
      </font>
      <fill>
        <patternFill>
          <bgColor rgb="FFFEDAD6"/>
        </patternFill>
      </fill>
      <border>
        <left style="thin">
          <color rgb="FFDC1414"/>
        </left>
        <right style="thin">
          <color rgb="FFDC1414"/>
        </right>
        <top style="thin">
          <color rgb="FFDC1414"/>
        </top>
        <bottom style="thin">
          <color rgb="FFDC1414"/>
        </bottom>
        <vertical/>
        <horizontal/>
      </border>
    </dxf>
    <dxf>
      <font>
        <condense val="0"/>
        <extend val="0"/>
        <color indexed="22"/>
      </font>
    </dxf>
    <dxf>
      <font>
        <b/>
        <i val="0"/>
        <color rgb="FF00B050"/>
      </font>
      <fill>
        <patternFill patternType="solid">
          <bgColor theme="0" tint="-4.9989318521683403E-2"/>
        </patternFill>
      </fill>
    </dxf>
  </dxfs>
  <tableStyles count="0" defaultTableStyle="TableStyleMedium2" defaultPivotStyle="PivotStyleLight16"/>
  <colors>
    <mruColors>
      <color rgb="FF25346A"/>
      <color rgb="FFFFFFCC"/>
      <color rgb="FFEAEAEA"/>
      <color rgb="FF008080"/>
      <color rgb="FFBEE5EC"/>
      <color rgb="FFD5B6F4"/>
      <color rgb="FFDEB5F5"/>
      <color rgb="FFC9B9F1"/>
      <color rgb="FFDDDDDD"/>
      <color rgb="FF007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barChart>
        <c:barDir val="col"/>
        <c:grouping val="clustered"/>
        <c:varyColors val="0"/>
        <c:ser>
          <c:idx val="0"/>
          <c:order val="0"/>
          <c:tx>
            <c:strRef>
              <c:f>'Summary 01'!$AW$410</c:f>
              <c:strCache>
                <c:ptCount val="1"/>
                <c:pt idx="0">
                  <c:v>Revenue</c:v>
                </c:pt>
              </c:strCache>
            </c:strRef>
          </c:tx>
          <c:invertIfNegative val="0"/>
          <c:dLbls>
            <c:spPr>
              <a:noFill/>
              <a:ln>
                <a:noFill/>
              </a:ln>
              <a:effectLst/>
            </c:spPr>
            <c:txPr>
              <a:bodyPr wrap="square" lIns="38100" tIns="19050" rIns="38100" bIns="19050" anchor="ctr">
                <a:spAutoFit/>
              </a:bodyPr>
              <a:lstStyle/>
              <a:p>
                <a:pPr>
                  <a:defRPr>
                    <a:latin typeface="Arial" panose="020B0604020202020204" pitchFamily="34" charset="0"/>
                    <a:cs typeface="Arial" panose="020B0604020202020204" pitchFamily="34" charset="0"/>
                  </a:defRPr>
                </a:pPr>
                <a:endParaRPr lang="de-D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 01'!$AX$409:$BB$409</c:f>
              <c:strCache>
                <c:ptCount val="2"/>
                <c:pt idx="0">
                  <c:v>FY 2018</c:v>
                </c:pt>
                <c:pt idx="1">
                  <c:v>FY 2019</c:v>
                </c:pt>
              </c:strCache>
            </c:strRef>
          </c:cat>
          <c:val>
            <c:numRef>
              <c:f>'Summary 01'!$AX$410:$BB$410</c:f>
              <c:numCache>
                <c:formatCode>_(* #,##0_);_(* \(#,##0\);_(* "-"??_);_(@_)</c:formatCode>
                <c:ptCount val="5"/>
                <c:pt idx="0">
                  <c:v>1454.383434373206</c:v>
                </c:pt>
                <c:pt idx="1">
                  <c:v>2282.6500036213638</c:v>
                </c:pt>
              </c:numCache>
            </c:numRef>
          </c:val>
          <c:extLst xmlns:c16r2="http://schemas.microsoft.com/office/drawing/2015/06/chart">
            <c:ext xmlns:c16="http://schemas.microsoft.com/office/drawing/2014/chart" uri="{C3380CC4-5D6E-409C-BE32-E72D297353CC}">
              <c16:uniqueId val="{00000000-DBD9-422E-8A0D-F5E7422C3328}"/>
            </c:ext>
          </c:extLst>
        </c:ser>
        <c:ser>
          <c:idx val="1"/>
          <c:order val="1"/>
          <c:tx>
            <c:strRef>
              <c:f>'Summary 01'!$AW$411</c:f>
              <c:strCache>
                <c:ptCount val="1"/>
                <c:pt idx="0">
                  <c:v>Gross Profit</c:v>
                </c:pt>
              </c:strCache>
            </c:strRef>
          </c:tx>
          <c:invertIfNegative val="0"/>
          <c:dLbls>
            <c:spPr>
              <a:noFill/>
              <a:ln>
                <a:noFill/>
              </a:ln>
              <a:effectLst/>
            </c:spPr>
            <c:txPr>
              <a:bodyPr wrap="square" lIns="38100" tIns="19050" rIns="38100" bIns="19050" anchor="ctr">
                <a:spAutoFit/>
              </a:bodyPr>
              <a:lstStyle/>
              <a:p>
                <a:pPr>
                  <a:defRPr>
                    <a:latin typeface="Arial" panose="020B0604020202020204" pitchFamily="34" charset="0"/>
                    <a:cs typeface="Arial" panose="020B0604020202020204" pitchFamily="34" charset="0"/>
                  </a:defRPr>
                </a:pPr>
                <a:endParaRPr lang="de-D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 01'!$AX$409:$BB$409</c:f>
              <c:strCache>
                <c:ptCount val="2"/>
                <c:pt idx="0">
                  <c:v>FY 2018</c:v>
                </c:pt>
                <c:pt idx="1">
                  <c:v>FY 2019</c:v>
                </c:pt>
              </c:strCache>
            </c:strRef>
          </c:cat>
          <c:val>
            <c:numRef>
              <c:f>'Summary 01'!$AX$411:$BB$411</c:f>
              <c:numCache>
                <c:formatCode>_(* #,##0_);_(* \(#,##0\);_(* "-"??_);_(@_)</c:formatCode>
                <c:ptCount val="5"/>
                <c:pt idx="0">
                  <c:v>722.70728646524651</c:v>
                </c:pt>
                <c:pt idx="1">
                  <c:v>1238.5901670538851</c:v>
                </c:pt>
              </c:numCache>
            </c:numRef>
          </c:val>
          <c:extLst xmlns:c16r2="http://schemas.microsoft.com/office/drawing/2015/06/chart">
            <c:ext xmlns:c16="http://schemas.microsoft.com/office/drawing/2014/chart" uri="{C3380CC4-5D6E-409C-BE32-E72D297353CC}">
              <c16:uniqueId val="{00000001-DBD9-422E-8A0D-F5E7422C3328}"/>
            </c:ext>
          </c:extLst>
        </c:ser>
        <c:ser>
          <c:idx val="2"/>
          <c:order val="2"/>
          <c:tx>
            <c:strRef>
              <c:f>'Summary 01'!$AW$412</c:f>
              <c:strCache>
                <c:ptCount val="1"/>
                <c:pt idx="0">
                  <c:v>Net Profit after Tax (NPAT)</c:v>
                </c:pt>
              </c:strCache>
            </c:strRef>
          </c:tx>
          <c:invertIfNegative val="0"/>
          <c:dLbls>
            <c:spPr>
              <a:noFill/>
              <a:ln>
                <a:noFill/>
              </a:ln>
              <a:effectLst/>
            </c:spPr>
            <c:txPr>
              <a:bodyPr wrap="square" lIns="38100" tIns="19050" rIns="38100" bIns="19050" anchor="ctr">
                <a:spAutoFit/>
              </a:bodyPr>
              <a:lstStyle/>
              <a:p>
                <a:pPr>
                  <a:defRPr>
                    <a:latin typeface="Arial" panose="020B0604020202020204" pitchFamily="34" charset="0"/>
                    <a:cs typeface="Arial" panose="020B0604020202020204" pitchFamily="34" charset="0"/>
                  </a:defRPr>
                </a:pPr>
                <a:endParaRPr lang="de-D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 01'!$AX$409:$BB$409</c:f>
              <c:strCache>
                <c:ptCount val="2"/>
                <c:pt idx="0">
                  <c:v>FY 2018</c:v>
                </c:pt>
                <c:pt idx="1">
                  <c:v>FY 2019</c:v>
                </c:pt>
              </c:strCache>
            </c:strRef>
          </c:cat>
          <c:val>
            <c:numRef>
              <c:f>'Summary 01'!$AX$412:$BB$412</c:f>
              <c:numCache>
                <c:formatCode>_(* #,##0_);_(* \(#,##0\);_(* "-"??_);_(@_)</c:formatCode>
                <c:ptCount val="5"/>
                <c:pt idx="0">
                  <c:v>207.34887090912088</c:v>
                </c:pt>
                <c:pt idx="1">
                  <c:v>252.80730486505894</c:v>
                </c:pt>
              </c:numCache>
            </c:numRef>
          </c:val>
          <c:extLst xmlns:c16r2="http://schemas.microsoft.com/office/drawing/2015/06/chart">
            <c:ext xmlns:c16="http://schemas.microsoft.com/office/drawing/2014/chart" uri="{C3380CC4-5D6E-409C-BE32-E72D297353CC}">
              <c16:uniqueId val="{00000002-DBD9-422E-8A0D-F5E7422C3328}"/>
            </c:ext>
          </c:extLst>
        </c:ser>
        <c:dLbls>
          <c:showLegendKey val="0"/>
          <c:showVal val="0"/>
          <c:showCatName val="0"/>
          <c:showSerName val="0"/>
          <c:showPercent val="0"/>
          <c:showBubbleSize val="0"/>
        </c:dLbls>
        <c:gapWidth val="150"/>
        <c:axId val="272386688"/>
        <c:axId val="272392576"/>
      </c:barChart>
      <c:catAx>
        <c:axId val="272386688"/>
        <c:scaling>
          <c:orientation val="minMax"/>
        </c:scaling>
        <c:delete val="0"/>
        <c:axPos val="b"/>
        <c:numFmt formatCode="General"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de-DE"/>
          </a:p>
        </c:txPr>
        <c:crossAx val="272392576"/>
        <c:crosses val="autoZero"/>
        <c:auto val="1"/>
        <c:lblAlgn val="ctr"/>
        <c:lblOffset val="100"/>
        <c:noMultiLvlLbl val="0"/>
      </c:catAx>
      <c:valAx>
        <c:axId val="272392576"/>
        <c:scaling>
          <c:orientation val="minMax"/>
        </c:scaling>
        <c:delete val="0"/>
        <c:axPos val="l"/>
        <c:majorGridlines>
          <c:spPr>
            <a:ln>
              <a:solidFill>
                <a:schemeClr val="bg1">
                  <a:lumMod val="50000"/>
                </a:schemeClr>
              </a:solidFill>
              <a:prstDash val="sysDash"/>
            </a:ln>
          </c:spPr>
        </c:majorGridlines>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272386688"/>
        <c:crosses val="autoZero"/>
        <c:crossBetween val="between"/>
      </c:valAx>
    </c:plotArea>
    <c:legend>
      <c:legendPos val="b"/>
      <c:overlay val="0"/>
      <c:txPr>
        <a:bodyPr/>
        <a:lstStyle/>
        <a:p>
          <a:pPr>
            <a:defRPr sz="1100">
              <a:latin typeface="Arial" panose="020B0604020202020204" pitchFamily="34" charset="0"/>
              <a:cs typeface="Arial" panose="020B0604020202020204" pitchFamily="34" charset="0"/>
            </a:defRPr>
          </a:pPr>
          <a:endParaRPr lang="de-DE"/>
        </a:p>
      </c:txPr>
    </c:legend>
    <c:plotVisOnly val="0"/>
    <c:dispBlanksAs val="gap"/>
    <c:showDLblsOverMax val="0"/>
  </c:chart>
  <c:spPr>
    <a:ln>
      <a:noFill/>
    </a:ln>
  </c:spPr>
  <c:printSettings>
    <c:headerFooter/>
    <c:pageMargins b="0.78740157499999996" l="0.70000000000000018" r="0.70000000000000018" t="0.78740157499999996"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pieChart>
        <c:varyColors val="1"/>
        <c:ser>
          <c:idx val="0"/>
          <c:order val="0"/>
          <c:dLbls>
            <c:spPr>
              <a:noFill/>
              <a:ln>
                <a:noFill/>
              </a:ln>
              <a:effectLst/>
            </c:spPr>
            <c:txPr>
              <a:bodyPr/>
              <a:lstStyle/>
              <a:p>
                <a:pPr>
                  <a:defRPr sz="900">
                    <a:latin typeface="Arial" panose="020B0604020202020204" pitchFamily="34" charset="0"/>
                    <a:cs typeface="Arial" panose="020B0604020202020204" pitchFamily="34" charset="0"/>
                  </a:defRPr>
                </a:pPr>
                <a:endParaRPr lang="de-DE"/>
              </a:p>
            </c:txPr>
            <c:dLblPos val="outEnd"/>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extLst>
          </c:dLbls>
          <c:cat>
            <c:strRef>
              <c:f>'Summary 01'!$AW$404:$AW$405</c:f>
              <c:strCache>
                <c:ptCount val="2"/>
                <c:pt idx="0">
                  <c:v>Debt</c:v>
                </c:pt>
                <c:pt idx="1">
                  <c:v>Equity</c:v>
                </c:pt>
              </c:strCache>
            </c:strRef>
          </c:cat>
          <c:val>
            <c:numRef>
              <c:f>'Summary 01'!$AX$404:$AX$405</c:f>
              <c:numCache>
                <c:formatCode>_(* #,##0.0%_);_(* \(#,##0.0%\);_(* "-"??_);_(@_)</c:formatCode>
                <c:ptCount val="2"/>
                <c:pt idx="0">
                  <c:v>0.73765200418451848</c:v>
                </c:pt>
                <c:pt idx="1">
                  <c:v>0.26234799581548146</c:v>
                </c:pt>
              </c:numCache>
            </c:numRef>
          </c:val>
          <c:extLst xmlns:c16r2="http://schemas.microsoft.com/office/drawing/2015/06/chart">
            <c:ext xmlns:c16="http://schemas.microsoft.com/office/drawing/2014/chart" uri="{C3380CC4-5D6E-409C-BE32-E72D297353CC}">
              <c16:uniqueId val="{00000000-CC1C-4EEA-91A4-43B6EB310AED}"/>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67142148327349527"/>
          <c:y val="0.26349456317960279"/>
          <c:w val="0.26553221347583361"/>
          <c:h val="0.5035691126844438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0"/>
    <c:dispBlanksAs val="zero"/>
    <c:showDLblsOverMax val="0"/>
  </c:chart>
  <c:spPr>
    <a:ln>
      <a:noFill/>
    </a:ln>
  </c:spPr>
  <c:printSettings>
    <c:headerFooter/>
    <c:pageMargins b="0.78740157499999996" l="0.70000000000000018" r="0.70000000000000018" t="0.78740157499999996"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8622418929661"/>
          <c:y val="2.6815806315016812E-2"/>
          <c:w val="0.81918423595743339"/>
          <c:h val="0.74215884068664184"/>
        </c:manualLayout>
      </c:layout>
      <c:lineChart>
        <c:grouping val="standard"/>
        <c:varyColors val="0"/>
        <c:ser>
          <c:idx val="0"/>
          <c:order val="0"/>
          <c:tx>
            <c:strRef>
              <c:f>'Summary 01'!$AW$431</c:f>
              <c:strCache>
                <c:ptCount val="1"/>
                <c:pt idx="0">
                  <c:v>Cash Balance (end of month)</c:v>
                </c:pt>
              </c:strCache>
            </c:strRef>
          </c:tx>
          <c:marker>
            <c:symbol val="diamond"/>
            <c:size val="5"/>
            <c:spPr>
              <a:solidFill>
                <a:schemeClr val="bg1">
                  <a:lumMod val="75000"/>
                </a:schemeClr>
              </a:solidFill>
            </c:spPr>
          </c:marker>
          <c:cat>
            <c:numRef>
              <c:f>'Summary 01'!$AX$430:$BI$430</c:f>
              <c:numCache>
                <c:formatCode>[$-809]dd\ mmm\ yy;@</c:formatCode>
                <c:ptCount val="12"/>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numCache>
            </c:numRef>
          </c:cat>
          <c:val>
            <c:numRef>
              <c:f>'Summary 01'!$AX$431:$BI$431</c:f>
              <c:numCache>
                <c:formatCode>_(* #,##0_);_(* \(#,##0\);_(* "-"??_);_(@_)</c:formatCode>
                <c:ptCount val="12"/>
                <c:pt idx="0">
                  <c:v>0</c:v>
                </c:pt>
                <c:pt idx="1">
                  <c:v>0</c:v>
                </c:pt>
                <c:pt idx="2">
                  <c:v>0</c:v>
                </c:pt>
                <c:pt idx="3">
                  <c:v>52319.131600000001</c:v>
                </c:pt>
                <c:pt idx="4">
                  <c:v>49065.732600000003</c:v>
                </c:pt>
                <c:pt idx="5">
                  <c:v>56320.367080000004</c:v>
                </c:pt>
                <c:pt idx="6">
                  <c:v>159710.91396999999</c:v>
                </c:pt>
                <c:pt idx="7">
                  <c:v>195048.75482999999</c:v>
                </c:pt>
                <c:pt idx="8">
                  <c:v>183842.89817999999</c:v>
                </c:pt>
                <c:pt idx="9">
                  <c:v>272897.95662999997</c:v>
                </c:pt>
                <c:pt idx="10">
                  <c:v>283432.24349999998</c:v>
                </c:pt>
                <c:pt idx="11">
                  <c:v>228903.30033</c:v>
                </c:pt>
              </c:numCache>
            </c:numRef>
          </c:val>
          <c:smooth val="0"/>
          <c:extLst xmlns:c16r2="http://schemas.microsoft.com/office/drawing/2015/06/chart">
            <c:ext xmlns:c16="http://schemas.microsoft.com/office/drawing/2014/chart" uri="{C3380CC4-5D6E-409C-BE32-E72D297353CC}">
              <c16:uniqueId val="{00000000-C3EB-42BE-8CB9-71310029DD98}"/>
            </c:ext>
          </c:extLst>
        </c:ser>
        <c:ser>
          <c:idx val="1"/>
          <c:order val="1"/>
          <c:tx>
            <c:strRef>
              <c:f>'Summary 01'!$AW$432</c:f>
              <c:strCache>
                <c:ptCount val="1"/>
                <c:pt idx="0">
                  <c:v>Overdraft Facility (end of month)</c:v>
                </c:pt>
              </c:strCache>
            </c:strRef>
          </c:tx>
          <c:marker>
            <c:symbol val="diamond"/>
            <c:size val="5"/>
            <c:spPr>
              <a:solidFill>
                <a:schemeClr val="bg1">
                  <a:lumMod val="75000"/>
                </a:schemeClr>
              </a:solidFill>
            </c:spPr>
          </c:marker>
          <c:val>
            <c:numRef>
              <c:f>'Summary 01'!$AX$432:$BI$432</c:f>
              <c:numCache>
                <c:formatCode>_(* #,##0_);_(* \(#,##0\);_(* "-"??_);_(@_)</c:formatCode>
                <c:ptCount val="12"/>
                <c:pt idx="0">
                  <c:v>-3500</c:v>
                </c:pt>
                <c:pt idx="1">
                  <c:v>-26879.828305416639</c:v>
                </c:pt>
                <c:pt idx="2">
                  <c:v>-7045.6601431958152</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C3EB-42BE-8CB9-71310029DD98}"/>
            </c:ext>
          </c:extLst>
        </c:ser>
        <c:ser>
          <c:idx val="2"/>
          <c:order val="2"/>
          <c:tx>
            <c:strRef>
              <c:f>'Summary 01'!$AW$433</c:f>
              <c:strCache>
                <c:ptCount val="1"/>
                <c:pt idx="0">
                  <c:v>Maximum Overdraft (limit)</c:v>
                </c:pt>
              </c:strCache>
            </c:strRef>
          </c:tx>
          <c:marker>
            <c:symbol val="none"/>
          </c:marker>
          <c:val>
            <c:numRef>
              <c:f>'Summary 01'!$AX$433:$BI$433</c:f>
              <c:numCache>
                <c:formatCode>_(* #,##0_);_(* \(#,##0\);_(* "-"??_);_(@_)</c:formatCode>
                <c:ptCount val="12"/>
                <c:pt idx="0">
                  <c:v>-65000</c:v>
                </c:pt>
                <c:pt idx="1">
                  <c:v>-65000</c:v>
                </c:pt>
                <c:pt idx="2">
                  <c:v>-65000</c:v>
                </c:pt>
                <c:pt idx="3">
                  <c:v>-65000</c:v>
                </c:pt>
                <c:pt idx="4">
                  <c:v>-65000</c:v>
                </c:pt>
                <c:pt idx="5">
                  <c:v>-65000</c:v>
                </c:pt>
                <c:pt idx="6">
                  <c:v>-65000</c:v>
                </c:pt>
                <c:pt idx="7">
                  <c:v>-65000</c:v>
                </c:pt>
                <c:pt idx="8">
                  <c:v>-65000</c:v>
                </c:pt>
                <c:pt idx="9">
                  <c:v>-65000</c:v>
                </c:pt>
                <c:pt idx="10">
                  <c:v>-65000</c:v>
                </c:pt>
                <c:pt idx="11">
                  <c:v>-65000</c:v>
                </c:pt>
              </c:numCache>
            </c:numRef>
          </c:val>
          <c:smooth val="0"/>
          <c:extLst xmlns:c16r2="http://schemas.microsoft.com/office/drawing/2015/06/chart">
            <c:ext xmlns:c16="http://schemas.microsoft.com/office/drawing/2014/chart" uri="{C3380CC4-5D6E-409C-BE32-E72D297353CC}">
              <c16:uniqueId val="{00000002-C3EB-42BE-8CB9-71310029DD98}"/>
            </c:ext>
          </c:extLst>
        </c:ser>
        <c:dLbls>
          <c:showLegendKey val="0"/>
          <c:showVal val="0"/>
          <c:showCatName val="0"/>
          <c:showSerName val="0"/>
          <c:showPercent val="0"/>
          <c:showBubbleSize val="0"/>
        </c:dLbls>
        <c:marker val="1"/>
        <c:smooth val="0"/>
        <c:axId val="275543168"/>
        <c:axId val="275544704"/>
      </c:lineChart>
      <c:dateAx>
        <c:axId val="275543168"/>
        <c:scaling>
          <c:orientation val="minMax"/>
        </c:scaling>
        <c:delete val="0"/>
        <c:axPos val="b"/>
        <c:numFmt formatCode="[$-809]mmm\ yy;@" sourceLinked="0"/>
        <c:majorTickMark val="out"/>
        <c:minorTickMark val="none"/>
        <c:tickLblPos val="low"/>
        <c:txPr>
          <a:bodyPr rot="-2700000" vert="horz"/>
          <a:lstStyle/>
          <a:p>
            <a:pPr>
              <a:defRPr sz="900">
                <a:latin typeface="Arial" panose="020B0604020202020204" pitchFamily="34" charset="0"/>
                <a:cs typeface="Arial" panose="020B0604020202020204" pitchFamily="34" charset="0"/>
              </a:defRPr>
            </a:pPr>
            <a:endParaRPr lang="de-DE"/>
          </a:p>
        </c:txPr>
        <c:crossAx val="275544704"/>
        <c:crosses val="autoZero"/>
        <c:auto val="1"/>
        <c:lblOffset val="100"/>
        <c:baseTimeUnit val="months"/>
      </c:dateAx>
      <c:valAx>
        <c:axId val="275544704"/>
        <c:scaling>
          <c:orientation val="minMax"/>
        </c:scaling>
        <c:delete val="0"/>
        <c:axPos val="l"/>
        <c:majorGridlines>
          <c:spPr>
            <a:ln>
              <a:solidFill>
                <a:schemeClr val="bg1">
                  <a:lumMod val="65000"/>
                </a:schemeClr>
              </a:solidFill>
              <a:prstDash val="sysDot"/>
            </a:ln>
          </c:spPr>
        </c:majorGridlines>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275543168"/>
        <c:crosses val="autoZero"/>
        <c:crossBetween val="between"/>
      </c:valAx>
    </c:plotArea>
    <c:legend>
      <c:legendPos val="b"/>
      <c:layout>
        <c:manualLayout>
          <c:xMode val="edge"/>
          <c:yMode val="edge"/>
          <c:x val="0.19961837383717973"/>
          <c:y val="0.85946084704272874"/>
          <c:w val="0.69867519259876576"/>
          <c:h val="0.10397220845198157"/>
        </c:manualLayout>
      </c:layout>
      <c:overlay val="0"/>
    </c:legend>
    <c:plotVisOnly val="0"/>
    <c:dispBlanksAs val="gap"/>
    <c:showDLblsOverMax val="0"/>
  </c:chart>
  <c:spPr>
    <a:ln>
      <a:noFill/>
    </a:ln>
  </c:spPr>
  <c:printSettings>
    <c:headerFooter/>
    <c:pageMargins b="0.78740157499999996" l="0.70000000000000018" r="0.70000000000000018" t="0.78740157499999996"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pieChart>
        <c:varyColors val="1"/>
        <c:ser>
          <c:idx val="0"/>
          <c:order val="0"/>
          <c:dPt>
            <c:idx val="0"/>
            <c:bubble3D val="0"/>
            <c:spPr>
              <a:solidFill>
                <a:schemeClr val="bg1">
                  <a:lumMod val="85000"/>
                </a:schemeClr>
              </a:solidFill>
            </c:spPr>
            <c:extLst xmlns:c16r2="http://schemas.microsoft.com/office/drawing/2015/06/chart">
              <c:ext xmlns:c16="http://schemas.microsoft.com/office/drawing/2014/chart" uri="{C3380CC4-5D6E-409C-BE32-E72D297353CC}">
                <c16:uniqueId val="{00000001-F9ED-43A7-87E0-36FE33AA1CA7}"/>
              </c:ext>
            </c:extLst>
          </c:dPt>
          <c:dPt>
            <c:idx val="1"/>
            <c:bubble3D val="0"/>
            <c:spPr>
              <a:solidFill>
                <a:schemeClr val="bg2">
                  <a:lumMod val="90000"/>
                </a:schemeClr>
              </a:solidFill>
            </c:spPr>
            <c:extLst xmlns:c16r2="http://schemas.microsoft.com/office/drawing/2015/06/chart">
              <c:ext xmlns:c16="http://schemas.microsoft.com/office/drawing/2014/chart" uri="{C3380CC4-5D6E-409C-BE32-E72D297353CC}">
                <c16:uniqueId val="{00000003-F9ED-43A7-87E0-36FE33AA1CA7}"/>
              </c:ext>
            </c:extLst>
          </c:dPt>
          <c:dPt>
            <c:idx val="3"/>
            <c:bubble3D val="0"/>
            <c:spPr>
              <a:solidFill>
                <a:schemeClr val="accent2">
                  <a:lumMod val="20000"/>
                  <a:lumOff val="80000"/>
                </a:schemeClr>
              </a:solidFill>
            </c:spPr>
            <c:extLst xmlns:c16r2="http://schemas.microsoft.com/office/drawing/2015/06/chart">
              <c:ext xmlns:c16="http://schemas.microsoft.com/office/drawing/2014/chart" uri="{C3380CC4-5D6E-409C-BE32-E72D297353CC}">
                <c16:uniqueId val="{00000005-F9ED-43A7-87E0-36FE33AA1CA7}"/>
              </c:ext>
            </c:extLst>
          </c:dPt>
          <c:dPt>
            <c:idx val="6"/>
            <c:bubble3D val="0"/>
            <c:spPr>
              <a:solidFill>
                <a:schemeClr val="accent6">
                  <a:lumMod val="40000"/>
                  <a:lumOff val="60000"/>
                </a:schemeClr>
              </a:solidFill>
            </c:spPr>
            <c:extLst xmlns:c16r2="http://schemas.microsoft.com/office/drawing/2015/06/chart">
              <c:ext xmlns:c16="http://schemas.microsoft.com/office/drawing/2014/chart" uri="{C3380CC4-5D6E-409C-BE32-E72D297353CC}">
                <c16:uniqueId val="{00000007-F9ED-43A7-87E0-36FE33AA1CA7}"/>
              </c:ext>
            </c:extLst>
          </c:dPt>
          <c:dLbls>
            <c:spPr>
              <a:noFill/>
              <a:ln>
                <a:noFill/>
              </a:ln>
              <a:effectLst/>
            </c:spPr>
            <c:txPr>
              <a:bodyPr/>
              <a:lstStyle/>
              <a:p>
                <a:pPr>
                  <a:defRPr sz="900">
                    <a:latin typeface="Arial" panose="020B0604020202020204" pitchFamily="34" charset="0"/>
                    <a:cs typeface="Arial" panose="020B0604020202020204" pitchFamily="34" charset="0"/>
                  </a:defRPr>
                </a:pPr>
                <a:endParaRPr lang="de-DE"/>
              </a:p>
            </c:txPr>
            <c:dLblPos val="bestFit"/>
            <c:showLegendKey val="0"/>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'Summary 01'!$BC$394:$BC$399</c:f>
              <c:strCache>
                <c:ptCount val="6"/>
                <c:pt idx="0">
                  <c:v>Share Capital</c:v>
                </c:pt>
                <c:pt idx="1">
                  <c:v>Debt: UL Bank</c:v>
                </c:pt>
                <c:pt idx="2">
                  <c:v>Debt: HSBC Bank</c:v>
                </c:pt>
                <c:pt idx="3">
                  <c:v>Debt: UBS</c:v>
                </c:pt>
                <c:pt idx="4">
                  <c:v>Debt: Shareholder Loan</c:v>
                </c:pt>
                <c:pt idx="5">
                  <c:v>Overdraft Facility</c:v>
                </c:pt>
              </c:strCache>
              <c:extLst xmlns:c16r2="http://schemas.microsoft.com/office/drawing/2015/06/chart" xmlns:c15="http://schemas.microsoft.com/office/drawing/2012/chart"/>
            </c:strRef>
          </c:cat>
          <c:val>
            <c:numRef>
              <c:f>[0]!FQ_Torte</c:f>
              <c:numCache>
                <c:formatCode>_(* #,##0_);_(* \(#,##0\);_(* "-"??_);_(@_)</c:formatCode>
                <c:ptCount val="6"/>
                <c:pt idx="0">
                  <c:v>75000</c:v>
                </c:pt>
                <c:pt idx="1">
                  <c:v>80000</c:v>
                </c:pt>
                <c:pt idx="2">
                  <c:v>40000</c:v>
                </c:pt>
                <c:pt idx="3">
                  <c:v>60000</c:v>
                </c:pt>
                <c:pt idx="4">
                  <c:v>7500</c:v>
                </c:pt>
                <c:pt idx="5">
                  <c:v>23379.828305416639</c:v>
                </c:pt>
              </c:numCache>
            </c:numRef>
          </c:val>
          <c:extLst xmlns:c16r2="http://schemas.microsoft.com/office/drawing/2015/06/chart">
            <c:ext xmlns:c16="http://schemas.microsoft.com/office/drawing/2014/chart" uri="{C3380CC4-5D6E-409C-BE32-E72D297353CC}">
              <c16:uniqueId val="{00000008-F9ED-43A7-87E0-36FE33AA1CA7}"/>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4607888401830262"/>
          <c:y val="4.7342519685039393E-2"/>
          <c:w val="0.44139175532127722"/>
          <c:h val="0.90531496062992078"/>
        </c:manualLayout>
      </c:layout>
      <c:overlay val="0"/>
      <c:txPr>
        <a:bodyPr/>
        <a:lstStyle/>
        <a:p>
          <a:pPr>
            <a:defRPr sz="1000">
              <a:latin typeface="Arial" panose="020B0604020202020204" pitchFamily="34" charset="0"/>
              <a:cs typeface="Arial" panose="020B0604020202020204" pitchFamily="34" charset="0"/>
            </a:defRPr>
          </a:pPr>
          <a:endParaRPr lang="de-DE"/>
        </a:p>
      </c:txPr>
    </c:legend>
    <c:plotVisOnly val="0"/>
    <c:dispBlanksAs val="zero"/>
    <c:showDLblsOverMax val="0"/>
  </c:chart>
  <c:spPr>
    <a:ln>
      <a:noFill/>
    </a:ln>
  </c:spPr>
  <c:printSettings>
    <c:headerFooter/>
    <c:pageMargins b="0.78740157499999996" l="0.7000000000000004" r="0.7000000000000004" t="0.78740157499999996"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de-DE" sz="1600">
                <a:solidFill>
                  <a:srgbClr val="002060"/>
                </a:solidFill>
                <a:latin typeface="Arial" panose="020B0604020202020204" pitchFamily="34" charset="0"/>
                <a:cs typeface="Arial" panose="020B0604020202020204" pitchFamily="34" charset="0"/>
              </a:rPr>
              <a:t>Headcount</a:t>
            </a:r>
          </a:p>
          <a:p>
            <a:pPr>
              <a:defRPr sz="1800" b="1" i="0" u="none" strike="noStrike" kern="1200" baseline="0">
                <a:solidFill>
                  <a:schemeClr val="tx1"/>
                </a:solidFill>
                <a:latin typeface="+mn-lt"/>
                <a:ea typeface="+mn-ea"/>
                <a:cs typeface="+mn-cs"/>
              </a:defRPr>
            </a:pPr>
            <a:r>
              <a:rPr lang="de-DE" sz="1600">
                <a:solidFill>
                  <a:srgbClr val="002060"/>
                </a:solidFill>
                <a:latin typeface="Arial" panose="020B0604020202020204" pitchFamily="34" charset="0"/>
                <a:cs typeface="Arial" panose="020B0604020202020204" pitchFamily="34" charset="0"/>
              </a:rPr>
              <a:t>by Division</a:t>
            </a:r>
          </a:p>
        </c:rich>
      </c:tx>
      <c:layout>
        <c:manualLayout>
          <c:xMode val="edge"/>
          <c:yMode val="edge"/>
          <c:x val="7.0640763239714383E-2"/>
          <c:y val="5.1061483838966505E-2"/>
        </c:manualLayout>
      </c:layout>
      <c:overlay val="1"/>
      <c:spPr>
        <a:noFill/>
        <a:ln>
          <a:noFill/>
        </a:ln>
        <a:effectLst/>
      </c:spPr>
    </c:title>
    <c:autoTitleDeleted val="0"/>
    <c:plotArea>
      <c:layout/>
      <c:barChart>
        <c:barDir val="col"/>
        <c:grouping val="stacked"/>
        <c:varyColors val="0"/>
        <c:ser>
          <c:idx val="0"/>
          <c:order val="0"/>
          <c:tx>
            <c:strRef>
              <c:f>'Summary 01'!$AW$417</c:f>
              <c:strCache>
                <c:ptCount val="1"/>
                <c:pt idx="0">
                  <c:v>Direct Labor Staff</c:v>
                </c:pt>
              </c:strCache>
            </c:strRef>
          </c:tx>
          <c:spPr>
            <a:solidFill>
              <a:schemeClr val="accent1"/>
            </a:solidFill>
            <a:ln>
              <a:noFill/>
            </a:ln>
            <a:effectLst/>
          </c:spPr>
          <c:invertIfNegative val="0"/>
          <c:cat>
            <c:strRef>
              <c:f>'Summary 01'!$AX$416:$BB$416</c:f>
              <c:strCache>
                <c:ptCount val="2"/>
                <c:pt idx="0">
                  <c:v>FY 2018</c:v>
                </c:pt>
                <c:pt idx="1">
                  <c:v>FY 2019</c:v>
                </c:pt>
              </c:strCache>
            </c:strRef>
          </c:cat>
          <c:val>
            <c:numRef>
              <c:f>'Summary 01'!$AX$417:$BB$417</c:f>
              <c:numCache>
                <c:formatCode>_(* #,##0_);_(* \(#,##0\);_(* "-"??_);_(@_)</c:formatCode>
                <c:ptCount val="5"/>
                <c:pt idx="0">
                  <c:v>4</c:v>
                </c:pt>
                <c:pt idx="1">
                  <c:v>4</c:v>
                </c:pt>
              </c:numCache>
            </c:numRef>
          </c:val>
          <c:extLst xmlns:c16r2="http://schemas.microsoft.com/office/drawing/2015/06/chart">
            <c:ext xmlns:c16="http://schemas.microsoft.com/office/drawing/2014/chart" uri="{C3380CC4-5D6E-409C-BE32-E72D297353CC}">
              <c16:uniqueId val="{00000000-3B95-448F-B942-B060127037FF}"/>
            </c:ext>
          </c:extLst>
        </c:ser>
        <c:ser>
          <c:idx val="1"/>
          <c:order val="1"/>
          <c:tx>
            <c:strRef>
              <c:f>'Summary 01'!$AW$418</c:f>
              <c:strCache>
                <c:ptCount val="1"/>
                <c:pt idx="0">
                  <c:v>Management &amp; Administration Staff</c:v>
                </c:pt>
              </c:strCache>
            </c:strRef>
          </c:tx>
          <c:spPr>
            <a:solidFill>
              <a:schemeClr val="accent3"/>
            </a:solidFill>
            <a:ln>
              <a:noFill/>
            </a:ln>
            <a:effectLst/>
          </c:spPr>
          <c:invertIfNegative val="0"/>
          <c:cat>
            <c:strRef>
              <c:f>'Summary 01'!$AX$416:$BB$416</c:f>
              <c:strCache>
                <c:ptCount val="2"/>
                <c:pt idx="0">
                  <c:v>FY 2018</c:v>
                </c:pt>
                <c:pt idx="1">
                  <c:v>FY 2019</c:v>
                </c:pt>
              </c:strCache>
            </c:strRef>
          </c:cat>
          <c:val>
            <c:numRef>
              <c:f>'Summary 01'!$AX$418:$BB$418</c:f>
              <c:numCache>
                <c:formatCode>_(* #,##0_);_(* \(#,##0\);_(* "-"??_);_(@_)</c:formatCode>
                <c:ptCount val="5"/>
                <c:pt idx="0">
                  <c:v>1</c:v>
                </c:pt>
                <c:pt idx="1">
                  <c:v>2</c:v>
                </c:pt>
              </c:numCache>
            </c:numRef>
          </c:val>
          <c:extLst xmlns:c16r2="http://schemas.microsoft.com/office/drawing/2015/06/chart">
            <c:ext xmlns:c16="http://schemas.microsoft.com/office/drawing/2014/chart" uri="{C3380CC4-5D6E-409C-BE32-E72D297353CC}">
              <c16:uniqueId val="{00000001-3B95-448F-B942-B060127037FF}"/>
            </c:ext>
          </c:extLst>
        </c:ser>
        <c:ser>
          <c:idx val="2"/>
          <c:order val="2"/>
          <c:tx>
            <c:strRef>
              <c:f>'Summary 01'!$AW$419</c:f>
              <c:strCache>
                <c:ptCount val="1"/>
                <c:pt idx="0">
                  <c:v>Operational Staff</c:v>
                </c:pt>
              </c:strCache>
            </c:strRef>
          </c:tx>
          <c:spPr>
            <a:solidFill>
              <a:schemeClr val="accent5"/>
            </a:solidFill>
            <a:ln>
              <a:noFill/>
            </a:ln>
            <a:effectLst/>
          </c:spPr>
          <c:invertIfNegative val="0"/>
          <c:cat>
            <c:strRef>
              <c:f>'Summary 01'!$AX$416:$BB$416</c:f>
              <c:strCache>
                <c:ptCount val="2"/>
                <c:pt idx="0">
                  <c:v>FY 2018</c:v>
                </c:pt>
                <c:pt idx="1">
                  <c:v>FY 2019</c:v>
                </c:pt>
              </c:strCache>
            </c:strRef>
          </c:cat>
          <c:val>
            <c:numRef>
              <c:f>'Summary 01'!$AX$419:$BB$419</c:f>
              <c:numCache>
                <c:formatCode>_(* #,##0_);_(* \(#,##0\);_(* "-"??_);_(@_)</c:formatCode>
                <c:ptCount val="5"/>
                <c:pt idx="0">
                  <c:v>3</c:v>
                </c:pt>
                <c:pt idx="1">
                  <c:v>4</c:v>
                </c:pt>
              </c:numCache>
            </c:numRef>
          </c:val>
          <c:extLst xmlns:c16r2="http://schemas.microsoft.com/office/drawing/2015/06/chart">
            <c:ext xmlns:c16="http://schemas.microsoft.com/office/drawing/2014/chart" uri="{C3380CC4-5D6E-409C-BE32-E72D297353CC}">
              <c16:uniqueId val="{00000002-3B95-448F-B942-B060127037FF}"/>
            </c:ext>
          </c:extLst>
        </c:ser>
        <c:ser>
          <c:idx val="3"/>
          <c:order val="3"/>
          <c:tx>
            <c:strRef>
              <c:f>'Summary 01'!$AW$420</c:f>
              <c:strCache>
                <c:ptCount val="1"/>
                <c:pt idx="0">
                  <c:v>Sales, Marketing &amp; Distribution Staff</c:v>
                </c:pt>
              </c:strCache>
            </c:strRef>
          </c:tx>
          <c:spPr>
            <a:solidFill>
              <a:schemeClr val="accent1">
                <a:lumMod val="60000"/>
              </a:schemeClr>
            </a:solidFill>
            <a:ln>
              <a:noFill/>
            </a:ln>
            <a:effectLst/>
          </c:spPr>
          <c:invertIfNegative val="0"/>
          <c:cat>
            <c:strRef>
              <c:f>'Summary 01'!$AX$416:$BB$416</c:f>
              <c:strCache>
                <c:ptCount val="2"/>
                <c:pt idx="0">
                  <c:v>FY 2018</c:v>
                </c:pt>
                <c:pt idx="1">
                  <c:v>FY 2019</c:v>
                </c:pt>
              </c:strCache>
            </c:strRef>
          </c:cat>
          <c:val>
            <c:numRef>
              <c:f>'Summary 01'!$AX$420:$BB$420</c:f>
              <c:numCache>
                <c:formatCode>_(* #,##0_);_(* \(#,##0\);_(* "-"??_);_(@_)</c:formatCode>
                <c:ptCount val="5"/>
                <c:pt idx="0">
                  <c:v>2</c:v>
                </c:pt>
                <c:pt idx="1">
                  <c:v>3</c:v>
                </c:pt>
              </c:numCache>
            </c:numRef>
          </c:val>
          <c:extLst xmlns:c16r2="http://schemas.microsoft.com/office/drawing/2015/06/chart">
            <c:ext xmlns:c16="http://schemas.microsoft.com/office/drawing/2014/chart" uri="{C3380CC4-5D6E-409C-BE32-E72D297353CC}">
              <c16:uniqueId val="{00000003-3B95-448F-B942-B060127037FF}"/>
            </c:ext>
          </c:extLst>
        </c:ser>
        <c:ser>
          <c:idx val="4"/>
          <c:order val="4"/>
          <c:tx>
            <c:strRef>
              <c:f>'Summary 01'!$AW$421</c:f>
              <c:strCache>
                <c:ptCount val="1"/>
                <c:pt idx="0">
                  <c:v>Research &amp; Development</c:v>
                </c:pt>
              </c:strCache>
            </c:strRef>
          </c:tx>
          <c:spPr>
            <a:solidFill>
              <a:schemeClr val="accent3">
                <a:lumMod val="60000"/>
              </a:schemeClr>
            </a:solidFill>
            <a:ln>
              <a:noFill/>
            </a:ln>
            <a:effectLst/>
          </c:spPr>
          <c:invertIfNegative val="0"/>
          <c:cat>
            <c:strRef>
              <c:f>'Summary 01'!$AX$416:$BB$416</c:f>
              <c:strCache>
                <c:ptCount val="2"/>
                <c:pt idx="0">
                  <c:v>FY 2018</c:v>
                </c:pt>
                <c:pt idx="1">
                  <c:v>FY 2019</c:v>
                </c:pt>
              </c:strCache>
            </c:strRef>
          </c:cat>
          <c:val>
            <c:numRef>
              <c:f>'Summary 01'!$AX$421:$BB$421</c:f>
              <c:numCache>
                <c:formatCode>_(* #,##0_);_(* \(#,##0\);_(* "-"??_);_(@_)</c:formatCode>
                <c:ptCount val="5"/>
                <c:pt idx="0">
                  <c:v>1</c:v>
                </c:pt>
                <c:pt idx="1">
                  <c:v>1</c:v>
                </c:pt>
              </c:numCache>
            </c:numRef>
          </c:val>
          <c:extLst xmlns:c16r2="http://schemas.microsoft.com/office/drawing/2015/06/chart">
            <c:ext xmlns:c16="http://schemas.microsoft.com/office/drawing/2014/chart" uri="{C3380CC4-5D6E-409C-BE32-E72D297353CC}">
              <c16:uniqueId val="{00000004-3B95-448F-B942-B060127037FF}"/>
            </c:ext>
          </c:extLst>
        </c:ser>
        <c:dLbls>
          <c:showLegendKey val="0"/>
          <c:showVal val="0"/>
          <c:showCatName val="0"/>
          <c:showSerName val="0"/>
          <c:showPercent val="0"/>
          <c:showBubbleSize val="0"/>
        </c:dLbls>
        <c:gapWidth val="95"/>
        <c:overlap val="100"/>
        <c:axId val="292937728"/>
        <c:axId val="292939264"/>
      </c:barChart>
      <c:catAx>
        <c:axId val="292937728"/>
        <c:scaling>
          <c:orientation val="minMax"/>
        </c:scaling>
        <c:delete val="0"/>
        <c:axPos val="b"/>
        <c:numFmt formatCode="General" sourceLinked="0"/>
        <c:majorTickMark val="none"/>
        <c:minorTickMark val="none"/>
        <c:tickLblPos val="high"/>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2939264"/>
        <c:crosses val="autoZero"/>
        <c:auto val="1"/>
        <c:lblAlgn val="ctr"/>
        <c:lblOffset val="100"/>
        <c:noMultiLvlLbl val="0"/>
      </c:catAx>
      <c:valAx>
        <c:axId val="292939264"/>
        <c:scaling>
          <c:orientation val="minMax"/>
        </c:scaling>
        <c:delete val="0"/>
        <c:axPos val="l"/>
        <c:majorGridlines>
          <c:spPr>
            <a:ln w="9525" cap="flat" cmpd="sng" algn="ctr">
              <a:solidFill>
                <a:schemeClr val="bg1">
                  <a:lumMod val="75000"/>
                </a:schemeClr>
              </a:solidFill>
              <a:prstDash val="sysDot"/>
              <a:round/>
            </a:ln>
            <a:effectLst/>
          </c:spPr>
        </c:majorGridlines>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292937728"/>
        <c:crosses val="autoZero"/>
        <c:crossBetween val="between"/>
      </c:valAx>
      <c:dTable>
        <c:showHorzBorder val="1"/>
        <c:showVertBorder val="1"/>
        <c:showOutline val="1"/>
        <c:showKeys val="1"/>
        <c:spPr>
          <a:solidFill>
            <a:schemeClr val="bg1"/>
          </a:solidFill>
          <a:ln w="9525" cap="flat" cmpd="sng" algn="ctr">
            <a:solidFill>
              <a:schemeClr val="tx1">
                <a:tint val="75000"/>
                <a:shade val="95000"/>
                <a:satMod val="10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Table>
      <c:spPr>
        <a:solidFill>
          <a:schemeClr val="bg1"/>
        </a:solidFill>
        <a:ln>
          <a:noFill/>
        </a:ln>
        <a:effectLst/>
      </c:spPr>
    </c:plotArea>
    <c:plotVisOnly val="0"/>
    <c:dispBlanksAs val="gap"/>
    <c:showDLblsOverMax val="0"/>
  </c:chart>
  <c:spPr>
    <a:solidFill>
      <a:schemeClr val="bg1"/>
    </a:solidFill>
    <a:ln w="9525" cap="flat" cmpd="sng" algn="ctr">
      <a:noFill/>
      <a:prstDash val="solid"/>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443613935404755E-2"/>
          <c:y val="3.7117569418083737E-2"/>
          <c:w val="0.75130275792915924"/>
          <c:h val="0.83151014656810818"/>
        </c:manualLayout>
      </c:layout>
      <c:barChart>
        <c:barDir val="col"/>
        <c:grouping val="clustered"/>
        <c:varyColors val="0"/>
        <c:ser>
          <c:idx val="0"/>
          <c:order val="0"/>
          <c:tx>
            <c:strRef>
              <c:f>'Summary 01'!$AW$426</c:f>
              <c:strCache>
                <c:ptCount val="1"/>
                <c:pt idx="0">
                  <c:v>Net Cash Flow</c:v>
                </c:pt>
              </c:strCache>
            </c:strRef>
          </c:tx>
          <c:invertIfNegative val="0"/>
          <c:dLbls>
            <c:spPr>
              <a:noFill/>
              <a:ln>
                <a:noFill/>
              </a:ln>
              <a:effectLst/>
            </c:spPr>
            <c:txPr>
              <a:bodyPr wrap="square" lIns="38100" tIns="19050" rIns="38100" bIns="19050" anchor="ctr">
                <a:spAutoFit/>
              </a:bodyPr>
              <a:lstStyle/>
              <a:p>
                <a:pPr>
                  <a:defRPr baseline="0">
                    <a:latin typeface="Arial" panose="020B0604020202020204" pitchFamily="34" charset="0"/>
                  </a:defRPr>
                </a:pPr>
                <a:endParaRPr lang="de-D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 01'!$AX$425:$BB$425</c:f>
              <c:strCache>
                <c:ptCount val="2"/>
                <c:pt idx="0">
                  <c:v>FY 2018</c:v>
                </c:pt>
                <c:pt idx="1">
                  <c:v>FY 2019</c:v>
                </c:pt>
              </c:strCache>
            </c:strRef>
          </c:cat>
          <c:val>
            <c:numRef>
              <c:f>'Summary 01'!$AX$426:$BB$426</c:f>
              <c:numCache>
                <c:formatCode>_(* #,##0_);_(* \(#,##0\);_(* "-"??_);_(@_)</c:formatCode>
                <c:ptCount val="5"/>
                <c:pt idx="0">
                  <c:v>178842.89799999999</c:v>
                </c:pt>
                <c:pt idx="1">
                  <c:v>58983.525000000001</c:v>
                </c:pt>
              </c:numCache>
            </c:numRef>
          </c:val>
          <c:extLst xmlns:c16r2="http://schemas.microsoft.com/office/drawing/2015/06/chart">
            <c:ext xmlns:c16="http://schemas.microsoft.com/office/drawing/2014/chart" uri="{C3380CC4-5D6E-409C-BE32-E72D297353CC}">
              <c16:uniqueId val="{00000000-F3EB-40EF-B1ED-0E75993A1E0B}"/>
            </c:ext>
          </c:extLst>
        </c:ser>
        <c:ser>
          <c:idx val="1"/>
          <c:order val="1"/>
          <c:tx>
            <c:strRef>
              <c:f>'Summary 01'!$AW$427</c:f>
              <c:strCache>
                <c:ptCount val="1"/>
                <c:pt idx="0">
                  <c:v>Cash Balance (End-of-Year)</c:v>
                </c:pt>
              </c:strCache>
            </c:strRef>
          </c:tx>
          <c:spPr>
            <a:solidFill>
              <a:schemeClr val="accent3"/>
            </a:solidFill>
          </c:spPr>
          <c:invertIfNegative val="0"/>
          <c:cat>
            <c:strRef>
              <c:f>'Summary 01'!$AX$425:$BB$425</c:f>
              <c:strCache>
                <c:ptCount val="2"/>
                <c:pt idx="0">
                  <c:v>FY 2018</c:v>
                </c:pt>
                <c:pt idx="1">
                  <c:v>FY 2019</c:v>
                </c:pt>
              </c:strCache>
            </c:strRef>
          </c:cat>
          <c:val>
            <c:numRef>
              <c:f>'Summary 01'!$AX$427:$BB$427</c:f>
              <c:numCache>
                <c:formatCode>_(* #,##0_);_(* \(#,##0\);_(* "-"??_);_(@_)</c:formatCode>
                <c:ptCount val="5"/>
                <c:pt idx="0">
                  <c:v>183842.89799999999</c:v>
                </c:pt>
                <c:pt idx="1">
                  <c:v>242826.42300000001</c:v>
                </c:pt>
              </c:numCache>
            </c:numRef>
          </c:val>
          <c:extLst xmlns:c16r2="http://schemas.microsoft.com/office/drawing/2015/06/chart">
            <c:ext xmlns:c16="http://schemas.microsoft.com/office/drawing/2014/chart" uri="{C3380CC4-5D6E-409C-BE32-E72D297353CC}">
              <c16:uniqueId val="{00000001-F3EB-40EF-B1ED-0E75993A1E0B}"/>
            </c:ext>
          </c:extLst>
        </c:ser>
        <c:dLbls>
          <c:showLegendKey val="0"/>
          <c:showVal val="0"/>
          <c:showCatName val="0"/>
          <c:showSerName val="0"/>
          <c:showPercent val="0"/>
          <c:showBubbleSize val="0"/>
        </c:dLbls>
        <c:gapWidth val="125"/>
        <c:overlap val="-15"/>
        <c:axId val="292967552"/>
        <c:axId val="292969088"/>
      </c:barChart>
      <c:catAx>
        <c:axId val="292967552"/>
        <c:scaling>
          <c:orientation val="minMax"/>
        </c:scaling>
        <c:delete val="0"/>
        <c:axPos val="b"/>
        <c:numFmt formatCode="General" sourceLinked="0"/>
        <c:majorTickMark val="out"/>
        <c:minorTickMark val="none"/>
        <c:tickLblPos val="low"/>
        <c:txPr>
          <a:bodyPr/>
          <a:lstStyle/>
          <a:p>
            <a:pPr>
              <a:defRPr sz="1000" baseline="0">
                <a:latin typeface="Arial" panose="020B0604020202020204" pitchFamily="34" charset="0"/>
                <a:cs typeface="Arial" panose="020B0604020202020204" pitchFamily="34" charset="0"/>
              </a:defRPr>
            </a:pPr>
            <a:endParaRPr lang="de-DE"/>
          </a:p>
        </c:txPr>
        <c:crossAx val="292969088"/>
        <c:crosses val="autoZero"/>
        <c:auto val="1"/>
        <c:lblAlgn val="ctr"/>
        <c:lblOffset val="100"/>
        <c:noMultiLvlLbl val="0"/>
      </c:catAx>
      <c:valAx>
        <c:axId val="292969088"/>
        <c:scaling>
          <c:orientation val="minMax"/>
        </c:scaling>
        <c:delete val="0"/>
        <c:axPos val="l"/>
        <c:majorGridlines>
          <c:spPr>
            <a:ln>
              <a:solidFill>
                <a:schemeClr val="bg1">
                  <a:lumMod val="50000"/>
                </a:schemeClr>
              </a:solidFill>
              <a:prstDash val="sysDot"/>
            </a:ln>
          </c:spPr>
        </c:majorGridlines>
        <c:numFmt formatCode="#,##0" sourceLinked="0"/>
        <c:majorTickMark val="out"/>
        <c:minorTickMark val="none"/>
        <c:tickLblPos val="nextTo"/>
        <c:txPr>
          <a:bodyPr/>
          <a:lstStyle/>
          <a:p>
            <a:pPr>
              <a:defRPr baseline="0">
                <a:latin typeface="Arial" panose="020B0604020202020204" pitchFamily="34" charset="0"/>
              </a:defRPr>
            </a:pPr>
            <a:endParaRPr lang="de-DE"/>
          </a:p>
        </c:txPr>
        <c:crossAx val="292967552"/>
        <c:crosses val="autoZero"/>
        <c:crossBetween val="between"/>
      </c:valAx>
    </c:plotArea>
    <c:legend>
      <c:legendPos val="r"/>
      <c:layout>
        <c:manualLayout>
          <c:xMode val="edge"/>
          <c:yMode val="edge"/>
          <c:x val="0.82600160796393829"/>
          <c:y val="0.37944538153299018"/>
          <c:w val="0.16689017967641981"/>
          <c:h val="0.16602371159193313"/>
        </c:manualLayout>
      </c:layout>
      <c:overlay val="0"/>
      <c:txPr>
        <a:bodyPr/>
        <a:lstStyle/>
        <a:p>
          <a:pPr>
            <a:defRPr sz="1200" baseline="0">
              <a:latin typeface="Arial" panose="020B0604020202020204" pitchFamily="34" charset="0"/>
              <a:cs typeface="Arial" panose="020B0604020202020204" pitchFamily="34" charset="0"/>
            </a:defRPr>
          </a:pPr>
          <a:endParaRPr lang="de-DE"/>
        </a:p>
      </c:txPr>
    </c:legend>
    <c:plotVisOnly val="0"/>
    <c:dispBlanksAs val="gap"/>
    <c:showDLblsOverMax val="0"/>
  </c:chart>
  <c:spPr>
    <a:ln>
      <a:noFill/>
    </a:ln>
  </c:sp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550305443116499E-2"/>
          <c:y val="6.7107724143863359E-2"/>
          <c:w val="0.67720576693814805"/>
          <c:h val="0.84798782011041141"/>
        </c:manualLayout>
      </c:layout>
      <c:barChart>
        <c:barDir val="col"/>
        <c:grouping val="stacked"/>
        <c:varyColors val="0"/>
        <c:ser>
          <c:idx val="9"/>
          <c:order val="0"/>
          <c:tx>
            <c:strRef>
              <c:f>'Summary 01'!$AW$453</c:f>
              <c:strCache>
                <c:ptCount val="1"/>
                <c:pt idx="0">
                  <c:v>License Fees</c:v>
                </c:pt>
              </c:strCache>
            </c:strRef>
          </c:tx>
          <c:spPr>
            <a:solidFill>
              <a:schemeClr val="accent4">
                <a:lumMod val="60000"/>
              </a:schemeClr>
            </a:solidFill>
            <a:ln>
              <a:noFill/>
            </a:ln>
            <a:effectLst/>
          </c:spPr>
          <c:invertIfNegative val="0"/>
          <c:cat>
            <c:strRef>
              <c:f>'Summary 01'!$AX$443:$BB$443</c:f>
              <c:strCache>
                <c:ptCount val="2"/>
                <c:pt idx="0">
                  <c:v>FY 2018</c:v>
                </c:pt>
                <c:pt idx="1">
                  <c:v>FY 2019</c:v>
                </c:pt>
              </c:strCache>
            </c:strRef>
          </c:cat>
          <c:val>
            <c:numRef>
              <c:f>'Summary 01'!$AX$453:$BB$453</c:f>
              <c:numCache>
                <c:formatCode>_(* #,##0_);_(* \(#,##0\);_(* "-"??_);_(@_)</c:formatCode>
                <c:ptCount val="5"/>
                <c:pt idx="0">
                  <c:v>100020</c:v>
                </c:pt>
                <c:pt idx="1">
                  <c:v>400180</c:v>
                </c:pt>
              </c:numCache>
            </c:numRef>
          </c:val>
          <c:extLst xmlns:c16r2="http://schemas.microsoft.com/office/drawing/2015/06/chart">
            <c:ext xmlns:c16="http://schemas.microsoft.com/office/drawing/2014/chart" uri="{C3380CC4-5D6E-409C-BE32-E72D297353CC}">
              <c16:uniqueId val="{00000000-A7B6-4710-9D74-F9CD66211C27}"/>
            </c:ext>
          </c:extLst>
        </c:ser>
        <c:ser>
          <c:idx val="8"/>
          <c:order val="1"/>
          <c:tx>
            <c:strRef>
              <c:f>'Summary 01'!$AW$452</c:f>
              <c:strCache>
                <c:ptCount val="1"/>
                <c:pt idx="0">
                  <c:v>Spare Parts</c:v>
                </c:pt>
              </c:strCache>
            </c:strRef>
          </c:tx>
          <c:spPr>
            <a:solidFill>
              <a:schemeClr val="accent3">
                <a:lumMod val="60000"/>
              </a:schemeClr>
            </a:solidFill>
            <a:ln>
              <a:noFill/>
            </a:ln>
            <a:effectLst/>
          </c:spPr>
          <c:invertIfNegative val="0"/>
          <c:cat>
            <c:strRef>
              <c:f>'Summary 01'!$AX$443:$BB$443</c:f>
              <c:strCache>
                <c:ptCount val="2"/>
                <c:pt idx="0">
                  <c:v>FY 2018</c:v>
                </c:pt>
                <c:pt idx="1">
                  <c:v>FY 2019</c:v>
                </c:pt>
              </c:strCache>
            </c:strRef>
          </c:cat>
          <c:val>
            <c:numRef>
              <c:f>'Summary 01'!$AX$452:$BB$452</c:f>
              <c:numCache>
                <c:formatCode>_(* #,##0_);_(* \(#,##0\);_(* "-"??_);_(@_)</c:formatCode>
                <c:ptCount val="5"/>
                <c:pt idx="0">
                  <c:v>88825</c:v>
                </c:pt>
                <c:pt idx="1">
                  <c:v>110825</c:v>
                </c:pt>
              </c:numCache>
            </c:numRef>
          </c:val>
          <c:extLst xmlns:c16r2="http://schemas.microsoft.com/office/drawing/2015/06/chart">
            <c:ext xmlns:c16="http://schemas.microsoft.com/office/drawing/2014/chart" uri="{C3380CC4-5D6E-409C-BE32-E72D297353CC}">
              <c16:uniqueId val="{00000001-A7B6-4710-9D74-F9CD66211C27}"/>
            </c:ext>
          </c:extLst>
        </c:ser>
        <c:ser>
          <c:idx val="7"/>
          <c:order val="2"/>
          <c:tx>
            <c:strRef>
              <c:f>'Summary 01'!$AW$451</c:f>
              <c:strCache>
                <c:ptCount val="1"/>
                <c:pt idx="0">
                  <c:v>Consulting Services</c:v>
                </c:pt>
              </c:strCache>
            </c:strRef>
          </c:tx>
          <c:spPr>
            <a:solidFill>
              <a:schemeClr val="accent2">
                <a:lumMod val="60000"/>
              </a:schemeClr>
            </a:solidFill>
            <a:ln>
              <a:noFill/>
            </a:ln>
            <a:effectLst/>
          </c:spPr>
          <c:invertIfNegative val="0"/>
          <c:cat>
            <c:strRef>
              <c:f>'Summary 01'!$AX$443:$BB$443</c:f>
              <c:strCache>
                <c:ptCount val="2"/>
                <c:pt idx="0">
                  <c:v>FY 2018</c:v>
                </c:pt>
                <c:pt idx="1">
                  <c:v>FY 2019</c:v>
                </c:pt>
              </c:strCache>
            </c:strRef>
          </c:cat>
          <c:val>
            <c:numRef>
              <c:f>'Summary 01'!$AX$451:$BB$451</c:f>
              <c:numCache>
                <c:formatCode>_(* #,##0_);_(* \(#,##0\);_(* "-"??_);_(@_)</c:formatCode>
                <c:ptCount val="5"/>
                <c:pt idx="0">
                  <c:v>177580.43437320614</c:v>
                </c:pt>
                <c:pt idx="1">
                  <c:v>262918.48855537892</c:v>
                </c:pt>
              </c:numCache>
            </c:numRef>
          </c:val>
          <c:extLst xmlns:c16r2="http://schemas.microsoft.com/office/drawing/2015/06/chart">
            <c:ext xmlns:c16="http://schemas.microsoft.com/office/drawing/2014/chart" uri="{C3380CC4-5D6E-409C-BE32-E72D297353CC}">
              <c16:uniqueId val="{00000002-A7B6-4710-9D74-F9CD66211C27}"/>
            </c:ext>
          </c:extLst>
        </c:ser>
        <c:ser>
          <c:idx val="6"/>
          <c:order val="3"/>
          <c:tx>
            <c:strRef>
              <c:f>'Summary 01'!$AW$450</c:f>
              <c:strCache>
                <c:ptCount val="1"/>
                <c:pt idx="0">
                  <c:v>Integration Services</c:v>
                </c:pt>
              </c:strCache>
            </c:strRef>
          </c:tx>
          <c:spPr>
            <a:solidFill>
              <a:schemeClr val="accent1">
                <a:lumMod val="60000"/>
              </a:schemeClr>
            </a:solidFill>
            <a:ln>
              <a:noFill/>
            </a:ln>
            <a:effectLst/>
          </c:spPr>
          <c:invertIfNegative val="0"/>
          <c:cat>
            <c:strRef>
              <c:f>'Summary 01'!$AX$443:$BB$443</c:f>
              <c:strCache>
                <c:ptCount val="2"/>
                <c:pt idx="0">
                  <c:v>FY 2018</c:v>
                </c:pt>
                <c:pt idx="1">
                  <c:v>FY 2019</c:v>
                </c:pt>
              </c:strCache>
            </c:strRef>
          </c:cat>
          <c:val>
            <c:numRef>
              <c:f>'Summary 01'!$AX$450:$BB$450</c:f>
              <c:numCache>
                <c:formatCode>_(* #,##0_);_(* \(#,##0\);_(* "-"??_);_(@_)</c:formatCode>
                <c:ptCount val="5"/>
                <c:pt idx="0">
                  <c:v>164000</c:v>
                </c:pt>
                <c:pt idx="1">
                  <c:v>240000</c:v>
                </c:pt>
              </c:numCache>
            </c:numRef>
          </c:val>
          <c:extLst xmlns:c16r2="http://schemas.microsoft.com/office/drawing/2015/06/chart">
            <c:ext xmlns:c16="http://schemas.microsoft.com/office/drawing/2014/chart" uri="{C3380CC4-5D6E-409C-BE32-E72D297353CC}">
              <c16:uniqueId val="{00000003-A7B6-4710-9D74-F9CD66211C27}"/>
            </c:ext>
          </c:extLst>
        </c:ser>
        <c:ser>
          <c:idx val="5"/>
          <c:order val="4"/>
          <c:tx>
            <c:strRef>
              <c:f>'Summary 01'!$AW$449</c:f>
              <c:strCache>
                <c:ptCount val="1"/>
                <c:pt idx="0">
                  <c:v>Repair Services</c:v>
                </c:pt>
              </c:strCache>
            </c:strRef>
          </c:tx>
          <c:spPr>
            <a:solidFill>
              <a:schemeClr val="accent6"/>
            </a:solidFill>
            <a:ln>
              <a:noFill/>
            </a:ln>
            <a:effectLst/>
          </c:spPr>
          <c:invertIfNegative val="0"/>
          <c:cat>
            <c:strRef>
              <c:f>'Summary 01'!$AX$443:$BB$443</c:f>
              <c:strCache>
                <c:ptCount val="2"/>
                <c:pt idx="0">
                  <c:v>FY 2018</c:v>
                </c:pt>
                <c:pt idx="1">
                  <c:v>FY 2019</c:v>
                </c:pt>
              </c:strCache>
            </c:strRef>
          </c:cat>
          <c:val>
            <c:numRef>
              <c:f>'Summary 01'!$AX$449:$BB$449</c:f>
              <c:numCache>
                <c:formatCode>_(* #,##0_);_(* \(#,##0\);_(* "-"??_);_(@_)</c:formatCode>
                <c:ptCount val="5"/>
                <c:pt idx="0">
                  <c:v>125928</c:v>
                </c:pt>
                <c:pt idx="1">
                  <c:v>155184</c:v>
                </c:pt>
              </c:numCache>
            </c:numRef>
          </c:val>
          <c:extLst xmlns:c16r2="http://schemas.microsoft.com/office/drawing/2015/06/chart">
            <c:ext xmlns:c16="http://schemas.microsoft.com/office/drawing/2014/chart" uri="{C3380CC4-5D6E-409C-BE32-E72D297353CC}">
              <c16:uniqueId val="{00000004-A7B6-4710-9D74-F9CD66211C27}"/>
            </c:ext>
          </c:extLst>
        </c:ser>
        <c:ser>
          <c:idx val="4"/>
          <c:order val="5"/>
          <c:tx>
            <c:strRef>
              <c:f>'Summary 01'!$AW$448</c:f>
              <c:strCache>
                <c:ptCount val="1"/>
                <c:pt idx="0">
                  <c:v>Net work infrastructure solutions</c:v>
                </c:pt>
              </c:strCache>
            </c:strRef>
          </c:tx>
          <c:spPr>
            <a:solidFill>
              <a:schemeClr val="accent5"/>
            </a:solidFill>
            <a:ln>
              <a:noFill/>
            </a:ln>
            <a:effectLst/>
          </c:spPr>
          <c:invertIfNegative val="0"/>
          <c:cat>
            <c:strRef>
              <c:f>'Summary 01'!$AX$443:$BB$443</c:f>
              <c:strCache>
                <c:ptCount val="2"/>
                <c:pt idx="0">
                  <c:v>FY 2018</c:v>
                </c:pt>
                <c:pt idx="1">
                  <c:v>FY 2019</c:v>
                </c:pt>
              </c:strCache>
            </c:strRef>
          </c:cat>
          <c:val>
            <c:numRef>
              <c:f>'Summary 01'!$AX$448:$BB$448</c:f>
              <c:numCache>
                <c:formatCode>_(* #,##0_);_(* \(#,##0\);_(* "-"??_);_(@_)</c:formatCode>
                <c:ptCount val="5"/>
                <c:pt idx="0">
                  <c:v>41000</c:v>
                </c:pt>
                <c:pt idx="1">
                  <c:v>63412.515065984859</c:v>
                </c:pt>
              </c:numCache>
            </c:numRef>
          </c:val>
          <c:extLst xmlns:c16r2="http://schemas.microsoft.com/office/drawing/2015/06/chart">
            <c:ext xmlns:c16="http://schemas.microsoft.com/office/drawing/2014/chart" uri="{C3380CC4-5D6E-409C-BE32-E72D297353CC}">
              <c16:uniqueId val="{00000005-A7B6-4710-9D74-F9CD66211C27}"/>
            </c:ext>
          </c:extLst>
        </c:ser>
        <c:ser>
          <c:idx val="3"/>
          <c:order val="6"/>
          <c:tx>
            <c:strRef>
              <c:f>'Summary 01'!$AW$447</c:f>
              <c:strCache>
                <c:ptCount val="1"/>
                <c:pt idx="0">
                  <c:v>Software Products</c:v>
                </c:pt>
              </c:strCache>
            </c:strRef>
          </c:tx>
          <c:spPr>
            <a:solidFill>
              <a:schemeClr val="accent4"/>
            </a:solidFill>
            <a:ln>
              <a:noFill/>
            </a:ln>
            <a:effectLst/>
          </c:spPr>
          <c:invertIfNegative val="0"/>
          <c:cat>
            <c:strRef>
              <c:f>'Summary 01'!$AX$443:$BB$443</c:f>
              <c:strCache>
                <c:ptCount val="2"/>
                <c:pt idx="0">
                  <c:v>FY 2018</c:v>
                </c:pt>
                <c:pt idx="1">
                  <c:v>FY 2019</c:v>
                </c:pt>
              </c:strCache>
            </c:strRef>
          </c:cat>
          <c:val>
            <c:numRef>
              <c:f>'Summary 01'!$AX$447:$BB$447</c:f>
              <c:numCache>
                <c:formatCode>_(* #,##0_);_(* \(#,##0\);_(* "-"??_);_(@_)</c:formatCode>
                <c:ptCount val="5"/>
                <c:pt idx="0">
                  <c:v>76050</c:v>
                </c:pt>
                <c:pt idx="1">
                  <c:v>100050</c:v>
                </c:pt>
              </c:numCache>
            </c:numRef>
          </c:val>
          <c:extLst xmlns:c16r2="http://schemas.microsoft.com/office/drawing/2015/06/chart">
            <c:ext xmlns:c16="http://schemas.microsoft.com/office/drawing/2014/chart" uri="{C3380CC4-5D6E-409C-BE32-E72D297353CC}">
              <c16:uniqueId val="{00000006-A7B6-4710-9D74-F9CD66211C27}"/>
            </c:ext>
          </c:extLst>
        </c:ser>
        <c:ser>
          <c:idx val="2"/>
          <c:order val="7"/>
          <c:tx>
            <c:strRef>
              <c:f>'Summary 01'!$AW$446</c:f>
              <c:strCache>
                <c:ptCount val="1"/>
                <c:pt idx="0">
                  <c:v>Notebooks</c:v>
                </c:pt>
              </c:strCache>
            </c:strRef>
          </c:tx>
          <c:spPr>
            <a:solidFill>
              <a:schemeClr val="accent3"/>
            </a:solidFill>
            <a:ln>
              <a:noFill/>
            </a:ln>
            <a:effectLst/>
          </c:spPr>
          <c:invertIfNegative val="0"/>
          <c:cat>
            <c:strRef>
              <c:f>'Summary 01'!$AX$443:$BB$443</c:f>
              <c:strCache>
                <c:ptCount val="2"/>
                <c:pt idx="0">
                  <c:v>FY 2018</c:v>
                </c:pt>
                <c:pt idx="1">
                  <c:v>FY 2019</c:v>
                </c:pt>
              </c:strCache>
            </c:strRef>
          </c:cat>
          <c:val>
            <c:numRef>
              <c:f>'Summary 01'!$AX$446:$BB$446</c:f>
              <c:numCache>
                <c:formatCode>_(* #,##0_);_(* \(#,##0\);_(* "-"??_);_(@_)</c:formatCode>
                <c:ptCount val="5"/>
                <c:pt idx="0">
                  <c:v>123280</c:v>
                </c:pt>
                <c:pt idx="1">
                  <c:v>180180</c:v>
                </c:pt>
              </c:numCache>
            </c:numRef>
          </c:val>
          <c:extLst xmlns:c16r2="http://schemas.microsoft.com/office/drawing/2015/06/chart">
            <c:ext xmlns:c16="http://schemas.microsoft.com/office/drawing/2014/chart" uri="{C3380CC4-5D6E-409C-BE32-E72D297353CC}">
              <c16:uniqueId val="{00000007-A7B6-4710-9D74-F9CD66211C27}"/>
            </c:ext>
          </c:extLst>
        </c:ser>
        <c:ser>
          <c:idx val="1"/>
          <c:order val="8"/>
          <c:tx>
            <c:strRef>
              <c:f>'Summary 01'!$AW$445</c:f>
              <c:strCache>
                <c:ptCount val="1"/>
                <c:pt idx="0">
                  <c:v>Workstations</c:v>
                </c:pt>
              </c:strCache>
            </c:strRef>
          </c:tx>
          <c:spPr>
            <a:solidFill>
              <a:schemeClr val="accent2"/>
            </a:solidFill>
            <a:ln>
              <a:noFill/>
            </a:ln>
            <a:effectLst/>
          </c:spPr>
          <c:invertIfNegative val="0"/>
          <c:cat>
            <c:strRef>
              <c:f>'Summary 01'!$AX$443:$BB$443</c:f>
              <c:strCache>
                <c:ptCount val="2"/>
                <c:pt idx="0">
                  <c:v>FY 2018</c:v>
                </c:pt>
                <c:pt idx="1">
                  <c:v>FY 2019</c:v>
                </c:pt>
              </c:strCache>
            </c:strRef>
          </c:cat>
          <c:val>
            <c:numRef>
              <c:f>'Summary 01'!$AX$445:$BB$445</c:f>
              <c:numCache>
                <c:formatCode>_(* #,##0_);_(* \(#,##0\);_(* "-"??_);_(@_)</c:formatCode>
                <c:ptCount val="5"/>
                <c:pt idx="0">
                  <c:v>202400</c:v>
                </c:pt>
                <c:pt idx="1">
                  <c:v>326600</c:v>
                </c:pt>
              </c:numCache>
            </c:numRef>
          </c:val>
          <c:extLst xmlns:c16r2="http://schemas.microsoft.com/office/drawing/2015/06/chart">
            <c:ext xmlns:c16="http://schemas.microsoft.com/office/drawing/2014/chart" uri="{C3380CC4-5D6E-409C-BE32-E72D297353CC}">
              <c16:uniqueId val="{00000008-A7B6-4710-9D74-F9CD66211C27}"/>
            </c:ext>
          </c:extLst>
        </c:ser>
        <c:ser>
          <c:idx val="0"/>
          <c:order val="9"/>
          <c:tx>
            <c:strRef>
              <c:f>'Summary 01'!$AW$444</c:f>
              <c:strCache>
                <c:ptCount val="1"/>
                <c:pt idx="0">
                  <c:v>Desktops</c:v>
                </c:pt>
              </c:strCache>
            </c:strRef>
          </c:tx>
          <c:spPr>
            <a:solidFill>
              <a:schemeClr val="accent1"/>
            </a:solidFill>
            <a:ln>
              <a:noFill/>
            </a:ln>
            <a:effectLst/>
          </c:spPr>
          <c:invertIfNegative val="0"/>
          <c:cat>
            <c:strRef>
              <c:f>'Summary 01'!$AX$443:$BB$443</c:f>
              <c:strCache>
                <c:ptCount val="2"/>
                <c:pt idx="0">
                  <c:v>FY 2018</c:v>
                </c:pt>
                <c:pt idx="1">
                  <c:v>FY 2019</c:v>
                </c:pt>
              </c:strCache>
            </c:strRef>
          </c:cat>
          <c:val>
            <c:numRef>
              <c:f>'Summary 01'!$AX$444:$BB$444</c:f>
              <c:numCache>
                <c:formatCode>_(* #,##0_);_(* \(#,##0\);_(* "-"??_);_(@_)</c:formatCode>
                <c:ptCount val="5"/>
                <c:pt idx="0">
                  <c:v>355300</c:v>
                </c:pt>
                <c:pt idx="1">
                  <c:v>443300</c:v>
                </c:pt>
              </c:numCache>
            </c:numRef>
          </c:val>
          <c:extLst xmlns:c16r2="http://schemas.microsoft.com/office/drawing/2015/06/chart">
            <c:ext xmlns:c16="http://schemas.microsoft.com/office/drawing/2014/chart" uri="{C3380CC4-5D6E-409C-BE32-E72D297353CC}">
              <c16:uniqueId val="{00000009-A7B6-4710-9D74-F9CD66211C27}"/>
            </c:ext>
          </c:extLst>
        </c:ser>
        <c:dLbls>
          <c:showLegendKey val="0"/>
          <c:showVal val="0"/>
          <c:showCatName val="0"/>
          <c:showSerName val="0"/>
          <c:showPercent val="0"/>
          <c:showBubbleSize val="0"/>
        </c:dLbls>
        <c:gapWidth val="95"/>
        <c:overlap val="100"/>
        <c:axId val="293049856"/>
        <c:axId val="293051392"/>
      </c:barChart>
      <c:catAx>
        <c:axId val="293049856"/>
        <c:scaling>
          <c:orientation val="minMax"/>
        </c:scaling>
        <c:delete val="0"/>
        <c:axPos val="b"/>
        <c:numFmt formatCode="General" sourceLinked="0"/>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3051392"/>
        <c:crosses val="autoZero"/>
        <c:auto val="1"/>
        <c:lblAlgn val="ctr"/>
        <c:lblOffset val="100"/>
        <c:noMultiLvlLbl val="0"/>
      </c:catAx>
      <c:valAx>
        <c:axId val="293051392"/>
        <c:scaling>
          <c:orientation val="minMax"/>
        </c:scaling>
        <c:delete val="0"/>
        <c:axPos val="l"/>
        <c:majorGridlines>
          <c:spPr>
            <a:ln w="9525" cap="flat" cmpd="sng" algn="ctr">
              <a:solidFill>
                <a:schemeClr val="bg1">
                  <a:lumMod val="75000"/>
                </a:schemeClr>
              </a:solidFill>
              <a:prstDash val="sysDot"/>
              <a:round/>
            </a:ln>
            <a:effectLst/>
          </c:spPr>
        </c:majorGridlines>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3049856"/>
        <c:crosses val="autoZero"/>
        <c:crossBetween val="between"/>
      </c:valAx>
      <c:spPr>
        <a:solidFill>
          <a:schemeClr val="bg1"/>
        </a:solidFill>
        <a:ln>
          <a:noFill/>
        </a:ln>
        <a:effectLst/>
      </c:spPr>
    </c:plotArea>
    <c:legend>
      <c:legendPos val="r"/>
      <c:layout>
        <c:manualLayout>
          <c:xMode val="edge"/>
          <c:yMode val="edge"/>
          <c:x val="0.73755358753594502"/>
          <c:y val="7.2259842519685036E-2"/>
          <c:w val="0.2570538670000137"/>
          <c:h val="0.8392849956255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mn-cs"/>
            </a:defRPr>
          </a:pPr>
          <a:endParaRPr lang="de-DE"/>
        </a:p>
      </c:txPr>
    </c:legend>
    <c:plotVisOnly val="0"/>
    <c:dispBlanksAs val="gap"/>
    <c:showDLblsOverMax val="0"/>
  </c:chart>
  <c:spPr>
    <a:solidFill>
      <a:schemeClr val="bg1"/>
    </a:solidFill>
    <a:ln w="9525" cap="flat" cmpd="sng" algn="ctr">
      <a:noFill/>
      <a:prstDash val="solid"/>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371450603333451E-2"/>
          <c:y val="2.089183767479812E-2"/>
          <c:w val="0.63945330185382687"/>
          <c:h val="0.86638888888888876"/>
        </c:manualLayout>
      </c:layout>
      <c:barChart>
        <c:barDir val="col"/>
        <c:grouping val="stacked"/>
        <c:varyColors val="0"/>
        <c:ser>
          <c:idx val="9"/>
          <c:order val="0"/>
          <c:tx>
            <c:strRef>
              <c:f>'Summary 01'!$AW$466</c:f>
              <c:strCache>
                <c:ptCount val="1"/>
                <c:pt idx="0">
                  <c:v>License Fees</c:v>
                </c:pt>
              </c:strCache>
            </c:strRef>
          </c:tx>
          <c:spPr>
            <a:solidFill>
              <a:schemeClr val="accent4">
                <a:lumMod val="60000"/>
              </a:schemeClr>
            </a:solidFill>
            <a:ln>
              <a:noFill/>
            </a:ln>
            <a:effectLst/>
          </c:spPr>
          <c:invertIfNegative val="0"/>
          <c:cat>
            <c:strRef>
              <c:f>'Summary 01'!$AX$456:$BB$456</c:f>
              <c:strCache>
                <c:ptCount val="2"/>
                <c:pt idx="0">
                  <c:v>FY 2018</c:v>
                </c:pt>
                <c:pt idx="1">
                  <c:v>FY 2019</c:v>
                </c:pt>
              </c:strCache>
            </c:strRef>
          </c:cat>
          <c:val>
            <c:numRef>
              <c:f>'Summary 01'!$AX$466:$BB$466</c:f>
              <c:numCache>
                <c:formatCode>_(* #,##0_);_(* \(#,##0\);_(* "-"??_);_(@_)</c:formatCode>
                <c:ptCount val="5"/>
                <c:pt idx="0">
                  <c:v>1610.362071074916</c:v>
                </c:pt>
                <c:pt idx="1">
                  <c:v>7372.3384268261179</c:v>
                </c:pt>
              </c:numCache>
            </c:numRef>
          </c:val>
          <c:extLst xmlns:c16r2="http://schemas.microsoft.com/office/drawing/2015/06/chart">
            <c:ext xmlns:c16="http://schemas.microsoft.com/office/drawing/2014/chart" uri="{C3380CC4-5D6E-409C-BE32-E72D297353CC}">
              <c16:uniqueId val="{00000000-5989-485A-A357-56E7043B9C85}"/>
            </c:ext>
          </c:extLst>
        </c:ser>
        <c:ser>
          <c:idx val="8"/>
          <c:order val="1"/>
          <c:tx>
            <c:strRef>
              <c:f>'Summary 01'!$AW$465</c:f>
              <c:strCache>
                <c:ptCount val="1"/>
                <c:pt idx="0">
                  <c:v>Spare Parts</c:v>
                </c:pt>
              </c:strCache>
            </c:strRef>
          </c:tx>
          <c:spPr>
            <a:solidFill>
              <a:schemeClr val="accent3">
                <a:lumMod val="60000"/>
              </a:schemeClr>
            </a:solidFill>
            <a:ln>
              <a:noFill/>
            </a:ln>
            <a:effectLst/>
          </c:spPr>
          <c:invertIfNegative val="0"/>
          <c:cat>
            <c:strRef>
              <c:f>'Summary 01'!$AX$456:$BB$456</c:f>
              <c:strCache>
                <c:ptCount val="2"/>
                <c:pt idx="0">
                  <c:v>FY 2018</c:v>
                </c:pt>
                <c:pt idx="1">
                  <c:v>FY 2019</c:v>
                </c:pt>
              </c:strCache>
            </c:strRef>
          </c:cat>
          <c:val>
            <c:numRef>
              <c:f>'Summary 01'!$AX$465:$BB$465</c:f>
              <c:numCache>
                <c:formatCode>_(* #,##0_);_(* \(#,##0\);_(* "-"??_);_(@_)</c:formatCode>
                <c:ptCount val="5"/>
                <c:pt idx="0">
                  <c:v>68304.540994141062</c:v>
                </c:pt>
                <c:pt idx="1">
                  <c:v>85629.261060495541</c:v>
                </c:pt>
              </c:numCache>
            </c:numRef>
          </c:val>
          <c:extLst xmlns:c16r2="http://schemas.microsoft.com/office/drawing/2015/06/chart">
            <c:ext xmlns:c16="http://schemas.microsoft.com/office/drawing/2014/chart" uri="{C3380CC4-5D6E-409C-BE32-E72D297353CC}">
              <c16:uniqueId val="{00000001-5989-485A-A357-56E7043B9C85}"/>
            </c:ext>
          </c:extLst>
        </c:ser>
        <c:ser>
          <c:idx val="7"/>
          <c:order val="2"/>
          <c:tx>
            <c:strRef>
              <c:f>'Summary 01'!$AW$464</c:f>
              <c:strCache>
                <c:ptCount val="1"/>
                <c:pt idx="0">
                  <c:v>Consulting Services</c:v>
                </c:pt>
              </c:strCache>
            </c:strRef>
          </c:tx>
          <c:spPr>
            <a:solidFill>
              <a:schemeClr val="accent2">
                <a:lumMod val="60000"/>
              </a:schemeClr>
            </a:solidFill>
            <a:ln>
              <a:noFill/>
            </a:ln>
            <a:effectLst/>
          </c:spPr>
          <c:invertIfNegative val="0"/>
          <c:cat>
            <c:strRef>
              <c:f>'Summary 01'!$AX$456:$BB$456</c:f>
              <c:strCache>
                <c:ptCount val="2"/>
                <c:pt idx="0">
                  <c:v>FY 2018</c:v>
                </c:pt>
                <c:pt idx="1">
                  <c:v>FY 2019</c:v>
                </c:pt>
              </c:strCache>
            </c:strRef>
          </c:cat>
          <c:val>
            <c:numRef>
              <c:f>'Summary 01'!$AX$464:$BB$464</c:f>
              <c:numCache>
                <c:formatCode>_(* #,##0_);_(* \(#,##0\);_(* "-"??_);_(@_)</c:formatCode>
                <c:ptCount val="5"/>
                <c:pt idx="0">
                  <c:v>16699.560493610355</c:v>
                </c:pt>
                <c:pt idx="1">
                  <c:v>25674.659180911622</c:v>
                </c:pt>
              </c:numCache>
            </c:numRef>
          </c:val>
          <c:extLst xmlns:c16r2="http://schemas.microsoft.com/office/drawing/2015/06/chart">
            <c:ext xmlns:c16="http://schemas.microsoft.com/office/drawing/2014/chart" uri="{C3380CC4-5D6E-409C-BE32-E72D297353CC}">
              <c16:uniqueId val="{00000002-5989-485A-A357-56E7043B9C85}"/>
            </c:ext>
          </c:extLst>
        </c:ser>
        <c:ser>
          <c:idx val="6"/>
          <c:order val="3"/>
          <c:tx>
            <c:strRef>
              <c:f>'Summary 01'!$AW$463</c:f>
              <c:strCache>
                <c:ptCount val="1"/>
                <c:pt idx="0">
                  <c:v>Integration Services</c:v>
                </c:pt>
              </c:strCache>
            </c:strRef>
          </c:tx>
          <c:spPr>
            <a:solidFill>
              <a:schemeClr val="accent1">
                <a:lumMod val="60000"/>
              </a:schemeClr>
            </a:solidFill>
            <a:ln>
              <a:noFill/>
            </a:ln>
            <a:effectLst/>
          </c:spPr>
          <c:invertIfNegative val="0"/>
          <c:cat>
            <c:strRef>
              <c:f>'Summary 01'!$AX$456:$BB$456</c:f>
              <c:strCache>
                <c:ptCount val="2"/>
                <c:pt idx="0">
                  <c:v>FY 2018</c:v>
                </c:pt>
                <c:pt idx="1">
                  <c:v>FY 2019</c:v>
                </c:pt>
              </c:strCache>
            </c:strRef>
          </c:cat>
          <c:val>
            <c:numRef>
              <c:f>'Summary 01'!$AX$463:$BB$463</c:f>
              <c:numCache>
                <c:formatCode>_(* #,##0_);_(* \(#,##0\);_(* "-"??_);_(@_)</c:formatCode>
                <c:ptCount val="5"/>
                <c:pt idx="0">
                  <c:v>11323.987362070588</c:v>
                </c:pt>
                <c:pt idx="1">
                  <c:v>17417.648534067823</c:v>
                </c:pt>
              </c:numCache>
            </c:numRef>
          </c:val>
          <c:extLst xmlns:c16r2="http://schemas.microsoft.com/office/drawing/2015/06/chart">
            <c:ext xmlns:c16="http://schemas.microsoft.com/office/drawing/2014/chart" uri="{C3380CC4-5D6E-409C-BE32-E72D297353CC}">
              <c16:uniqueId val="{00000003-5989-485A-A357-56E7043B9C85}"/>
            </c:ext>
          </c:extLst>
        </c:ser>
        <c:ser>
          <c:idx val="5"/>
          <c:order val="4"/>
          <c:tx>
            <c:strRef>
              <c:f>'Summary 01'!$AW$462</c:f>
              <c:strCache>
                <c:ptCount val="1"/>
                <c:pt idx="0">
                  <c:v>Repair Services</c:v>
                </c:pt>
              </c:strCache>
            </c:strRef>
          </c:tx>
          <c:spPr>
            <a:solidFill>
              <a:schemeClr val="accent6"/>
            </a:solidFill>
            <a:ln>
              <a:noFill/>
            </a:ln>
            <a:effectLst/>
          </c:spPr>
          <c:invertIfNegative val="0"/>
          <c:cat>
            <c:strRef>
              <c:f>'Summary 01'!$AX$456:$BB$456</c:f>
              <c:strCache>
                <c:ptCount val="2"/>
                <c:pt idx="0">
                  <c:v>FY 2018</c:v>
                </c:pt>
                <c:pt idx="1">
                  <c:v>FY 2019</c:v>
                </c:pt>
              </c:strCache>
            </c:strRef>
          </c:cat>
          <c:val>
            <c:numRef>
              <c:f>'Summary 01'!$AX$462:$BB$462</c:f>
              <c:numCache>
                <c:formatCode>_(* #,##0_);_(* \(#,##0\);_(* "-"??_);_(@_)</c:formatCode>
                <c:ptCount val="5"/>
                <c:pt idx="0">
                  <c:v>100869.01531003042</c:v>
                </c:pt>
                <c:pt idx="1">
                  <c:v>140003.82709015271</c:v>
                </c:pt>
              </c:numCache>
            </c:numRef>
          </c:val>
          <c:extLst xmlns:c16r2="http://schemas.microsoft.com/office/drawing/2015/06/chart">
            <c:ext xmlns:c16="http://schemas.microsoft.com/office/drawing/2014/chart" uri="{C3380CC4-5D6E-409C-BE32-E72D297353CC}">
              <c16:uniqueId val="{00000004-5989-485A-A357-56E7043B9C85}"/>
            </c:ext>
          </c:extLst>
        </c:ser>
        <c:ser>
          <c:idx val="4"/>
          <c:order val="5"/>
          <c:tx>
            <c:strRef>
              <c:f>'Summary 01'!$AW$461</c:f>
              <c:strCache>
                <c:ptCount val="1"/>
                <c:pt idx="0">
                  <c:v>Net work infrastructure solutions</c:v>
                </c:pt>
              </c:strCache>
            </c:strRef>
          </c:tx>
          <c:spPr>
            <a:solidFill>
              <a:schemeClr val="accent5"/>
            </a:solidFill>
            <a:ln>
              <a:noFill/>
            </a:ln>
            <a:effectLst/>
          </c:spPr>
          <c:invertIfNegative val="0"/>
          <c:cat>
            <c:strRef>
              <c:f>'Summary 01'!$AX$456:$BB$456</c:f>
              <c:strCache>
                <c:ptCount val="2"/>
                <c:pt idx="0">
                  <c:v>FY 2018</c:v>
                </c:pt>
                <c:pt idx="1">
                  <c:v>FY 2019</c:v>
                </c:pt>
              </c:strCache>
            </c:strRef>
          </c:cat>
          <c:val>
            <c:numRef>
              <c:f>'Summary 01'!$AX$461:$BB$461</c:f>
              <c:numCache>
                <c:formatCode>_(* #,##0_);_(* \(#,##0\);_(* "-"??_);_(@_)</c:formatCode>
                <c:ptCount val="5"/>
                <c:pt idx="0">
                  <c:v>11030.996840517648</c:v>
                </c:pt>
                <c:pt idx="1">
                  <c:v>18457.833833513156</c:v>
                </c:pt>
              </c:numCache>
            </c:numRef>
          </c:val>
          <c:extLst xmlns:c16r2="http://schemas.microsoft.com/office/drawing/2015/06/chart">
            <c:ext xmlns:c16="http://schemas.microsoft.com/office/drawing/2014/chart" uri="{C3380CC4-5D6E-409C-BE32-E72D297353CC}">
              <c16:uniqueId val="{00000005-5989-485A-A357-56E7043B9C85}"/>
            </c:ext>
          </c:extLst>
        </c:ser>
        <c:ser>
          <c:idx val="3"/>
          <c:order val="6"/>
          <c:tx>
            <c:strRef>
              <c:f>'Summary 01'!$AW$460</c:f>
              <c:strCache>
                <c:ptCount val="1"/>
                <c:pt idx="0">
                  <c:v>Software Products</c:v>
                </c:pt>
              </c:strCache>
            </c:strRef>
          </c:tx>
          <c:spPr>
            <a:solidFill>
              <a:schemeClr val="accent4"/>
            </a:solidFill>
            <a:ln>
              <a:noFill/>
            </a:ln>
            <a:effectLst/>
          </c:spPr>
          <c:invertIfNegative val="0"/>
          <c:cat>
            <c:strRef>
              <c:f>'Summary 01'!$AX$456:$BB$456</c:f>
              <c:strCache>
                <c:ptCount val="2"/>
                <c:pt idx="0">
                  <c:v>FY 2018</c:v>
                </c:pt>
                <c:pt idx="1">
                  <c:v>FY 2019</c:v>
                </c:pt>
              </c:strCache>
            </c:strRef>
          </c:cat>
          <c:val>
            <c:numRef>
              <c:f>'Summary 01'!$AX$460:$BB$460</c:f>
              <c:numCache>
                <c:formatCode>_(* #,##0_);_(* \(#,##0\);_(* "-"??_);_(@_)</c:formatCode>
                <c:ptCount val="5"/>
                <c:pt idx="0">
                  <c:v>64820.73669360947</c:v>
                </c:pt>
                <c:pt idx="1">
                  <c:v>85638.281677482402</c:v>
                </c:pt>
              </c:numCache>
            </c:numRef>
          </c:val>
          <c:extLst xmlns:c16r2="http://schemas.microsoft.com/office/drawing/2015/06/chart">
            <c:ext xmlns:c16="http://schemas.microsoft.com/office/drawing/2014/chart" uri="{C3380CC4-5D6E-409C-BE32-E72D297353CC}">
              <c16:uniqueId val="{00000006-5989-485A-A357-56E7043B9C85}"/>
            </c:ext>
          </c:extLst>
        </c:ser>
        <c:ser>
          <c:idx val="2"/>
          <c:order val="7"/>
          <c:tx>
            <c:strRef>
              <c:f>'Summary 01'!$AW$459</c:f>
              <c:strCache>
                <c:ptCount val="1"/>
                <c:pt idx="0">
                  <c:v>Notebooks</c:v>
                </c:pt>
              </c:strCache>
            </c:strRef>
          </c:tx>
          <c:spPr>
            <a:solidFill>
              <a:schemeClr val="accent3"/>
            </a:solidFill>
            <a:ln>
              <a:noFill/>
            </a:ln>
            <a:effectLst/>
          </c:spPr>
          <c:invertIfNegative val="0"/>
          <c:cat>
            <c:strRef>
              <c:f>'Summary 01'!$AX$456:$BB$456</c:f>
              <c:strCache>
                <c:ptCount val="2"/>
                <c:pt idx="0">
                  <c:v>FY 2018</c:v>
                </c:pt>
                <c:pt idx="1">
                  <c:v>FY 2019</c:v>
                </c:pt>
              </c:strCache>
            </c:strRef>
          </c:cat>
          <c:val>
            <c:numRef>
              <c:f>'Summary 01'!$AX$459:$BB$459</c:f>
              <c:numCache>
                <c:formatCode>_(* #,##0_);_(* \(#,##0\);_(* "-"??_);_(@_)</c:formatCode>
                <c:ptCount val="5"/>
                <c:pt idx="0">
                  <c:v>75950.424021487721</c:v>
                </c:pt>
                <c:pt idx="1">
                  <c:v>109675.86240786561</c:v>
                </c:pt>
              </c:numCache>
            </c:numRef>
          </c:val>
          <c:extLst xmlns:c16r2="http://schemas.microsoft.com/office/drawing/2015/06/chart">
            <c:ext xmlns:c16="http://schemas.microsoft.com/office/drawing/2014/chart" uri="{C3380CC4-5D6E-409C-BE32-E72D297353CC}">
              <c16:uniqueId val="{00000007-5989-485A-A357-56E7043B9C85}"/>
            </c:ext>
          </c:extLst>
        </c:ser>
        <c:ser>
          <c:idx val="1"/>
          <c:order val="8"/>
          <c:tx>
            <c:strRef>
              <c:f>'Summary 01'!$AW$458</c:f>
              <c:strCache>
                <c:ptCount val="1"/>
                <c:pt idx="0">
                  <c:v>Workstations</c:v>
                </c:pt>
              </c:strCache>
            </c:strRef>
          </c:tx>
          <c:spPr>
            <a:solidFill>
              <a:schemeClr val="accent2"/>
            </a:solidFill>
            <a:ln>
              <a:noFill/>
            </a:ln>
            <a:effectLst/>
          </c:spPr>
          <c:invertIfNegative val="0"/>
          <c:cat>
            <c:strRef>
              <c:f>'Summary 01'!$AX$456:$BB$456</c:f>
              <c:strCache>
                <c:ptCount val="2"/>
                <c:pt idx="0">
                  <c:v>FY 2018</c:v>
                </c:pt>
                <c:pt idx="1">
                  <c:v>FY 2019</c:v>
                </c:pt>
              </c:strCache>
            </c:strRef>
          </c:cat>
          <c:val>
            <c:numRef>
              <c:f>'Summary 01'!$AX$458:$BB$458</c:f>
              <c:numCache>
                <c:formatCode>_(* #,##0_);_(* \(#,##0\);_(* "-"??_);_(@_)</c:formatCode>
                <c:ptCount val="5"/>
                <c:pt idx="0">
                  <c:v>161023.36014485304</c:v>
                </c:pt>
                <c:pt idx="1">
                  <c:v>276109.74678084836</c:v>
                </c:pt>
              </c:numCache>
            </c:numRef>
          </c:val>
          <c:extLst xmlns:c16r2="http://schemas.microsoft.com/office/drawing/2015/06/chart">
            <c:ext xmlns:c16="http://schemas.microsoft.com/office/drawing/2014/chart" uri="{C3380CC4-5D6E-409C-BE32-E72D297353CC}">
              <c16:uniqueId val="{00000008-5989-485A-A357-56E7043B9C85}"/>
            </c:ext>
          </c:extLst>
        </c:ser>
        <c:ser>
          <c:idx val="0"/>
          <c:order val="9"/>
          <c:tx>
            <c:strRef>
              <c:f>'Summary 01'!$AW$457</c:f>
              <c:strCache>
                <c:ptCount val="1"/>
                <c:pt idx="0">
                  <c:v>Desktops</c:v>
                </c:pt>
              </c:strCache>
            </c:strRef>
          </c:tx>
          <c:spPr>
            <a:solidFill>
              <a:schemeClr val="accent1"/>
            </a:solidFill>
            <a:ln>
              <a:noFill/>
            </a:ln>
            <a:effectLst/>
          </c:spPr>
          <c:invertIfNegative val="0"/>
          <c:cat>
            <c:strRef>
              <c:f>'Summary 01'!$AX$456:$BB$456</c:f>
              <c:strCache>
                <c:ptCount val="2"/>
                <c:pt idx="0">
                  <c:v>FY 2018</c:v>
                </c:pt>
                <c:pt idx="1">
                  <c:v>FY 2019</c:v>
                </c:pt>
              </c:strCache>
            </c:strRef>
          </c:cat>
          <c:val>
            <c:numRef>
              <c:f>'Summary 01'!$AX$457:$BB$457</c:f>
              <c:numCache>
                <c:formatCode>_(* #,##0_);_(* \(#,##0\);_(* "-"??_);_(@_)</c:formatCode>
                <c:ptCount val="5"/>
                <c:pt idx="0">
                  <c:v>220043.1639765643</c:v>
                </c:pt>
                <c:pt idx="1">
                  <c:v>278080.37757531548</c:v>
                </c:pt>
              </c:numCache>
            </c:numRef>
          </c:val>
          <c:extLst xmlns:c16r2="http://schemas.microsoft.com/office/drawing/2015/06/chart">
            <c:ext xmlns:c16="http://schemas.microsoft.com/office/drawing/2014/chart" uri="{C3380CC4-5D6E-409C-BE32-E72D297353CC}">
              <c16:uniqueId val="{00000009-5989-485A-A357-56E7043B9C85}"/>
            </c:ext>
          </c:extLst>
        </c:ser>
        <c:dLbls>
          <c:showLegendKey val="0"/>
          <c:showVal val="0"/>
          <c:showCatName val="0"/>
          <c:showSerName val="0"/>
          <c:showPercent val="0"/>
          <c:showBubbleSize val="0"/>
        </c:dLbls>
        <c:gapWidth val="95"/>
        <c:overlap val="100"/>
        <c:axId val="292792192"/>
        <c:axId val="292793728"/>
      </c:barChart>
      <c:catAx>
        <c:axId val="292792192"/>
        <c:scaling>
          <c:orientation val="minMax"/>
        </c:scaling>
        <c:delete val="0"/>
        <c:axPos val="b"/>
        <c:numFmt formatCode="General" sourceLinked="0"/>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2793728"/>
        <c:crosses val="autoZero"/>
        <c:auto val="1"/>
        <c:lblAlgn val="ctr"/>
        <c:lblOffset val="100"/>
        <c:noMultiLvlLbl val="0"/>
      </c:catAx>
      <c:valAx>
        <c:axId val="292793728"/>
        <c:scaling>
          <c:orientation val="minMax"/>
        </c:scaling>
        <c:delete val="0"/>
        <c:axPos val="l"/>
        <c:majorGridlines>
          <c:spPr>
            <a:ln w="9525" cap="flat" cmpd="sng" algn="ctr">
              <a:solidFill>
                <a:schemeClr val="bg1">
                  <a:lumMod val="75000"/>
                </a:schemeClr>
              </a:solidFill>
              <a:prstDash val="sysDot"/>
              <a:round/>
            </a:ln>
            <a:effectLst/>
          </c:spPr>
        </c:majorGridlines>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2792192"/>
        <c:crosses val="autoZero"/>
        <c:crossBetween val="between"/>
      </c:valAx>
      <c:spPr>
        <a:solidFill>
          <a:schemeClr val="bg1"/>
        </a:solidFill>
        <a:ln>
          <a:noFill/>
        </a:ln>
        <a:effectLst/>
      </c:spPr>
    </c:plotArea>
    <c:legend>
      <c:legendPos val="r"/>
      <c:layout>
        <c:manualLayout>
          <c:xMode val="edge"/>
          <c:yMode val="edge"/>
          <c:x val="0.76665748738166317"/>
          <c:y val="3.2181758530183735E-2"/>
          <c:w val="0.22795789739679292"/>
          <c:h val="0.863414260717410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legend>
    <c:plotVisOnly val="0"/>
    <c:dispBlanksAs val="gap"/>
    <c:showDLblsOverMax val="0"/>
  </c:chart>
  <c:spPr>
    <a:solidFill>
      <a:schemeClr val="bg1"/>
    </a:solidFill>
    <a:ln w="9525" cap="flat" cmpd="sng" algn="ctr">
      <a:noFill/>
      <a:prstDash val="solid"/>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407548141156861E-2"/>
          <c:y val="3.0840332458442695E-2"/>
          <c:w val="0.63930568425280587"/>
          <c:h val="0.86996041119860013"/>
        </c:manualLayout>
      </c:layout>
      <c:barChart>
        <c:barDir val="col"/>
        <c:grouping val="stacked"/>
        <c:varyColors val="0"/>
        <c:ser>
          <c:idx val="9"/>
          <c:order val="0"/>
          <c:tx>
            <c:strRef>
              <c:f>'Summary 01'!$AW$479</c:f>
              <c:strCache>
                <c:ptCount val="1"/>
                <c:pt idx="0">
                  <c:v>License Fees</c:v>
                </c:pt>
              </c:strCache>
            </c:strRef>
          </c:tx>
          <c:spPr>
            <a:solidFill>
              <a:schemeClr val="accent4">
                <a:lumMod val="60000"/>
              </a:schemeClr>
            </a:solidFill>
            <a:ln>
              <a:noFill/>
            </a:ln>
            <a:effectLst/>
          </c:spPr>
          <c:invertIfNegative val="0"/>
          <c:cat>
            <c:strRef>
              <c:f>'Summary 01'!$AX$469:$BB$469</c:f>
              <c:strCache>
                <c:ptCount val="2"/>
                <c:pt idx="0">
                  <c:v>FY 2018</c:v>
                </c:pt>
                <c:pt idx="1">
                  <c:v>FY 2019</c:v>
                </c:pt>
              </c:strCache>
            </c:strRef>
          </c:cat>
          <c:val>
            <c:numRef>
              <c:f>'Summary 01'!$AX$479:$BB$479</c:f>
              <c:numCache>
                <c:formatCode>_(* #,##0_);_(* \(#,##0\);_(* "-"??_);_(@_)</c:formatCode>
                <c:ptCount val="5"/>
                <c:pt idx="0">
                  <c:v>98409.637928925091</c:v>
                </c:pt>
                <c:pt idx="1">
                  <c:v>392807.66157317389</c:v>
                </c:pt>
              </c:numCache>
            </c:numRef>
          </c:val>
          <c:extLst xmlns:c16r2="http://schemas.microsoft.com/office/drawing/2015/06/chart">
            <c:ext xmlns:c16="http://schemas.microsoft.com/office/drawing/2014/chart" uri="{C3380CC4-5D6E-409C-BE32-E72D297353CC}">
              <c16:uniqueId val="{00000000-9423-4230-9DB8-E6AE4B04FD28}"/>
            </c:ext>
          </c:extLst>
        </c:ser>
        <c:ser>
          <c:idx val="8"/>
          <c:order val="1"/>
          <c:tx>
            <c:strRef>
              <c:f>'Summary 01'!$AW$478</c:f>
              <c:strCache>
                <c:ptCount val="1"/>
                <c:pt idx="0">
                  <c:v>Spare Parts</c:v>
                </c:pt>
              </c:strCache>
            </c:strRef>
          </c:tx>
          <c:spPr>
            <a:solidFill>
              <a:schemeClr val="accent3">
                <a:lumMod val="60000"/>
              </a:schemeClr>
            </a:solidFill>
            <a:ln>
              <a:noFill/>
            </a:ln>
            <a:effectLst/>
          </c:spPr>
          <c:invertIfNegative val="0"/>
          <c:cat>
            <c:strRef>
              <c:f>'Summary 01'!$AX$469:$BB$469</c:f>
              <c:strCache>
                <c:ptCount val="2"/>
                <c:pt idx="0">
                  <c:v>FY 2018</c:v>
                </c:pt>
                <c:pt idx="1">
                  <c:v>FY 2019</c:v>
                </c:pt>
              </c:strCache>
            </c:strRef>
          </c:cat>
          <c:val>
            <c:numRef>
              <c:f>'Summary 01'!$AX$478:$BB$478</c:f>
              <c:numCache>
                <c:formatCode>_(* #,##0_);_(* \(#,##0\);_(* "-"??_);_(@_)</c:formatCode>
                <c:ptCount val="5"/>
                <c:pt idx="0">
                  <c:v>20520.459005858938</c:v>
                </c:pt>
                <c:pt idx="1">
                  <c:v>25195.738939504459</c:v>
                </c:pt>
              </c:numCache>
            </c:numRef>
          </c:val>
          <c:extLst xmlns:c16r2="http://schemas.microsoft.com/office/drawing/2015/06/chart">
            <c:ext xmlns:c16="http://schemas.microsoft.com/office/drawing/2014/chart" uri="{C3380CC4-5D6E-409C-BE32-E72D297353CC}">
              <c16:uniqueId val="{00000001-9423-4230-9DB8-E6AE4B04FD28}"/>
            </c:ext>
          </c:extLst>
        </c:ser>
        <c:ser>
          <c:idx val="7"/>
          <c:order val="2"/>
          <c:tx>
            <c:strRef>
              <c:f>'Summary 01'!$AW$477</c:f>
              <c:strCache>
                <c:ptCount val="1"/>
                <c:pt idx="0">
                  <c:v>Consulting Services</c:v>
                </c:pt>
              </c:strCache>
            </c:strRef>
          </c:tx>
          <c:spPr>
            <a:solidFill>
              <a:schemeClr val="accent2">
                <a:lumMod val="60000"/>
              </a:schemeClr>
            </a:solidFill>
            <a:ln>
              <a:noFill/>
            </a:ln>
            <a:effectLst/>
          </c:spPr>
          <c:invertIfNegative val="0"/>
          <c:cat>
            <c:strRef>
              <c:f>'Summary 01'!$AX$469:$BB$469</c:f>
              <c:strCache>
                <c:ptCount val="2"/>
                <c:pt idx="0">
                  <c:v>FY 2018</c:v>
                </c:pt>
                <c:pt idx="1">
                  <c:v>FY 2019</c:v>
                </c:pt>
              </c:strCache>
            </c:strRef>
          </c:cat>
          <c:val>
            <c:numRef>
              <c:f>'Summary 01'!$AX$477:$BB$477</c:f>
              <c:numCache>
                <c:formatCode>_(* #,##0_);_(* \(#,##0\);_(* "-"??_);_(@_)</c:formatCode>
                <c:ptCount val="5"/>
                <c:pt idx="0">
                  <c:v>160880.87387959578</c:v>
                </c:pt>
                <c:pt idx="1">
                  <c:v>237243.82937446731</c:v>
                </c:pt>
              </c:numCache>
            </c:numRef>
          </c:val>
          <c:extLst xmlns:c16r2="http://schemas.microsoft.com/office/drawing/2015/06/chart">
            <c:ext xmlns:c16="http://schemas.microsoft.com/office/drawing/2014/chart" uri="{C3380CC4-5D6E-409C-BE32-E72D297353CC}">
              <c16:uniqueId val="{00000002-9423-4230-9DB8-E6AE4B04FD28}"/>
            </c:ext>
          </c:extLst>
        </c:ser>
        <c:ser>
          <c:idx val="6"/>
          <c:order val="3"/>
          <c:tx>
            <c:strRef>
              <c:f>'Summary 01'!$AW$476</c:f>
              <c:strCache>
                <c:ptCount val="1"/>
                <c:pt idx="0">
                  <c:v>Integration Services</c:v>
                </c:pt>
              </c:strCache>
            </c:strRef>
          </c:tx>
          <c:spPr>
            <a:solidFill>
              <a:schemeClr val="accent1">
                <a:lumMod val="60000"/>
              </a:schemeClr>
            </a:solidFill>
            <a:ln>
              <a:noFill/>
            </a:ln>
            <a:effectLst/>
          </c:spPr>
          <c:invertIfNegative val="0"/>
          <c:cat>
            <c:strRef>
              <c:f>'Summary 01'!$AX$469:$BB$469</c:f>
              <c:strCache>
                <c:ptCount val="2"/>
                <c:pt idx="0">
                  <c:v>FY 2018</c:v>
                </c:pt>
                <c:pt idx="1">
                  <c:v>FY 2019</c:v>
                </c:pt>
              </c:strCache>
            </c:strRef>
          </c:cat>
          <c:val>
            <c:numRef>
              <c:f>'Summary 01'!$AX$476:$BB$476</c:f>
              <c:numCache>
                <c:formatCode>_(* #,##0_);_(* \(#,##0\);_(* "-"??_);_(@_)</c:formatCode>
                <c:ptCount val="5"/>
                <c:pt idx="0">
                  <c:v>152676.01263792941</c:v>
                </c:pt>
                <c:pt idx="1">
                  <c:v>222582.35146593218</c:v>
                </c:pt>
              </c:numCache>
            </c:numRef>
          </c:val>
          <c:extLst xmlns:c16r2="http://schemas.microsoft.com/office/drawing/2015/06/chart">
            <c:ext xmlns:c16="http://schemas.microsoft.com/office/drawing/2014/chart" uri="{C3380CC4-5D6E-409C-BE32-E72D297353CC}">
              <c16:uniqueId val="{00000003-9423-4230-9DB8-E6AE4B04FD28}"/>
            </c:ext>
          </c:extLst>
        </c:ser>
        <c:ser>
          <c:idx val="5"/>
          <c:order val="4"/>
          <c:tx>
            <c:strRef>
              <c:f>'Summary 01'!$AW$475</c:f>
              <c:strCache>
                <c:ptCount val="1"/>
                <c:pt idx="0">
                  <c:v>Repair Services</c:v>
                </c:pt>
              </c:strCache>
            </c:strRef>
          </c:tx>
          <c:spPr>
            <a:solidFill>
              <a:schemeClr val="accent6"/>
            </a:solidFill>
            <a:ln>
              <a:noFill/>
            </a:ln>
            <a:effectLst/>
          </c:spPr>
          <c:invertIfNegative val="0"/>
          <c:cat>
            <c:strRef>
              <c:f>'Summary 01'!$AX$469:$BB$469</c:f>
              <c:strCache>
                <c:ptCount val="2"/>
                <c:pt idx="0">
                  <c:v>FY 2018</c:v>
                </c:pt>
                <c:pt idx="1">
                  <c:v>FY 2019</c:v>
                </c:pt>
              </c:strCache>
            </c:strRef>
          </c:cat>
          <c:val>
            <c:numRef>
              <c:f>'Summary 01'!$AX$475:$BB$475</c:f>
              <c:numCache>
                <c:formatCode>_(* #,##0_);_(* \(#,##0\);_(* "-"??_);_(@_)</c:formatCode>
                <c:ptCount val="5"/>
                <c:pt idx="0">
                  <c:v>25058.984689969584</c:v>
                </c:pt>
                <c:pt idx="1">
                  <c:v>15180.172909847286</c:v>
                </c:pt>
              </c:numCache>
            </c:numRef>
          </c:val>
          <c:extLst xmlns:c16r2="http://schemas.microsoft.com/office/drawing/2015/06/chart">
            <c:ext xmlns:c16="http://schemas.microsoft.com/office/drawing/2014/chart" uri="{C3380CC4-5D6E-409C-BE32-E72D297353CC}">
              <c16:uniqueId val="{00000004-9423-4230-9DB8-E6AE4B04FD28}"/>
            </c:ext>
          </c:extLst>
        </c:ser>
        <c:ser>
          <c:idx val="4"/>
          <c:order val="5"/>
          <c:tx>
            <c:strRef>
              <c:f>'Summary 01'!$AW$474</c:f>
              <c:strCache>
                <c:ptCount val="1"/>
                <c:pt idx="0">
                  <c:v>Net work infrastructure solutions</c:v>
                </c:pt>
              </c:strCache>
            </c:strRef>
          </c:tx>
          <c:spPr>
            <a:solidFill>
              <a:schemeClr val="accent5"/>
            </a:solidFill>
            <a:ln>
              <a:noFill/>
            </a:ln>
            <a:effectLst/>
          </c:spPr>
          <c:invertIfNegative val="0"/>
          <c:cat>
            <c:strRef>
              <c:f>'Summary 01'!$AX$469:$BB$469</c:f>
              <c:strCache>
                <c:ptCount val="2"/>
                <c:pt idx="0">
                  <c:v>FY 2018</c:v>
                </c:pt>
                <c:pt idx="1">
                  <c:v>FY 2019</c:v>
                </c:pt>
              </c:strCache>
            </c:strRef>
          </c:cat>
          <c:val>
            <c:numRef>
              <c:f>'Summary 01'!$AX$474:$BB$474</c:f>
              <c:numCache>
                <c:formatCode>_(* #,##0_);_(* \(#,##0\);_(* "-"??_);_(@_)</c:formatCode>
                <c:ptCount val="5"/>
                <c:pt idx="0">
                  <c:v>29969.003159482352</c:v>
                </c:pt>
                <c:pt idx="1">
                  <c:v>44954.681232471703</c:v>
                </c:pt>
              </c:numCache>
            </c:numRef>
          </c:val>
          <c:extLst xmlns:c16r2="http://schemas.microsoft.com/office/drawing/2015/06/chart">
            <c:ext xmlns:c16="http://schemas.microsoft.com/office/drawing/2014/chart" uri="{C3380CC4-5D6E-409C-BE32-E72D297353CC}">
              <c16:uniqueId val="{00000005-9423-4230-9DB8-E6AE4B04FD28}"/>
            </c:ext>
          </c:extLst>
        </c:ser>
        <c:ser>
          <c:idx val="3"/>
          <c:order val="6"/>
          <c:tx>
            <c:strRef>
              <c:f>'Summary 01'!$AW$473</c:f>
              <c:strCache>
                <c:ptCount val="1"/>
                <c:pt idx="0">
                  <c:v>Software Products</c:v>
                </c:pt>
              </c:strCache>
            </c:strRef>
          </c:tx>
          <c:spPr>
            <a:solidFill>
              <a:schemeClr val="accent4"/>
            </a:solidFill>
            <a:ln>
              <a:noFill/>
            </a:ln>
            <a:effectLst/>
          </c:spPr>
          <c:invertIfNegative val="0"/>
          <c:cat>
            <c:strRef>
              <c:f>'Summary 01'!$AX$469:$BB$469</c:f>
              <c:strCache>
                <c:ptCount val="2"/>
                <c:pt idx="0">
                  <c:v>FY 2018</c:v>
                </c:pt>
                <c:pt idx="1">
                  <c:v>FY 2019</c:v>
                </c:pt>
              </c:strCache>
            </c:strRef>
          </c:cat>
          <c:val>
            <c:numRef>
              <c:f>'Summary 01'!$AX$473:$BB$473</c:f>
              <c:numCache>
                <c:formatCode>_(* #,##0_);_(* \(#,##0\);_(* "-"??_);_(@_)</c:formatCode>
                <c:ptCount val="5"/>
                <c:pt idx="0">
                  <c:v>11229.26330639053</c:v>
                </c:pt>
                <c:pt idx="1">
                  <c:v>14411.718322517598</c:v>
                </c:pt>
              </c:numCache>
            </c:numRef>
          </c:val>
          <c:extLst xmlns:c16r2="http://schemas.microsoft.com/office/drawing/2015/06/chart">
            <c:ext xmlns:c16="http://schemas.microsoft.com/office/drawing/2014/chart" uri="{C3380CC4-5D6E-409C-BE32-E72D297353CC}">
              <c16:uniqueId val="{00000006-9423-4230-9DB8-E6AE4B04FD28}"/>
            </c:ext>
          </c:extLst>
        </c:ser>
        <c:ser>
          <c:idx val="2"/>
          <c:order val="7"/>
          <c:tx>
            <c:strRef>
              <c:f>'Summary 01'!$AW$472</c:f>
              <c:strCache>
                <c:ptCount val="1"/>
                <c:pt idx="0">
                  <c:v>Notebooks</c:v>
                </c:pt>
              </c:strCache>
            </c:strRef>
          </c:tx>
          <c:spPr>
            <a:solidFill>
              <a:schemeClr val="accent3"/>
            </a:solidFill>
            <a:ln>
              <a:noFill/>
            </a:ln>
            <a:effectLst/>
          </c:spPr>
          <c:invertIfNegative val="0"/>
          <c:cat>
            <c:strRef>
              <c:f>'Summary 01'!$AX$469:$BB$469</c:f>
              <c:strCache>
                <c:ptCount val="2"/>
                <c:pt idx="0">
                  <c:v>FY 2018</c:v>
                </c:pt>
                <c:pt idx="1">
                  <c:v>FY 2019</c:v>
                </c:pt>
              </c:strCache>
            </c:strRef>
          </c:cat>
          <c:val>
            <c:numRef>
              <c:f>'Summary 01'!$AX$472:$BB$472</c:f>
              <c:numCache>
                <c:formatCode>_(* #,##0_);_(* \(#,##0\);_(* "-"??_);_(@_)</c:formatCode>
                <c:ptCount val="5"/>
                <c:pt idx="0">
                  <c:v>47329.575978512279</c:v>
                </c:pt>
                <c:pt idx="1">
                  <c:v>70504.137592134386</c:v>
                </c:pt>
              </c:numCache>
            </c:numRef>
          </c:val>
          <c:extLst xmlns:c16r2="http://schemas.microsoft.com/office/drawing/2015/06/chart">
            <c:ext xmlns:c16="http://schemas.microsoft.com/office/drawing/2014/chart" uri="{C3380CC4-5D6E-409C-BE32-E72D297353CC}">
              <c16:uniqueId val="{00000007-9423-4230-9DB8-E6AE4B04FD28}"/>
            </c:ext>
          </c:extLst>
        </c:ser>
        <c:ser>
          <c:idx val="1"/>
          <c:order val="8"/>
          <c:tx>
            <c:strRef>
              <c:f>'Summary 01'!$AW$471</c:f>
              <c:strCache>
                <c:ptCount val="1"/>
                <c:pt idx="0">
                  <c:v>Workstations</c:v>
                </c:pt>
              </c:strCache>
            </c:strRef>
          </c:tx>
          <c:spPr>
            <a:solidFill>
              <a:schemeClr val="accent2"/>
            </a:solidFill>
            <a:ln>
              <a:noFill/>
            </a:ln>
            <a:effectLst/>
          </c:spPr>
          <c:invertIfNegative val="0"/>
          <c:cat>
            <c:strRef>
              <c:f>'Summary 01'!$AX$469:$BB$469</c:f>
              <c:strCache>
                <c:ptCount val="2"/>
                <c:pt idx="0">
                  <c:v>FY 2018</c:v>
                </c:pt>
                <c:pt idx="1">
                  <c:v>FY 2019</c:v>
                </c:pt>
              </c:strCache>
            </c:strRef>
          </c:cat>
          <c:val>
            <c:numRef>
              <c:f>'Summary 01'!$AX$471:$BB$471</c:f>
              <c:numCache>
                <c:formatCode>_(* #,##0_);_(* \(#,##0\);_(* "-"??_);_(@_)</c:formatCode>
                <c:ptCount val="5"/>
                <c:pt idx="0">
                  <c:v>41376.639855146961</c:v>
                </c:pt>
                <c:pt idx="1">
                  <c:v>50490.253219151637</c:v>
                </c:pt>
              </c:numCache>
            </c:numRef>
          </c:val>
          <c:extLst xmlns:c16r2="http://schemas.microsoft.com/office/drawing/2015/06/chart">
            <c:ext xmlns:c16="http://schemas.microsoft.com/office/drawing/2014/chart" uri="{C3380CC4-5D6E-409C-BE32-E72D297353CC}">
              <c16:uniqueId val="{00000008-9423-4230-9DB8-E6AE4B04FD28}"/>
            </c:ext>
          </c:extLst>
        </c:ser>
        <c:ser>
          <c:idx val="0"/>
          <c:order val="9"/>
          <c:tx>
            <c:strRef>
              <c:f>'Summary 01'!$AW$470</c:f>
              <c:strCache>
                <c:ptCount val="1"/>
                <c:pt idx="0">
                  <c:v>Desktops</c:v>
                </c:pt>
              </c:strCache>
            </c:strRef>
          </c:tx>
          <c:spPr>
            <a:solidFill>
              <a:schemeClr val="accent1"/>
            </a:solidFill>
            <a:ln>
              <a:noFill/>
            </a:ln>
            <a:effectLst/>
          </c:spPr>
          <c:invertIfNegative val="0"/>
          <c:cat>
            <c:strRef>
              <c:f>'Summary 01'!$AX$469:$BB$469</c:f>
              <c:strCache>
                <c:ptCount val="2"/>
                <c:pt idx="0">
                  <c:v>FY 2018</c:v>
                </c:pt>
                <c:pt idx="1">
                  <c:v>FY 2019</c:v>
                </c:pt>
              </c:strCache>
            </c:strRef>
          </c:cat>
          <c:val>
            <c:numRef>
              <c:f>'Summary 01'!$AX$470:$BB$470</c:f>
              <c:numCache>
                <c:formatCode>_(* #,##0_);_(* \(#,##0\);_(* "-"??_);_(@_)</c:formatCode>
                <c:ptCount val="5"/>
                <c:pt idx="0">
                  <c:v>135256.8360234357</c:v>
                </c:pt>
                <c:pt idx="1">
                  <c:v>165219.62242468452</c:v>
                </c:pt>
              </c:numCache>
            </c:numRef>
          </c:val>
          <c:extLst xmlns:c16r2="http://schemas.microsoft.com/office/drawing/2015/06/chart">
            <c:ext xmlns:c16="http://schemas.microsoft.com/office/drawing/2014/chart" uri="{C3380CC4-5D6E-409C-BE32-E72D297353CC}">
              <c16:uniqueId val="{00000009-9423-4230-9DB8-E6AE4B04FD28}"/>
            </c:ext>
          </c:extLst>
        </c:ser>
        <c:dLbls>
          <c:showLegendKey val="0"/>
          <c:showVal val="0"/>
          <c:showCatName val="0"/>
          <c:showSerName val="0"/>
          <c:showPercent val="0"/>
          <c:showBubbleSize val="0"/>
        </c:dLbls>
        <c:gapWidth val="95"/>
        <c:overlap val="100"/>
        <c:axId val="292866304"/>
        <c:axId val="292872192"/>
      </c:barChart>
      <c:catAx>
        <c:axId val="292866304"/>
        <c:scaling>
          <c:orientation val="minMax"/>
        </c:scaling>
        <c:delete val="0"/>
        <c:axPos val="b"/>
        <c:numFmt formatCode="General" sourceLinked="0"/>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292872192"/>
        <c:crosses val="autoZero"/>
        <c:auto val="1"/>
        <c:lblAlgn val="ctr"/>
        <c:lblOffset val="100"/>
        <c:noMultiLvlLbl val="0"/>
      </c:catAx>
      <c:valAx>
        <c:axId val="292872192"/>
        <c:scaling>
          <c:orientation val="minMax"/>
        </c:scaling>
        <c:delete val="0"/>
        <c:axPos val="l"/>
        <c:majorGridlines>
          <c:spPr>
            <a:ln w="9525" cap="flat" cmpd="sng" algn="ctr">
              <a:solidFill>
                <a:schemeClr val="bg1">
                  <a:lumMod val="75000"/>
                </a:schemeClr>
              </a:solidFill>
              <a:prstDash val="sysDot"/>
              <a:round/>
            </a:ln>
            <a:effectLst/>
          </c:spPr>
        </c:majorGridlines>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mn-cs"/>
              </a:defRPr>
            </a:pPr>
            <a:endParaRPr lang="de-DE"/>
          </a:p>
        </c:txPr>
        <c:crossAx val="292866304"/>
        <c:crosses val="autoZero"/>
        <c:crossBetween val="between"/>
      </c:valAx>
      <c:spPr>
        <a:solidFill>
          <a:schemeClr val="bg1"/>
        </a:solidFill>
        <a:ln>
          <a:noFill/>
        </a:ln>
        <a:effectLst/>
      </c:spPr>
    </c:plotArea>
    <c:legend>
      <c:legendPos val="r"/>
      <c:layout>
        <c:manualLayout>
          <c:xMode val="edge"/>
          <c:yMode val="edge"/>
          <c:x val="0.76306774390063359"/>
          <c:y val="3.7737314085739299E-2"/>
          <c:w val="0.23154764087782231"/>
          <c:h val="0.857858705161854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legend>
    <c:plotVisOnly val="0"/>
    <c:dispBlanksAs val="gap"/>
    <c:showDLblsOverMax val="0"/>
  </c:chart>
  <c:spPr>
    <a:solidFill>
      <a:schemeClr val="bg1"/>
    </a:solidFill>
    <a:ln w="9525" cap="flat" cmpd="sng" algn="ctr">
      <a:noFill/>
      <a:prstDash val="solid"/>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hyperlink" Target="#'Full Version'!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hyperlink" Target="https://www.spreadsheet123.com/ExcelTemplates/excel-financial-model.html" TargetMode="Externa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jpeg"/><Relationship Id="rId1" Type="http://schemas.openxmlformats.org/officeDocument/2006/relationships/hyperlink" Target="http://www.protagen.de/" TargetMode="External"/><Relationship Id="rId4" Type="http://schemas.openxmlformats.org/officeDocument/2006/relationships/hyperlink" Target="#'Full Version'!A1"/></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2.png"/><Relationship Id="rId5" Type="http://schemas.openxmlformats.org/officeDocument/2006/relationships/chart" Target="../charts/chart5.xml"/><Relationship Id="rId10" Type="http://schemas.openxmlformats.org/officeDocument/2006/relationships/hyperlink" Target="#'Full Version'!A1"/><Relationship Id="rId4" Type="http://schemas.openxmlformats.org/officeDocument/2006/relationships/chart" Target="../charts/chart4.xml"/><Relationship Id="rId9"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hyperlink" Target="#'Full Version'!A1"/></Relationships>
</file>

<file path=xl/drawings/_rels/drawing7.xml.rels><?xml version="1.0" encoding="UTF-8" standalone="yes"?>
<Relationships xmlns="http://schemas.openxmlformats.org/package/2006/relationships"><Relationship Id="rId1" Type="http://schemas.openxmlformats.org/officeDocument/2006/relationships/hyperlink" Target="#'Full Version'!A1"/></Relationships>
</file>

<file path=xl/drawings/_rels/drawing8.xml.rels><?xml version="1.0" encoding="UTF-8" standalone="yes"?>
<Relationships xmlns="http://schemas.openxmlformats.org/package/2006/relationships"><Relationship Id="rId1" Type="http://schemas.openxmlformats.org/officeDocument/2006/relationships/hyperlink" Target="#'Full Version'!A1"/></Relationships>
</file>

<file path=xl/drawings/_rels/drawing9.xml.rels><?xml version="1.0" encoding="UTF-8" standalone="yes"?>
<Relationships xmlns="http://schemas.openxmlformats.org/package/2006/relationships"><Relationship Id="rId1" Type="http://schemas.openxmlformats.org/officeDocument/2006/relationships/hyperlink" Target="#'Full Version'!A1"/></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8</xdr:col>
      <xdr:colOff>32016</xdr:colOff>
      <xdr:row>1</xdr:row>
      <xdr:rowOff>134407</xdr:rowOff>
    </xdr:from>
    <xdr:to>
      <xdr:col>8</xdr:col>
      <xdr:colOff>32016</xdr:colOff>
      <xdr:row>5</xdr:row>
      <xdr:rowOff>57150</xdr:rowOff>
    </xdr:to>
    <xdr:pic>
      <xdr:nvPicPr>
        <xdr:cNvPr id="2" name="Grafik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463" t="23521" r="13561" b="29208"/>
        <a:stretch/>
      </xdr:blipFill>
      <xdr:spPr>
        <a:xfrm>
          <a:off x="4994541" y="334432"/>
          <a:ext cx="0" cy="1361018"/>
        </a:xfrm>
        <a:prstGeom prst="rect">
          <a:avLst/>
        </a:prstGeom>
      </xdr:spPr>
    </xdr:pic>
    <xdr:clientData/>
  </xdr:twoCellAnchor>
  <xdr:twoCellAnchor>
    <xdr:from>
      <xdr:col>2</xdr:col>
      <xdr:colOff>0</xdr:colOff>
      <xdr:row>18</xdr:row>
      <xdr:rowOff>0</xdr:rowOff>
    </xdr:from>
    <xdr:to>
      <xdr:col>12</xdr:col>
      <xdr:colOff>0</xdr:colOff>
      <xdr:row>48</xdr:row>
      <xdr:rowOff>0</xdr:rowOff>
    </xdr:to>
    <xdr:sp macro="" textlink="">
      <xdr:nvSpPr>
        <xdr:cNvPr id="3" name="TextBox 4"/>
        <xdr:cNvSpPr txBox="1"/>
      </xdr:nvSpPr>
      <xdr:spPr>
        <a:xfrm>
          <a:off x="389283" y="4041913"/>
          <a:ext cx="7620000" cy="552450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AU" sz="2000" i="1">
              <a:solidFill>
                <a:schemeClr val="tx1">
                  <a:lumMod val="75000"/>
                  <a:lumOff val="25000"/>
                </a:schemeClr>
              </a:solidFill>
              <a:latin typeface="+mn-lt"/>
              <a:cs typeface="Arial" pitchFamily="34" charset="0"/>
            </a:rPr>
            <a:t>Please read before using this Software</a:t>
          </a:r>
          <a:endParaRPr lang="en-AU" sz="2000" i="1" baseline="0">
            <a:solidFill>
              <a:schemeClr val="tx1">
                <a:lumMod val="75000"/>
                <a:lumOff val="25000"/>
              </a:schemeClr>
            </a:solidFill>
            <a:latin typeface="+mn-lt"/>
            <a:cs typeface="Arial" pitchFamily="34" charset="0"/>
          </a:endParaRPr>
        </a:p>
        <a:p>
          <a:endParaRPr lang="en-AU" sz="1000" baseline="0">
            <a:solidFill>
              <a:schemeClr val="tx1">
                <a:lumMod val="75000"/>
                <a:lumOff val="25000"/>
              </a:schemeClr>
            </a:solidFill>
            <a:latin typeface="+mn-lt"/>
            <a:cs typeface="Arial" pitchFamily="34" charset="0"/>
          </a:endParaRPr>
        </a:p>
        <a:p>
          <a:r>
            <a:rPr lang="de-DE" sz="1100" b="1" baseline="0">
              <a:solidFill>
                <a:srgbClr val="313D72"/>
              </a:solidFill>
              <a:latin typeface="+mn-lt"/>
              <a:ea typeface="+mn-ea"/>
              <a:cs typeface="Arial" pitchFamily="34" charset="0"/>
            </a:rPr>
            <a:t>LEGAL DISCLAIMER</a:t>
          </a:r>
        </a:p>
        <a:p>
          <a:r>
            <a:rPr lang="en-US" sz="1000" baseline="0">
              <a:solidFill>
                <a:schemeClr val="dk1"/>
              </a:solidFill>
              <a:effectLst/>
              <a:latin typeface="+mn-lt"/>
              <a:ea typeface="+mn-ea"/>
              <a:cs typeface="+mn-cs"/>
            </a:rPr>
            <a:t>No information contained in this Software (as defined below) or obtained from Smart Cap GmbH or Fimovi should be considered as financial, investment, accounting or tax advice, nor should it be considered a substitute for such advice.</a:t>
          </a:r>
        </a:p>
        <a:p>
          <a:r>
            <a:rPr lang="en-US" sz="1000" baseline="0">
              <a:solidFill>
                <a:schemeClr val="dk1"/>
              </a:solidFill>
              <a:effectLst/>
              <a:latin typeface="+mn-lt"/>
              <a:ea typeface="+mn-ea"/>
              <a:cs typeface="+mn-cs"/>
            </a:rPr>
            <a:t>This Software is supplied under a license agreement and may be used only in accordance with the terms of such licence agreement which is set out below. The use of this Software is conditional upon the irrevocable and constant compliance by the user with the terms and conditions of the licence agreement.</a:t>
          </a:r>
        </a:p>
        <a:p>
          <a:endParaRPr lang="de-DE" sz="1000" baseline="0">
            <a:solidFill>
              <a:schemeClr val="dk1"/>
            </a:solidFill>
            <a:effectLst/>
            <a:latin typeface="+mn-lt"/>
            <a:ea typeface="+mn-ea"/>
            <a:cs typeface="+mn-cs"/>
          </a:endParaRPr>
        </a:p>
        <a:p>
          <a:r>
            <a:rPr lang="en-US" sz="1100" b="1" baseline="0">
              <a:solidFill>
                <a:srgbClr val="313D72"/>
              </a:solidFill>
              <a:latin typeface="+mn-lt"/>
              <a:ea typeface="+mn-ea"/>
              <a:cs typeface="Arial" pitchFamily="34" charset="0"/>
            </a:rPr>
            <a:t>LICENSE  AGREEMENT</a:t>
          </a:r>
          <a:endParaRPr lang="de-DE" sz="1100" b="1" baseline="0">
            <a:solidFill>
              <a:srgbClr val="313D72"/>
            </a:solidFill>
            <a:latin typeface="+mn-lt"/>
            <a:ea typeface="+mn-ea"/>
            <a:cs typeface="Arial" pitchFamily="34" charset="0"/>
          </a:endParaRPr>
        </a:p>
        <a:p>
          <a:r>
            <a:rPr lang="en-US" sz="1000" b="1">
              <a:solidFill>
                <a:schemeClr val="dk1"/>
              </a:solidFill>
              <a:effectLst/>
              <a:latin typeface="+mn-lt"/>
              <a:ea typeface="+mn-ea"/>
              <a:cs typeface="+mn-cs"/>
            </a:rPr>
            <a:t>Application:</a:t>
          </a:r>
          <a:r>
            <a:rPr lang="en-US" sz="1000">
              <a:solidFill>
                <a:schemeClr val="dk1"/>
              </a:solidFill>
              <a:effectLst/>
              <a:latin typeface="+mn-lt"/>
              <a:ea typeface="+mn-ea"/>
              <a:cs typeface="+mn-cs"/>
            </a:rPr>
            <a:t> This agreement applies to the commercial or registered/upgraded version of Excel-Financial-Model (also referred to as “EFM” or “Software”), comprising workbook, related files and supporting documentation.</a:t>
          </a:r>
        </a:p>
        <a:p>
          <a:r>
            <a:rPr lang="en-US" sz="1000" b="1">
              <a:solidFill>
                <a:schemeClr val="dk1"/>
              </a:solidFill>
              <a:effectLst/>
              <a:latin typeface="+mn-lt"/>
              <a:ea typeface="+mn-ea"/>
              <a:cs typeface="+mn-cs"/>
            </a:rPr>
            <a:t>License grant:</a:t>
          </a:r>
          <a:r>
            <a:rPr lang="en-US" sz="1000">
              <a:solidFill>
                <a:schemeClr val="dk1"/>
              </a:solidFill>
              <a:effectLst/>
              <a:latin typeface="+mn-lt"/>
              <a:ea typeface="+mn-ea"/>
              <a:cs typeface="+mn-cs"/>
            </a:rPr>
            <a:t> Smart Cap GmbH grants registered users, i.e. a company, entity or individual, a license to use this Software on any compatible hardware product (PC, notebook, smartphone, tablet), to which the registered user has exclusive or primary access. “Use” means storing, loading, installing, executing or displaying the Software.</a:t>
          </a:r>
        </a:p>
        <a:p>
          <a:r>
            <a:rPr lang="en-US" sz="1000" b="1">
              <a:solidFill>
                <a:schemeClr val="dk1"/>
              </a:solidFill>
              <a:effectLst/>
              <a:latin typeface="+mn-lt"/>
              <a:ea typeface="+mn-ea"/>
              <a:cs typeface="+mn-cs"/>
            </a:rPr>
            <a:t>Ownership:</a:t>
          </a:r>
          <a:r>
            <a:rPr lang="en-US" sz="1000">
              <a:solidFill>
                <a:schemeClr val="dk1"/>
              </a:solidFill>
              <a:effectLst/>
              <a:latin typeface="+mn-lt"/>
              <a:ea typeface="+mn-ea"/>
              <a:cs typeface="+mn-cs"/>
            </a:rPr>
            <a:t> The Software is owned and copyrighted by Smart Cap GmbH. The granted license confers no title or ownership in the Software and should not be construed as a sale of any right in the Software. This license is not transferable to any other company, entity or individual.</a:t>
          </a:r>
        </a:p>
        <a:p>
          <a:r>
            <a:rPr lang="en-US" sz="1000" b="1">
              <a:solidFill>
                <a:schemeClr val="dk1"/>
              </a:solidFill>
              <a:effectLst/>
              <a:latin typeface="+mn-lt"/>
              <a:ea typeface="+mn-ea"/>
              <a:cs typeface="+mn-cs"/>
            </a:rPr>
            <a:t>Copyright:</a:t>
          </a:r>
          <a:r>
            <a:rPr lang="en-US" sz="1000">
              <a:solidFill>
                <a:schemeClr val="dk1"/>
              </a:solidFill>
              <a:effectLst/>
              <a:latin typeface="+mn-lt"/>
              <a:ea typeface="+mn-ea"/>
              <a:cs typeface="+mn-cs"/>
            </a:rPr>
            <a:t> The Software is protected by copyright law. You unconditionally and irrevocably acknowledge that no title to the intellectual property in the Software is transferred to you. You further unconditionally and irrevocably acknowledge that title and full ownership rights to the Software will remain the exclusive property of Smart Cap GmbH and you will not acquire any rights to the Software except as expressly set forth in this license agreement. You agree that any copies of the Software will contain the same proprietary notices which appear on and in the Software.</a:t>
          </a:r>
        </a:p>
        <a:p>
          <a:r>
            <a:rPr lang="en-US" sz="1000" b="1">
              <a:solidFill>
                <a:schemeClr val="dk1"/>
              </a:solidFill>
              <a:effectLst/>
              <a:latin typeface="+mn-lt"/>
              <a:ea typeface="+mn-ea"/>
              <a:cs typeface="+mn-cs"/>
            </a:rPr>
            <a:t>Unauthorized Use:</a:t>
          </a:r>
          <a:r>
            <a:rPr lang="en-US" sz="1000">
              <a:solidFill>
                <a:schemeClr val="dk1"/>
              </a:solidFill>
              <a:effectLst/>
              <a:latin typeface="+mn-lt"/>
              <a:ea typeface="+mn-ea"/>
              <a:cs typeface="+mn-cs"/>
            </a:rPr>
            <a:t> You may not modify the Software or disable any licensing or control features of the Software. You may not use, copy, rent, lease, sell, modify, decompile, disassemble, otherwise reverse engineer, or transfer the Software except as provided in this license agreement. Any such unauthorized use shall result in the immediate and automatic termination of this license agreement. Most specifically, the Software's worksheet (“Fimovi”) and VBA routines must not be altered under any circumstances. The Software can be copied by a registered user for backup purposes and for the purpose of creating additional sets of projections.</a:t>
          </a:r>
        </a:p>
        <a:p>
          <a:r>
            <a:rPr lang="en-US" sz="1000" b="1">
              <a:solidFill>
                <a:schemeClr val="dk1"/>
              </a:solidFill>
              <a:effectLst/>
              <a:latin typeface="+mn-lt"/>
              <a:ea typeface="+mn-ea"/>
              <a:cs typeface="+mn-cs"/>
            </a:rPr>
            <a:t>Limited Warranty:</a:t>
          </a:r>
          <a:r>
            <a:rPr lang="en-US" sz="1000">
              <a:solidFill>
                <a:schemeClr val="dk1"/>
              </a:solidFill>
              <a:effectLst/>
              <a:latin typeface="+mn-lt"/>
              <a:ea typeface="+mn-ea"/>
              <a:cs typeface="+mn-cs"/>
            </a:rPr>
            <a:t> This software is provided on an “as is” basis. Smart Cap GmbH disclaims all warranties relating to this software, whether expressed or implied, including but not limited to any implied warranties of merchantability or fitness for a particular purpose. Neither Smart Cap nor anyone else who has been involved in the creation, production or delivery of this software shall be liable for any indirect, consequential or incidental damages arising out of the use or inability to use such software, even if Smart Cap GmbH has been advised of the possibility of such damages or claims. The person using the software bears all risk as to the quality and performance of the software. In no event shall any theory of liability exceed the license fee paid to Smart Cap GmbH.</a:t>
          </a:r>
        </a:p>
        <a:p>
          <a:r>
            <a:rPr lang="en-US" sz="1000" b="1">
              <a:solidFill>
                <a:schemeClr val="dk1"/>
              </a:solidFill>
              <a:effectLst/>
              <a:latin typeface="+mn-lt"/>
              <a:ea typeface="+mn-ea"/>
              <a:cs typeface="+mn-cs"/>
            </a:rPr>
            <a:t>Reserved Rights:</a:t>
          </a:r>
          <a:r>
            <a:rPr lang="en-US" sz="1000">
              <a:solidFill>
                <a:schemeClr val="dk1"/>
              </a:solidFill>
              <a:effectLst/>
              <a:latin typeface="+mn-lt"/>
              <a:ea typeface="+mn-ea"/>
              <a:cs typeface="+mn-cs"/>
            </a:rPr>
            <a:t> All rights not expressly granted here are reserved to Smart Cap GmbH.</a:t>
          </a:r>
        </a:p>
      </xdr:txBody>
    </xdr:sp>
    <xdr:clientData/>
  </xdr:twoCellAnchor>
  <xdr:twoCellAnchor>
    <xdr:from>
      <xdr:col>2</xdr:col>
      <xdr:colOff>0</xdr:colOff>
      <xdr:row>51</xdr:row>
      <xdr:rowOff>0</xdr:rowOff>
    </xdr:from>
    <xdr:to>
      <xdr:col>12</xdr:col>
      <xdr:colOff>0</xdr:colOff>
      <xdr:row>63</xdr:row>
      <xdr:rowOff>0</xdr:rowOff>
    </xdr:to>
    <xdr:sp macro="" textlink="">
      <xdr:nvSpPr>
        <xdr:cNvPr id="4" name="TextBox 4"/>
        <xdr:cNvSpPr txBox="1"/>
      </xdr:nvSpPr>
      <xdr:spPr>
        <a:xfrm>
          <a:off x="389283" y="10692848"/>
          <a:ext cx="7620000" cy="209550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AU" sz="1100" b="1" baseline="0">
              <a:solidFill>
                <a:srgbClr val="313D72"/>
              </a:solidFill>
              <a:latin typeface="+mn-lt"/>
              <a:ea typeface="+mn-ea"/>
              <a:cs typeface="Arial" pitchFamily="34" charset="0"/>
            </a:rPr>
            <a:t>COMPANY  PROFILE</a:t>
          </a:r>
          <a:endParaRPr lang="de-DE" sz="1100" b="1" baseline="0">
            <a:solidFill>
              <a:srgbClr val="313D72"/>
            </a:solidFill>
            <a:latin typeface="+mn-lt"/>
            <a:ea typeface="+mn-ea"/>
            <a:cs typeface="Arial" pitchFamily="34" charset="0"/>
          </a:endParaRPr>
        </a:p>
        <a:p>
          <a:r>
            <a:rPr lang="de-DE" sz="1000">
              <a:solidFill>
                <a:schemeClr val="tx1"/>
              </a:solidFill>
              <a:effectLst/>
              <a:latin typeface="+mn-lt"/>
              <a:ea typeface="+mn-ea"/>
              <a:cs typeface="+mn-cs"/>
            </a:rPr>
            <a:t>Financial Modelling Videos enables its customers to develop flexible and robust financial plans and cash flow models using Excel. The Germany based company provides a broad range of financial modelling related services for clients across many industry sectors.</a:t>
          </a:r>
        </a:p>
        <a:p>
          <a:r>
            <a:rPr lang="de-DE" sz="1000">
              <a:solidFill>
                <a:schemeClr val="tx1"/>
              </a:solidFill>
              <a:effectLst/>
              <a:latin typeface="+mn-lt"/>
              <a:ea typeface="+mn-ea"/>
              <a:cs typeface="+mn-cs"/>
            </a:rPr>
            <a:t>Our financial modelling video training courses are “hands-on” with users learning concepts by building Excel financial models from scratch.</a:t>
          </a:r>
        </a:p>
        <a:p>
          <a:r>
            <a:rPr lang="de-DE" sz="1000">
              <a:solidFill>
                <a:schemeClr val="tx1"/>
              </a:solidFill>
              <a:effectLst/>
              <a:latin typeface="+mn-lt"/>
              <a:ea typeface="+mn-ea"/>
              <a:cs typeface="+mn-cs"/>
            </a:rPr>
            <a:t>Our templates and excel tools are designed and built to be flexible, future proof, robust and user‐friendly.</a:t>
          </a:r>
        </a:p>
        <a:p>
          <a:r>
            <a:rPr lang="de-DE" sz="1000">
              <a:solidFill>
                <a:schemeClr val="tx1"/>
              </a:solidFill>
              <a:effectLst/>
              <a:latin typeface="+mn-lt"/>
              <a:ea typeface="+mn-ea"/>
              <a:cs typeface="+mn-cs"/>
            </a:rPr>
            <a:t>Our practical training services, like seminars and workshops, enable entrepreneurs, corporate clients, and investors to build financial models applying best practices. These tools support and enhance their business decisions, transactions and strategies.</a:t>
          </a:r>
        </a:p>
        <a:p>
          <a:endParaRPr lang="de-DE" sz="1000">
            <a:solidFill>
              <a:schemeClr val="tx1"/>
            </a:solidFill>
            <a:effectLst/>
            <a:latin typeface="+mn-lt"/>
            <a:ea typeface="+mn-ea"/>
            <a:cs typeface="+mn-cs"/>
          </a:endParaRPr>
        </a:p>
        <a:p>
          <a:r>
            <a:rPr lang="de-DE" sz="1000" b="1">
              <a:solidFill>
                <a:schemeClr val="tx1"/>
              </a:solidFill>
              <a:effectLst/>
              <a:latin typeface="+mn-lt"/>
              <a:ea typeface="+mn-ea"/>
              <a:cs typeface="+mn-cs"/>
            </a:rPr>
            <a:t>What Financial Modelling Videos can do for you:</a:t>
          </a:r>
        </a:p>
        <a:p>
          <a:endParaRPr lang="de-DE" sz="1000">
            <a:solidFill>
              <a:schemeClr val="tx1"/>
            </a:solidFill>
            <a:effectLst/>
          </a:endParaRPr>
        </a:p>
        <a:p>
          <a:r>
            <a:rPr lang="de-DE" sz="1000">
              <a:solidFill>
                <a:schemeClr val="tx1"/>
              </a:solidFill>
              <a:effectLst/>
              <a:latin typeface="+mn-lt"/>
              <a:ea typeface="+mn-ea"/>
              <a:cs typeface="+mn-cs"/>
            </a:rPr>
            <a:t>   • Ready-to-use Excel tools and templates for corporate planning, budgeting, valuation, cash flow planning and project finance</a:t>
          </a:r>
        </a:p>
        <a:p>
          <a:r>
            <a:rPr lang="de-DE" sz="1000">
              <a:solidFill>
                <a:schemeClr val="tx1"/>
              </a:solidFill>
              <a:effectLst/>
              <a:latin typeface="+mn-lt"/>
              <a:ea typeface="+mn-ea"/>
              <a:cs typeface="+mn-cs"/>
            </a:rPr>
            <a:t>   • Development of tailor-made, individual models</a:t>
          </a:r>
        </a:p>
        <a:p>
          <a:r>
            <a:rPr lang="de-DE" sz="1000">
              <a:solidFill>
                <a:schemeClr val="tx1"/>
              </a:solidFill>
              <a:effectLst/>
              <a:latin typeface="+mn-lt"/>
              <a:ea typeface="+mn-ea"/>
              <a:cs typeface="+mn-cs"/>
            </a:rPr>
            <a:t>   • Model review, optimization and audit</a:t>
          </a:r>
        </a:p>
        <a:p>
          <a:r>
            <a:rPr lang="de-DE" sz="1000">
              <a:solidFill>
                <a:schemeClr val="tx1"/>
              </a:solidFill>
              <a:effectLst/>
              <a:latin typeface="+mn-lt"/>
              <a:ea typeface="+mn-ea"/>
              <a:cs typeface="+mn-cs"/>
            </a:rPr>
            <a:t>   • Seminars and workshops</a:t>
          </a:r>
          <a:endParaRPr lang="de-DE" sz="1000">
            <a:solidFill>
              <a:schemeClr val="tx1"/>
            </a:solidFill>
            <a:effectLst/>
          </a:endParaRPr>
        </a:p>
      </xdr:txBody>
    </xdr:sp>
    <xdr:clientData/>
  </xdr:twoCellAnchor>
  <xdr:twoCellAnchor>
    <xdr:from>
      <xdr:col>8</xdr:col>
      <xdr:colOff>32016</xdr:colOff>
      <xdr:row>1</xdr:row>
      <xdr:rowOff>73530</xdr:rowOff>
    </xdr:from>
    <xdr:to>
      <xdr:col>12</xdr:col>
      <xdr:colOff>0</xdr:colOff>
      <xdr:row>7</xdr:row>
      <xdr:rowOff>0</xdr:rowOff>
    </xdr:to>
    <xdr:pic>
      <xdr:nvPicPr>
        <xdr:cNvPr id="7" name="Grafik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3" t="23521" r="13561" b="29208"/>
        <a:stretch/>
      </xdr:blipFill>
      <xdr:spPr>
        <a:xfrm>
          <a:off x="4994541" y="244980"/>
          <a:ext cx="3015984" cy="1364745"/>
        </a:xfrm>
        <a:prstGeom prst="rect">
          <a:avLst/>
        </a:prstGeom>
      </xdr:spPr>
    </xdr:pic>
    <xdr:clientData/>
  </xdr:twoCellAnchor>
  <xdr:twoCellAnchor editAs="oneCell">
    <xdr:from>
      <xdr:col>9</xdr:col>
      <xdr:colOff>0</xdr:colOff>
      <xdr:row>10</xdr:row>
      <xdr:rowOff>0</xdr:rowOff>
    </xdr:from>
    <xdr:to>
      <xdr:col>12</xdr:col>
      <xdr:colOff>0</xdr:colOff>
      <xdr:row>11</xdr:row>
      <xdr:rowOff>180</xdr:rowOff>
    </xdr:to>
    <xdr:sp macro="" textlink="">
      <xdr:nvSpPr>
        <xdr:cNvPr id="6" name="Text Box 13">
          <a:hlinkClick xmlns:r="http://schemas.openxmlformats.org/officeDocument/2006/relationships" r:id="rId2" tooltip="Get full commercial version"/>
        </xdr:cNvPr>
        <xdr:cNvSpPr txBox="1">
          <a:spLocks noChangeAspect="1" noChangeArrowheads="1"/>
        </xdr:cNvSpPr>
      </xdr:nvSpPr>
      <xdr:spPr bwMode="auto">
        <a:xfrm>
          <a:off x="5724525" y="2324100"/>
          <a:ext cx="2286000" cy="285930"/>
        </a:xfrm>
        <a:prstGeom prst="rect">
          <a:avLst/>
        </a:prstGeom>
        <a:solidFill>
          <a:srgbClr val="FFFF00"/>
        </a:solidFill>
        <a:ln/>
        <a:extLst/>
      </xdr:spPr>
      <xdr:style>
        <a:lnRef idx="3">
          <a:schemeClr val="lt1"/>
        </a:lnRef>
        <a:fillRef idx="1">
          <a:schemeClr val="accent1"/>
        </a:fillRef>
        <a:effectRef idx="1">
          <a:schemeClr val="accent1"/>
        </a:effectRef>
        <a:fontRef idx="minor">
          <a:schemeClr val="lt1"/>
        </a:fontRef>
      </xdr:style>
      <xdr:txBody>
        <a:bodyPr vertOverflow="clip" wrap="square" lIns="27432" tIns="22860" rIns="27432" bIns="22860" anchor="ctr" upright="1"/>
        <a:lstStyle/>
        <a:p>
          <a:pPr algn="ctr" rtl="0">
            <a:defRPr sz="1000"/>
          </a:pPr>
          <a:r>
            <a:rPr lang="de-AT" sz="1100" b="1" i="0" u="none" strike="noStrike" baseline="0">
              <a:solidFill>
                <a:schemeClr val="tx1"/>
              </a:solidFill>
              <a:latin typeface="Arial"/>
              <a:cs typeface="Arial"/>
            </a:rPr>
            <a:t>Full Version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26894</xdr:rowOff>
    </xdr:from>
    <xdr:to>
      <xdr:col>5</xdr:col>
      <xdr:colOff>3835091</xdr:colOff>
      <xdr:row>6</xdr:row>
      <xdr:rowOff>89647</xdr:rowOff>
    </xdr:to>
    <xdr:pic>
      <xdr:nvPicPr>
        <xdr:cNvPr id="4" name="Picture 690" descr="purchase-license">
          <a:hlinkClick xmlns:r="http://schemas.openxmlformats.org/officeDocument/2006/relationships" r:id="rId1" tooltip="Purchase license for full commercial version"/>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68971" y="340659"/>
          <a:ext cx="4417796" cy="6902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5</xdr:col>
      <xdr:colOff>3832412</xdr:colOff>
      <xdr:row>18</xdr:row>
      <xdr:rowOff>0</xdr:rowOff>
    </xdr:to>
    <xdr:grpSp>
      <xdr:nvGrpSpPr>
        <xdr:cNvPr id="3" name="Gruppieren 2">
          <a:hlinkClick xmlns:r="http://schemas.openxmlformats.org/officeDocument/2006/relationships" r:id="rId1" tooltip="Purchase license for full commercial version"/>
        </xdr:cNvPr>
        <xdr:cNvGrpSpPr/>
      </xdr:nvGrpSpPr>
      <xdr:grpSpPr>
        <a:xfrm>
          <a:off x="4594412" y="313765"/>
          <a:ext cx="9289676" cy="3765176"/>
          <a:chOff x="4594412" y="313765"/>
          <a:chExt cx="9289676" cy="3765176"/>
        </a:xfrm>
      </xdr:grpSpPr>
      <xdr:sp macro="" textlink="">
        <xdr:nvSpPr>
          <xdr:cNvPr id="2" name="Textfeld 1"/>
          <xdr:cNvSpPr txBox="1"/>
        </xdr:nvSpPr>
        <xdr:spPr>
          <a:xfrm>
            <a:off x="9468971" y="1277471"/>
            <a:ext cx="4415117" cy="69476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ctr"/>
            <a:r>
              <a:rPr lang="de-DE" sz="2400" b="1" baseline="30000">
                <a:solidFill>
                  <a:srgbClr val="25346A"/>
                </a:solidFill>
                <a:latin typeface="Arial" panose="020B0604020202020204" pitchFamily="34" charset="0"/>
                <a:cs typeface="Arial" panose="020B0604020202020204" pitchFamily="34" charset="0"/>
              </a:rPr>
              <a:t>only </a:t>
            </a:r>
            <a:r>
              <a:rPr lang="de-DE" sz="2000" b="1" baseline="0">
                <a:solidFill>
                  <a:srgbClr val="25346A"/>
                </a:solidFill>
                <a:latin typeface="Arial" panose="020B0604020202020204" pitchFamily="34" charset="0"/>
                <a:cs typeface="Arial" panose="020B0604020202020204" pitchFamily="34" charset="0"/>
              </a:rPr>
              <a:t> </a:t>
            </a:r>
            <a:r>
              <a:rPr lang="de-DE" sz="2800" b="1" baseline="0">
                <a:solidFill>
                  <a:srgbClr val="25346A"/>
                </a:solidFill>
                <a:latin typeface="Arial" panose="020B0604020202020204" pitchFamily="34" charset="0"/>
                <a:cs typeface="Arial" panose="020B0604020202020204" pitchFamily="34" charset="0"/>
              </a:rPr>
              <a:t>US$ 150.00</a:t>
            </a:r>
            <a:endParaRPr lang="de-DE" sz="2800" b="1">
              <a:solidFill>
                <a:srgbClr val="25346A"/>
              </a:solidFill>
              <a:latin typeface="Arial" panose="020B0604020202020204" pitchFamily="34" charset="0"/>
              <a:cs typeface="Arial" panose="020B0604020202020204" pitchFamily="34" charset="0"/>
            </a:endParaRPr>
          </a:p>
        </xdr:txBody>
      </xdr:sp>
      <xdr:sp macro="" textlink="">
        <xdr:nvSpPr>
          <xdr:cNvPr id="7" name="Rechteck 6"/>
          <xdr:cNvSpPr/>
        </xdr:nvSpPr>
        <xdr:spPr>
          <a:xfrm>
            <a:off x="4594412" y="313765"/>
            <a:ext cx="4291853" cy="376517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l"/>
            <a:endParaRPr lang="de-DE" sz="2000" b="1">
              <a:solidFill>
                <a:schemeClr val="dk1"/>
              </a:solidFill>
              <a:latin typeface="Arial" panose="020B0604020202020204" pitchFamily="34" charset="0"/>
              <a:ea typeface="+mn-ea"/>
              <a:cs typeface="Arial" panose="020B0604020202020204" pitchFamily="34" charset="0"/>
            </a:endParaRPr>
          </a:p>
        </xdr:txBody>
      </xdr:sp>
      <xdr:pic>
        <xdr:nvPicPr>
          <xdr:cNvPr id="6" name="Grafik 5" descr="EFM-CE-blu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55557" y="593912"/>
            <a:ext cx="3193677" cy="3211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feld 8"/>
          <xdr:cNvSpPr txBox="1"/>
        </xdr:nvSpPr>
        <xdr:spPr>
          <a:xfrm>
            <a:off x="9468971" y="2173941"/>
            <a:ext cx="4392705" cy="189379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l"/>
            <a:r>
              <a:rPr lang="de-DE" sz="1600" b="0">
                <a:latin typeface="Arial" panose="020B0604020202020204" pitchFamily="34" charset="0"/>
                <a:cs typeface="Arial" panose="020B0604020202020204" pitchFamily="34" charset="0"/>
              </a:rPr>
              <a:t>- Instant Download</a:t>
            </a:r>
          </a:p>
          <a:p>
            <a:pPr algn="l"/>
            <a:endParaRPr lang="de-DE" sz="1600" b="0">
              <a:latin typeface="Arial" panose="020B0604020202020204" pitchFamily="34" charset="0"/>
              <a:cs typeface="Arial" panose="020B0604020202020204" pitchFamily="34" charset="0"/>
            </a:endParaRPr>
          </a:p>
          <a:p>
            <a:pPr algn="l"/>
            <a:r>
              <a:rPr lang="de-DE" sz="1600" b="0">
                <a:latin typeface="Arial" panose="020B0604020202020204" pitchFamily="34" charset="0"/>
                <a:cs typeface="Arial" panose="020B0604020202020204" pitchFamily="34" charset="0"/>
              </a:rPr>
              <a:t>- Full functionality</a:t>
            </a:r>
          </a:p>
          <a:p>
            <a:pPr algn="l"/>
            <a:endParaRPr lang="de-DE" sz="1600" b="0">
              <a:latin typeface="Arial" panose="020B0604020202020204" pitchFamily="34" charset="0"/>
              <a:cs typeface="Arial" panose="020B0604020202020204" pitchFamily="34" charset="0"/>
            </a:endParaRPr>
          </a:p>
          <a:p>
            <a:pPr algn="l"/>
            <a:r>
              <a:rPr lang="de-DE" sz="1600" b="0">
                <a:latin typeface="Arial" panose="020B0604020202020204" pitchFamily="34" charset="0"/>
                <a:cs typeface="Arial" panose="020B0604020202020204" pitchFamily="34" charset="0"/>
              </a:rPr>
              <a:t>- Freely customizable &amp; extendable</a:t>
            </a:r>
          </a:p>
          <a:p>
            <a:pPr algn="l"/>
            <a:endParaRPr lang="de-DE" sz="1600" b="0">
              <a:latin typeface="Arial" panose="020B0604020202020204" pitchFamily="34" charset="0"/>
              <a:cs typeface="Arial" panose="020B0604020202020204" pitchFamily="34" charset="0"/>
            </a:endParaRPr>
          </a:p>
          <a:p>
            <a:pPr algn="l"/>
            <a:r>
              <a:rPr lang="de-DE" sz="1600" b="0">
                <a:latin typeface="Arial" panose="020B0604020202020204" pitchFamily="34" charset="0"/>
                <a:cs typeface="Arial" panose="020B0604020202020204" pitchFamily="34" charset="0"/>
              </a:rPr>
              <a:t>-</a:t>
            </a:r>
            <a:r>
              <a:rPr lang="de-DE" sz="1600" b="0" baseline="0">
                <a:latin typeface="Arial" panose="020B0604020202020204" pitchFamily="34" charset="0"/>
                <a:cs typeface="Arial" panose="020B0604020202020204" pitchFamily="34" charset="0"/>
              </a:rPr>
              <a:t> Lifetime Updates</a:t>
            </a:r>
            <a:endParaRPr lang="de-DE" sz="1600" b="0">
              <a:latin typeface="Arial" panose="020B0604020202020204" pitchFamily="34" charset="0"/>
              <a:cs typeface="Arial" panose="020B0604020202020204" pitchFamily="34" charset="0"/>
            </a:endParaRPr>
          </a:p>
        </xdr:txBody>
      </xdr:sp>
    </xdr:grpSp>
    <xdr:clientData/>
  </xdr:twoCellAnchor>
  <xdr:twoCellAnchor editAs="oneCell">
    <xdr:from>
      <xdr:col>4</xdr:col>
      <xdr:colOff>0</xdr:colOff>
      <xdr:row>25</xdr:row>
      <xdr:rowOff>30524</xdr:rowOff>
    </xdr:from>
    <xdr:to>
      <xdr:col>4</xdr:col>
      <xdr:colOff>487748</xdr:colOff>
      <xdr:row>25</xdr:row>
      <xdr:rowOff>537884</xdr:rowOff>
    </xdr:to>
    <xdr:pic>
      <xdr:nvPicPr>
        <xdr:cNvPr id="14" name="Grafik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58325" y="9098324"/>
          <a:ext cx="487748" cy="502876"/>
        </a:xfrm>
        <a:prstGeom prst="rect">
          <a:avLst/>
        </a:prstGeom>
      </xdr:spPr>
    </xdr:pic>
    <xdr:clientData/>
  </xdr:twoCellAnchor>
  <xdr:twoCellAnchor editAs="oneCell">
    <xdr:from>
      <xdr:col>2</xdr:col>
      <xdr:colOff>0</xdr:colOff>
      <xdr:row>25</xdr:row>
      <xdr:rowOff>50134</xdr:rowOff>
    </xdr:from>
    <xdr:to>
      <xdr:col>2</xdr:col>
      <xdr:colOff>487748</xdr:colOff>
      <xdr:row>25</xdr:row>
      <xdr:rowOff>537884</xdr:rowOff>
    </xdr:to>
    <xdr:pic>
      <xdr:nvPicPr>
        <xdr:cNvPr id="15" name="Grafik 1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94412" y="8913987"/>
          <a:ext cx="487748" cy="487748"/>
        </a:xfrm>
        <a:prstGeom prst="rect">
          <a:avLst/>
        </a:prstGeom>
      </xdr:spPr>
    </xdr:pic>
    <xdr:clientData/>
  </xdr:twoCellAnchor>
  <xdr:twoCellAnchor editAs="oneCell">
    <xdr:from>
      <xdr:col>2</xdr:col>
      <xdr:colOff>0</xdr:colOff>
      <xdr:row>26</xdr:row>
      <xdr:rowOff>0</xdr:rowOff>
    </xdr:from>
    <xdr:to>
      <xdr:col>2</xdr:col>
      <xdr:colOff>487748</xdr:colOff>
      <xdr:row>26</xdr:row>
      <xdr:rowOff>483266</xdr:rowOff>
    </xdr:to>
    <xdr:pic>
      <xdr:nvPicPr>
        <xdr:cNvPr id="16" name="Grafik 1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9601200"/>
          <a:ext cx="487748" cy="483266"/>
        </a:xfrm>
        <a:prstGeom prst="rect">
          <a:avLst/>
        </a:prstGeom>
      </xdr:spPr>
    </xdr:pic>
    <xdr:clientData/>
  </xdr:twoCellAnchor>
  <xdr:twoCellAnchor editAs="oneCell">
    <xdr:from>
      <xdr:col>2</xdr:col>
      <xdr:colOff>0</xdr:colOff>
      <xdr:row>27</xdr:row>
      <xdr:rowOff>0</xdr:rowOff>
    </xdr:from>
    <xdr:to>
      <xdr:col>2</xdr:col>
      <xdr:colOff>487748</xdr:colOff>
      <xdr:row>27</xdr:row>
      <xdr:rowOff>483266</xdr:rowOff>
    </xdr:to>
    <xdr:pic>
      <xdr:nvPicPr>
        <xdr:cNvPr id="17" name="Grafik 1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10134600"/>
          <a:ext cx="487748" cy="483266"/>
        </a:xfrm>
        <a:prstGeom prst="rect">
          <a:avLst/>
        </a:prstGeom>
      </xdr:spPr>
    </xdr:pic>
    <xdr:clientData/>
  </xdr:twoCellAnchor>
  <xdr:twoCellAnchor editAs="oneCell">
    <xdr:from>
      <xdr:col>2</xdr:col>
      <xdr:colOff>0</xdr:colOff>
      <xdr:row>28</xdr:row>
      <xdr:rowOff>0</xdr:rowOff>
    </xdr:from>
    <xdr:to>
      <xdr:col>2</xdr:col>
      <xdr:colOff>487748</xdr:colOff>
      <xdr:row>28</xdr:row>
      <xdr:rowOff>483266</xdr:rowOff>
    </xdr:to>
    <xdr:pic>
      <xdr:nvPicPr>
        <xdr:cNvPr id="18" name="Grafik 1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10668000"/>
          <a:ext cx="487748" cy="483266"/>
        </a:xfrm>
        <a:prstGeom prst="rect">
          <a:avLst/>
        </a:prstGeom>
      </xdr:spPr>
    </xdr:pic>
    <xdr:clientData/>
  </xdr:twoCellAnchor>
  <xdr:twoCellAnchor editAs="oneCell">
    <xdr:from>
      <xdr:col>2</xdr:col>
      <xdr:colOff>0</xdr:colOff>
      <xdr:row>29</xdr:row>
      <xdr:rowOff>0</xdr:rowOff>
    </xdr:from>
    <xdr:to>
      <xdr:col>2</xdr:col>
      <xdr:colOff>487748</xdr:colOff>
      <xdr:row>29</xdr:row>
      <xdr:rowOff>483266</xdr:rowOff>
    </xdr:to>
    <xdr:pic>
      <xdr:nvPicPr>
        <xdr:cNvPr id="19" name="Grafik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11201400"/>
          <a:ext cx="487748" cy="483266"/>
        </a:xfrm>
        <a:prstGeom prst="rect">
          <a:avLst/>
        </a:prstGeom>
      </xdr:spPr>
    </xdr:pic>
    <xdr:clientData/>
  </xdr:twoCellAnchor>
  <xdr:twoCellAnchor editAs="oneCell">
    <xdr:from>
      <xdr:col>2</xdr:col>
      <xdr:colOff>0</xdr:colOff>
      <xdr:row>30</xdr:row>
      <xdr:rowOff>0</xdr:rowOff>
    </xdr:from>
    <xdr:to>
      <xdr:col>2</xdr:col>
      <xdr:colOff>487748</xdr:colOff>
      <xdr:row>30</xdr:row>
      <xdr:rowOff>483266</xdr:rowOff>
    </xdr:to>
    <xdr:pic>
      <xdr:nvPicPr>
        <xdr:cNvPr id="20" name="Grafik 1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11734800"/>
          <a:ext cx="487748" cy="483266"/>
        </a:xfrm>
        <a:prstGeom prst="rect">
          <a:avLst/>
        </a:prstGeom>
      </xdr:spPr>
    </xdr:pic>
    <xdr:clientData/>
  </xdr:twoCellAnchor>
  <xdr:twoCellAnchor editAs="oneCell">
    <xdr:from>
      <xdr:col>2</xdr:col>
      <xdr:colOff>0</xdr:colOff>
      <xdr:row>38</xdr:row>
      <xdr:rowOff>0</xdr:rowOff>
    </xdr:from>
    <xdr:to>
      <xdr:col>2</xdr:col>
      <xdr:colOff>487748</xdr:colOff>
      <xdr:row>38</xdr:row>
      <xdr:rowOff>487189</xdr:rowOff>
    </xdr:to>
    <xdr:pic>
      <xdr:nvPicPr>
        <xdr:cNvPr id="21" name="Grafik 2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91050" y="18002250"/>
          <a:ext cx="487748" cy="483266"/>
        </a:xfrm>
        <a:prstGeom prst="rect">
          <a:avLst/>
        </a:prstGeom>
      </xdr:spPr>
    </xdr:pic>
    <xdr:clientData/>
  </xdr:twoCellAnchor>
  <xdr:twoCellAnchor editAs="oneCell">
    <xdr:from>
      <xdr:col>2</xdr:col>
      <xdr:colOff>0</xdr:colOff>
      <xdr:row>39</xdr:row>
      <xdr:rowOff>0</xdr:rowOff>
    </xdr:from>
    <xdr:to>
      <xdr:col>2</xdr:col>
      <xdr:colOff>487748</xdr:colOff>
      <xdr:row>39</xdr:row>
      <xdr:rowOff>487188</xdr:rowOff>
    </xdr:to>
    <xdr:pic>
      <xdr:nvPicPr>
        <xdr:cNvPr id="22" name="Grafik 2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91050" y="18468975"/>
          <a:ext cx="487748" cy="483266"/>
        </a:xfrm>
        <a:prstGeom prst="rect">
          <a:avLst/>
        </a:prstGeom>
      </xdr:spPr>
    </xdr:pic>
    <xdr:clientData/>
  </xdr:twoCellAnchor>
  <xdr:twoCellAnchor editAs="oneCell">
    <xdr:from>
      <xdr:col>2</xdr:col>
      <xdr:colOff>0</xdr:colOff>
      <xdr:row>33</xdr:row>
      <xdr:rowOff>0</xdr:rowOff>
    </xdr:from>
    <xdr:to>
      <xdr:col>2</xdr:col>
      <xdr:colOff>487748</xdr:colOff>
      <xdr:row>33</xdr:row>
      <xdr:rowOff>487188</xdr:rowOff>
    </xdr:to>
    <xdr:pic>
      <xdr:nvPicPr>
        <xdr:cNvPr id="23" name="Grafik 2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91050" y="16135350"/>
          <a:ext cx="487748" cy="483266"/>
        </a:xfrm>
        <a:prstGeom prst="rect">
          <a:avLst/>
        </a:prstGeom>
      </xdr:spPr>
    </xdr:pic>
    <xdr:clientData/>
  </xdr:twoCellAnchor>
  <xdr:twoCellAnchor editAs="oneCell">
    <xdr:from>
      <xdr:col>4</xdr:col>
      <xdr:colOff>0</xdr:colOff>
      <xdr:row>26</xdr:row>
      <xdr:rowOff>0</xdr:rowOff>
    </xdr:from>
    <xdr:to>
      <xdr:col>4</xdr:col>
      <xdr:colOff>487748</xdr:colOff>
      <xdr:row>26</xdr:row>
      <xdr:rowOff>502876</xdr:rowOff>
    </xdr:to>
    <xdr:pic>
      <xdr:nvPicPr>
        <xdr:cNvPr id="25" name="Grafik 2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9601200"/>
          <a:ext cx="487748" cy="502876"/>
        </a:xfrm>
        <a:prstGeom prst="rect">
          <a:avLst/>
        </a:prstGeom>
      </xdr:spPr>
    </xdr:pic>
    <xdr:clientData/>
  </xdr:twoCellAnchor>
  <xdr:twoCellAnchor editAs="oneCell">
    <xdr:from>
      <xdr:col>4</xdr:col>
      <xdr:colOff>0</xdr:colOff>
      <xdr:row>27</xdr:row>
      <xdr:rowOff>0</xdr:rowOff>
    </xdr:from>
    <xdr:to>
      <xdr:col>4</xdr:col>
      <xdr:colOff>487748</xdr:colOff>
      <xdr:row>27</xdr:row>
      <xdr:rowOff>502876</xdr:rowOff>
    </xdr:to>
    <xdr:pic>
      <xdr:nvPicPr>
        <xdr:cNvPr id="26" name="Grafik 2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10134600"/>
          <a:ext cx="487748" cy="502876"/>
        </a:xfrm>
        <a:prstGeom prst="rect">
          <a:avLst/>
        </a:prstGeom>
      </xdr:spPr>
    </xdr:pic>
    <xdr:clientData/>
  </xdr:twoCellAnchor>
  <xdr:twoCellAnchor editAs="oneCell">
    <xdr:from>
      <xdr:col>4</xdr:col>
      <xdr:colOff>0</xdr:colOff>
      <xdr:row>28</xdr:row>
      <xdr:rowOff>0</xdr:rowOff>
    </xdr:from>
    <xdr:to>
      <xdr:col>4</xdr:col>
      <xdr:colOff>487748</xdr:colOff>
      <xdr:row>28</xdr:row>
      <xdr:rowOff>502876</xdr:rowOff>
    </xdr:to>
    <xdr:pic>
      <xdr:nvPicPr>
        <xdr:cNvPr id="27" name="Grafik 2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10668000"/>
          <a:ext cx="487748" cy="502876"/>
        </a:xfrm>
        <a:prstGeom prst="rect">
          <a:avLst/>
        </a:prstGeom>
      </xdr:spPr>
    </xdr:pic>
    <xdr:clientData/>
  </xdr:twoCellAnchor>
  <xdr:twoCellAnchor editAs="oneCell">
    <xdr:from>
      <xdr:col>4</xdr:col>
      <xdr:colOff>0</xdr:colOff>
      <xdr:row>29</xdr:row>
      <xdr:rowOff>0</xdr:rowOff>
    </xdr:from>
    <xdr:to>
      <xdr:col>4</xdr:col>
      <xdr:colOff>487748</xdr:colOff>
      <xdr:row>29</xdr:row>
      <xdr:rowOff>502876</xdr:rowOff>
    </xdr:to>
    <xdr:pic>
      <xdr:nvPicPr>
        <xdr:cNvPr id="28" name="Grafik 2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11201400"/>
          <a:ext cx="487748" cy="502876"/>
        </a:xfrm>
        <a:prstGeom prst="rect">
          <a:avLst/>
        </a:prstGeom>
      </xdr:spPr>
    </xdr:pic>
    <xdr:clientData/>
  </xdr:twoCellAnchor>
  <xdr:twoCellAnchor editAs="oneCell">
    <xdr:from>
      <xdr:col>4</xdr:col>
      <xdr:colOff>0</xdr:colOff>
      <xdr:row>30</xdr:row>
      <xdr:rowOff>0</xdr:rowOff>
    </xdr:from>
    <xdr:to>
      <xdr:col>4</xdr:col>
      <xdr:colOff>487748</xdr:colOff>
      <xdr:row>30</xdr:row>
      <xdr:rowOff>502876</xdr:rowOff>
    </xdr:to>
    <xdr:pic>
      <xdr:nvPicPr>
        <xdr:cNvPr id="29" name="Grafik 2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11734800"/>
          <a:ext cx="487748" cy="502876"/>
        </a:xfrm>
        <a:prstGeom prst="rect">
          <a:avLst/>
        </a:prstGeom>
      </xdr:spPr>
    </xdr:pic>
    <xdr:clientData/>
  </xdr:twoCellAnchor>
  <xdr:twoCellAnchor editAs="oneCell">
    <xdr:from>
      <xdr:col>4</xdr:col>
      <xdr:colOff>0</xdr:colOff>
      <xdr:row>33</xdr:row>
      <xdr:rowOff>0</xdr:rowOff>
    </xdr:from>
    <xdr:to>
      <xdr:col>4</xdr:col>
      <xdr:colOff>487748</xdr:colOff>
      <xdr:row>33</xdr:row>
      <xdr:rowOff>506798</xdr:rowOff>
    </xdr:to>
    <xdr:pic>
      <xdr:nvPicPr>
        <xdr:cNvPr id="30" name="Grafik 2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58325" y="16135350"/>
          <a:ext cx="487748" cy="502876"/>
        </a:xfrm>
        <a:prstGeom prst="rect">
          <a:avLst/>
        </a:prstGeom>
      </xdr:spPr>
    </xdr:pic>
    <xdr:clientData/>
  </xdr:twoCellAnchor>
  <xdr:twoCellAnchor editAs="oneCell">
    <xdr:from>
      <xdr:col>4</xdr:col>
      <xdr:colOff>0</xdr:colOff>
      <xdr:row>38</xdr:row>
      <xdr:rowOff>0</xdr:rowOff>
    </xdr:from>
    <xdr:to>
      <xdr:col>4</xdr:col>
      <xdr:colOff>487748</xdr:colOff>
      <xdr:row>38</xdr:row>
      <xdr:rowOff>506799</xdr:rowOff>
    </xdr:to>
    <xdr:pic>
      <xdr:nvPicPr>
        <xdr:cNvPr id="32" name="Grafik 3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58325" y="18002250"/>
          <a:ext cx="487748" cy="502876"/>
        </a:xfrm>
        <a:prstGeom prst="rect">
          <a:avLst/>
        </a:prstGeom>
      </xdr:spPr>
    </xdr:pic>
    <xdr:clientData/>
  </xdr:twoCellAnchor>
  <xdr:twoCellAnchor editAs="oneCell">
    <xdr:from>
      <xdr:col>4</xdr:col>
      <xdr:colOff>0</xdr:colOff>
      <xdr:row>39</xdr:row>
      <xdr:rowOff>0</xdr:rowOff>
    </xdr:from>
    <xdr:to>
      <xdr:col>4</xdr:col>
      <xdr:colOff>487748</xdr:colOff>
      <xdr:row>39</xdr:row>
      <xdr:rowOff>506798</xdr:rowOff>
    </xdr:to>
    <xdr:pic>
      <xdr:nvPicPr>
        <xdr:cNvPr id="33" name="Grafik 3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58325" y="18468975"/>
          <a:ext cx="487748" cy="502876"/>
        </a:xfrm>
        <a:prstGeom prst="rect">
          <a:avLst/>
        </a:prstGeom>
      </xdr:spPr>
    </xdr:pic>
    <xdr:clientData/>
  </xdr:twoCellAnchor>
  <xdr:oneCellAnchor>
    <xdr:from>
      <xdr:col>2</xdr:col>
      <xdr:colOff>0</xdr:colOff>
      <xdr:row>34</xdr:row>
      <xdr:rowOff>0</xdr:rowOff>
    </xdr:from>
    <xdr:ext cx="487748" cy="483266"/>
    <xdr:pic>
      <xdr:nvPicPr>
        <xdr:cNvPr id="34" name="Grafik 3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1050" y="17535525"/>
          <a:ext cx="487748" cy="483266"/>
        </a:xfrm>
        <a:prstGeom prst="rect">
          <a:avLst/>
        </a:prstGeom>
      </xdr:spPr>
    </xdr:pic>
    <xdr:clientData/>
  </xdr:oneCellAnchor>
  <xdr:oneCellAnchor>
    <xdr:from>
      <xdr:col>4</xdr:col>
      <xdr:colOff>0</xdr:colOff>
      <xdr:row>34</xdr:row>
      <xdr:rowOff>0</xdr:rowOff>
    </xdr:from>
    <xdr:ext cx="487748" cy="502876"/>
    <xdr:pic>
      <xdr:nvPicPr>
        <xdr:cNvPr id="35" name="Grafik 3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58325" y="17535525"/>
          <a:ext cx="487748" cy="502876"/>
        </a:xfrm>
        <a:prstGeom prst="rect">
          <a:avLst/>
        </a:prstGeom>
      </xdr:spPr>
    </xdr:pic>
    <xdr:clientData/>
  </xdr:oneCellAnchor>
  <xdr:oneCellAnchor>
    <xdr:from>
      <xdr:col>2</xdr:col>
      <xdr:colOff>0</xdr:colOff>
      <xdr:row>35</xdr:row>
      <xdr:rowOff>156884</xdr:rowOff>
    </xdr:from>
    <xdr:ext cx="487748" cy="483266"/>
    <xdr:pic>
      <xdr:nvPicPr>
        <xdr:cNvPr id="36" name="Grafik 3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94412" y="11553266"/>
          <a:ext cx="487748" cy="483266"/>
        </a:xfrm>
        <a:prstGeom prst="rect">
          <a:avLst/>
        </a:prstGeom>
      </xdr:spPr>
    </xdr:pic>
    <xdr:clientData/>
  </xdr:oneCellAnchor>
  <xdr:oneCellAnchor>
    <xdr:from>
      <xdr:col>4</xdr:col>
      <xdr:colOff>0</xdr:colOff>
      <xdr:row>35</xdr:row>
      <xdr:rowOff>156884</xdr:rowOff>
    </xdr:from>
    <xdr:ext cx="487748" cy="502876"/>
    <xdr:pic>
      <xdr:nvPicPr>
        <xdr:cNvPr id="37" name="Grafik 3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68971" y="11553266"/>
          <a:ext cx="487748" cy="50287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3032</xdr:rowOff>
    </xdr:from>
    <xdr:to>
      <xdr:col>16</xdr:col>
      <xdr:colOff>0</xdr:colOff>
      <xdr:row>126</xdr:row>
      <xdr:rowOff>0</xdr:rowOff>
    </xdr:to>
    <xdr:sp macro="" textlink="">
      <xdr:nvSpPr>
        <xdr:cNvPr id="5" name="TextBox 4"/>
        <xdr:cNvSpPr txBox="1"/>
      </xdr:nvSpPr>
      <xdr:spPr>
        <a:xfrm>
          <a:off x="219808" y="1614955"/>
          <a:ext cx="8682404" cy="18695276"/>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GB" sz="1100" b="1" baseline="0">
              <a:solidFill>
                <a:srgbClr val="313D72"/>
              </a:solidFill>
              <a:latin typeface="+mn-lt"/>
              <a:ea typeface="+mn-ea"/>
              <a:cs typeface="Arial" pitchFamily="34" charset="0"/>
            </a:rPr>
            <a:t>A - Layout and Structure of EFM</a:t>
          </a:r>
          <a:endParaRPr lang="de-DE" sz="1100" b="1" baseline="0">
            <a:solidFill>
              <a:srgbClr val="313D72"/>
            </a:solidFill>
            <a:latin typeface="+mn-lt"/>
            <a:ea typeface="+mn-ea"/>
            <a:cs typeface="Arial" pitchFamily="34" charset="0"/>
          </a:endParaRPr>
        </a:p>
        <a:p>
          <a:r>
            <a:rPr lang="en-GB" sz="1100">
              <a:solidFill>
                <a:schemeClr val="dk1"/>
              </a:solidFill>
              <a:effectLst/>
              <a:latin typeface="+mn-lt"/>
              <a:ea typeface="+mn-ea"/>
              <a:cs typeface="+mn-cs"/>
            </a:rPr>
            <a:t>The below screenshot shows the layout and structure of the model. Please note the colour code used for the different worksheets.</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Numbers outline the recommended order of planning steps in preparing a new model. It is recommended to input all financing assumptions at the end of the planning process as funding requirements depend on all other input data (see </a:t>
          </a:r>
          <a:r>
            <a:rPr lang="en-GB" sz="1100" b="1">
              <a:solidFill>
                <a:schemeClr val="dk1"/>
              </a:solidFill>
              <a:effectLst/>
              <a:latin typeface="+mn-lt"/>
              <a:ea typeface="+mn-ea"/>
              <a:cs typeface="+mn-cs"/>
            </a:rPr>
            <a:t>Building a new model - How to proceed</a:t>
          </a:r>
          <a:r>
            <a:rPr lang="en-GB" sz="1100">
              <a:solidFill>
                <a:schemeClr val="dk1"/>
              </a:solidFill>
              <a:effectLst/>
              <a:latin typeface="+mn-lt"/>
              <a:ea typeface="+mn-ea"/>
              <a:cs typeface="+mn-cs"/>
            </a:rPr>
            <a:t>).</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e-DE" sz="1100">
            <a:solidFill>
              <a:schemeClr val="dk1"/>
            </a:solidFill>
            <a:effectLst/>
            <a:latin typeface="+mn-lt"/>
            <a:ea typeface="+mn-ea"/>
            <a:cs typeface="+mn-cs"/>
          </a:endParaRPr>
        </a:p>
        <a:p>
          <a:r>
            <a:rPr lang="en-GB" sz="1100" b="1" baseline="0">
              <a:solidFill>
                <a:srgbClr val="313D72"/>
              </a:solidFill>
              <a:latin typeface="+mn-lt"/>
              <a:ea typeface="+mn-ea"/>
              <a:cs typeface="Arial" pitchFamily="34" charset="0"/>
            </a:rPr>
            <a:t>B Inputs &amp; Removal of Worksheet Protection</a:t>
          </a:r>
          <a:endParaRPr lang="de-DE" sz="1100" b="1" baseline="0">
            <a:solidFill>
              <a:srgbClr val="313D72"/>
            </a:solidFill>
            <a:latin typeface="+mn-lt"/>
            <a:ea typeface="+mn-ea"/>
            <a:cs typeface="Arial" pitchFamily="34" charset="0"/>
          </a:endParaRPr>
        </a:p>
        <a:p>
          <a:r>
            <a:rPr lang="en-GB" sz="1100">
              <a:solidFill>
                <a:schemeClr val="dk1"/>
              </a:solidFill>
              <a:effectLst/>
              <a:latin typeface="+mn-lt"/>
              <a:ea typeface="+mn-ea"/>
              <a:cs typeface="+mn-cs"/>
            </a:rPr>
            <a:t>Apart from (optional) one-time modifications on sheet “Index”, like e.g. inserting your own logo, disclaimer and contact details, inputs are only necessary and possible on yellow coloured worksheets (= input sheets).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Within these individual input sheets, data entry is only permitted in input cells,</a:t>
          </a:r>
        </a:p>
        <a:p>
          <a:r>
            <a:rPr lang="en-GB" sz="1100">
              <a:solidFill>
                <a:schemeClr val="dk1"/>
              </a:solidFill>
              <a:effectLst/>
              <a:latin typeface="+mn-lt"/>
              <a:ea typeface="+mn-ea"/>
              <a:cs typeface="+mn-cs"/>
            </a:rPr>
            <a:t>which are clearly recognizable by a consistent format (see below screenshot </a:t>
          </a:r>
        </a:p>
        <a:p>
          <a:r>
            <a:rPr lang="en-GB" sz="1100">
              <a:solidFill>
                <a:schemeClr val="dk1"/>
              </a:solidFill>
              <a:effectLst/>
              <a:latin typeface="+mn-lt"/>
              <a:ea typeface="+mn-ea"/>
              <a:cs typeface="+mn-cs"/>
            </a:rPr>
            <a:t>=&gt; cell style “Input”).</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In “delivery state” all worksheets are password protected. To unprotect one or more worksheets please use the </a:t>
          </a:r>
          <a:r>
            <a:rPr lang="en-GB" sz="1100" b="1">
              <a:solidFill>
                <a:srgbClr val="FF0000"/>
              </a:solidFill>
              <a:effectLst/>
              <a:latin typeface="+mn-lt"/>
              <a:ea typeface="+mn-ea"/>
              <a:cs typeface="+mn-cs"/>
            </a:rPr>
            <a:t>password: “0000” </a:t>
          </a:r>
          <a:endParaRPr lang="de-DE" sz="1100" b="1">
            <a:solidFill>
              <a:srgbClr val="FF0000"/>
            </a:solidFill>
            <a:effectLst/>
            <a:latin typeface="+mn-lt"/>
            <a:ea typeface="+mn-ea"/>
            <a:cs typeface="+mn-cs"/>
          </a:endParaRPr>
        </a:p>
        <a:p>
          <a:endParaRPr lang="de-DE" sz="1100">
            <a:solidFill>
              <a:schemeClr val="dk1"/>
            </a:solidFill>
            <a:effectLst/>
            <a:latin typeface="+mn-lt"/>
            <a:ea typeface="+mn-ea"/>
            <a:cs typeface="+mn-cs"/>
          </a:endParaRPr>
        </a:p>
        <a:p>
          <a:r>
            <a:rPr lang="en-GB" sz="1100" b="1" baseline="0">
              <a:solidFill>
                <a:srgbClr val="313D72"/>
              </a:solidFill>
              <a:latin typeface="+mn-lt"/>
              <a:ea typeface="+mn-ea"/>
              <a:cs typeface="Arial" pitchFamily="34" charset="0"/>
            </a:rPr>
            <a:t>C Building a new model - How to proceed</a:t>
          </a:r>
          <a:endParaRPr lang="de-DE" sz="1100" b="1" baseline="0">
            <a:solidFill>
              <a:srgbClr val="313D72"/>
            </a:solidFill>
            <a:latin typeface="+mn-lt"/>
            <a:ea typeface="+mn-ea"/>
            <a:cs typeface="Arial" pitchFamily="34" charset="0"/>
          </a:endParaRPr>
        </a:p>
        <a:p>
          <a:pPr lvl="0"/>
          <a:r>
            <a:rPr lang="en-GB" sz="1100" b="1">
              <a:solidFill>
                <a:schemeClr val="dk1"/>
              </a:solidFill>
              <a:effectLst/>
              <a:latin typeface="+mn-lt"/>
              <a:ea typeface="+mn-ea"/>
              <a:cs typeface="+mn-cs"/>
            </a:rPr>
            <a:t>1. Open </a:t>
          </a:r>
          <a:r>
            <a:rPr lang="en-GB" sz="1100" b="1" i="1">
              <a:solidFill>
                <a:schemeClr val="dk1"/>
              </a:solidFill>
              <a:effectLst/>
              <a:latin typeface="+mn-lt"/>
              <a:ea typeface="+mn-ea"/>
              <a:cs typeface="+mn-cs"/>
            </a:rPr>
            <a:t>Excel-Financial-Model</a:t>
          </a:r>
          <a:r>
            <a:rPr lang="en-GB" sz="1100" b="1">
              <a:solidFill>
                <a:schemeClr val="dk1"/>
              </a:solidFill>
              <a:effectLst/>
              <a:latin typeface="+mn-lt"/>
              <a:ea typeface="+mn-ea"/>
              <a:cs typeface="+mn-cs"/>
            </a:rPr>
            <a:t> and save new file</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To start constructing a new model, load the original xlsm-file and immediately save it with an appropriate new file name.</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2. Remove all existing assumptions and input data</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As the original file comes with a fictive example planning, click the button „New planning - erase all input data“ on sheet “Inputs”. After running this macro (which may take 20 to 30 seconds) you will have an empty template.</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3. Enter general model assumptions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“Inputs” and fill in the general model assumptions. </a:t>
          </a:r>
          <a:r>
            <a:rPr lang="en-GB" sz="1100" b="0" u="sng">
              <a:solidFill>
                <a:schemeClr val="dk1"/>
              </a:solidFill>
              <a:effectLst/>
              <a:latin typeface="+mn-lt"/>
              <a:ea typeface="+mn-ea"/>
              <a:cs typeface="+mn-cs"/>
            </a:rPr>
            <a:t>Important:</a:t>
          </a:r>
          <a:r>
            <a:rPr lang="en-GB" sz="1100">
              <a:solidFill>
                <a:schemeClr val="dk1"/>
              </a:solidFill>
              <a:effectLst/>
              <a:latin typeface="+mn-lt"/>
              <a:ea typeface="+mn-ea"/>
              <a:cs typeface="+mn-cs"/>
            </a:rPr>
            <a:t> Default currency and denomination should not be changed later on as input values (currencies) will not be converted. Only variable descriptions and unit descriptions will change accordingly.</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4. Enter assumptions for products and services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On Sheet “Inputs” fill in descriptions for up to 10 different products or services, corresponding input/output taxes (if applicable, otherwise chose zero rate), revenue share per product and bad debts (both optional).</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5. Enter assumptions for human resources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On Sheet “Inputs” fill in names or position for up to 5 divisions (Direct Labour Staff, Management &amp; Administration Staff etc.). </a:t>
          </a:r>
          <a:r>
            <a:rPr lang="en-GB" sz="1100" b="0" u="sng">
              <a:solidFill>
                <a:schemeClr val="dk1"/>
              </a:solidFill>
              <a:effectLst/>
              <a:latin typeface="+mn-lt"/>
              <a:ea typeface="+mn-ea"/>
              <a:cs typeface="+mn-cs"/>
            </a:rPr>
            <a:t>Note:</a:t>
          </a:r>
          <a:r>
            <a:rPr lang="en-GB" sz="1100">
              <a:solidFill>
                <a:schemeClr val="dk1"/>
              </a:solidFill>
              <a:effectLst/>
              <a:latin typeface="+mn-lt"/>
              <a:ea typeface="+mn-ea"/>
              <a:cs typeface="+mn-cs"/>
            </a:rPr>
            <a:t> Base salary has to be for 12 months, without income taxes and social insurances. The detailed staff planning (monthly deployment schedule) will be done later on sheet “Human Resources”. Fill in percentage for income taxes &amp; social insurances and assumptions for “Other Staff Costs” (optional).</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6. Enter financing assumptions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Financing Assumptions should be entered at the end of the planning process as funding requirements depend on all other input data. To avoid funding shortfalls during the planning process we recommend to </a:t>
          </a:r>
          <a:r>
            <a:rPr lang="en-GB" sz="1100" u="sng">
              <a:solidFill>
                <a:schemeClr val="dk1"/>
              </a:solidFill>
              <a:effectLst/>
              <a:latin typeface="+mn-lt"/>
              <a:ea typeface="+mn-ea"/>
              <a:cs typeface="+mn-cs"/>
            </a:rPr>
            <a:t>temporarily</a:t>
          </a:r>
          <a:r>
            <a:rPr lang="en-GB" sz="1100">
              <a:solidFill>
                <a:schemeClr val="dk1"/>
              </a:solidFill>
              <a:effectLst/>
              <a:latin typeface="+mn-lt"/>
              <a:ea typeface="+mn-ea"/>
              <a:cs typeface="+mn-cs"/>
            </a:rPr>
            <a:t> set “Initial Equity” to a very high number (e.g. 2 million) and set cash-in at first month to “NO” (please refer</a:t>
          </a:r>
          <a:r>
            <a:rPr lang="en-GB" sz="1100" baseline="0">
              <a:solidFill>
                <a:schemeClr val="dk1"/>
              </a:solidFill>
              <a:effectLst/>
              <a:latin typeface="+mn-lt"/>
              <a:ea typeface="+mn-ea"/>
              <a:cs typeface="+mn-cs"/>
            </a:rPr>
            <a:t> to the manual for </a:t>
          </a:r>
          <a:r>
            <a:rPr lang="en-GB" sz="1100">
              <a:solidFill>
                <a:schemeClr val="dk1"/>
              </a:solidFill>
              <a:effectLst/>
              <a:latin typeface="+mn-lt"/>
              <a:ea typeface="+mn-ea"/>
              <a:cs typeface="+mn-cs"/>
            </a:rPr>
            <a:t>more details on the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funding waterfall).</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7. Enter payment targets and tax assumptions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On Sheet “Inputs” fill in the remaining assumptions (payment targets and taxes). These inputs can be easily changed at any time during or after the planning process. Be aware that any change later on may have (positive or negative) effects on funding requirements.</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8. Enter assumptions for inventory planning and opening balance</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If you would like to include detailed inventory planning, please activate corresponding selection on sheet “Inputs”. Profit &amp; Loss items and Balance Sheet items can be planned later on. The opening balance is optional. For “new” companies (foundations) or projects leave input cells blank.</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9. Enter Sales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“Sales” and enter monthly sales quantities and prices. For each product/service you have two input options, 1. Manual direct input and 2. Price multiplied by quantity.</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10. Enter monthly personnel deployment schedule</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“Human Resources” and decide for each position/employee whether social security contributions should be calculated and fill in monthly number and availability (Direct Labour Staff will be planned separately later on).</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11. Enter Cost of Materials/Packaging or Goods required and target inventory</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“Costs 01” and enter cost of materials or goods required for each of your product/service. There are 3 different planning methods available. You are free to use one of them, two or all three at the same time.</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If inventory planning is switched on (=&gt; sheet “Inputs”) you can enter individual inventory targets for each product as percentage of net sales.</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12. Enter direct costs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“Costs 02” to enter direct labour costs and other direct costs. Planning logic for direct labour costs is the same as for other employees (=&gt; sheet “Human Resources”). For other direct costs variable descriptions (input cells) can be changed.</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13. Enter indirect costs (Overheads)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“Costs 03” to enter all indirect costs. There are 5 different groups (Management &amp; Administrative, Operational, Sales &amp; Marketing etc.). Variable descriptions (input cells) can be changed according to your needs. </a:t>
          </a:r>
          <a:r>
            <a:rPr lang="en-GB" sz="1100" b="0" u="sng">
              <a:solidFill>
                <a:schemeClr val="dk1"/>
              </a:solidFill>
              <a:effectLst/>
              <a:latin typeface="+mn-lt"/>
              <a:ea typeface="+mn-ea"/>
              <a:cs typeface="+mn-cs"/>
            </a:rPr>
            <a:t>Note:</a:t>
          </a:r>
          <a:r>
            <a:rPr lang="en-GB" sz="1100">
              <a:solidFill>
                <a:schemeClr val="dk1"/>
              </a:solidFill>
              <a:effectLst/>
              <a:latin typeface="+mn-lt"/>
              <a:ea typeface="+mn-ea"/>
              <a:cs typeface="+mn-cs"/>
            </a:rPr>
            <a:t> Payroll costs are directly linked from sheet “Human Resources” (no inputs here).</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14. Enter capital expenditures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Go to sheet “Capex” to enter capital expenditures. You will find separate groups for intangible, tangible and financial assets. There are also options for finance lease, sale of assets and capitalization of company produced assets (refer to the manual for any details).</a:t>
          </a:r>
        </a:p>
        <a:p>
          <a:endParaRPr lang="de-DE"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15. Enter financing assumption (final step)</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Before going to sheet “Financing” to fine-tune funding sources and structure, enter tax advances (prepayments) on sheet “Inputs”. Below the input row you can see the actual amounts, calculated by the tool based on your inputs and assumptions.</a:t>
          </a:r>
          <a:endParaRPr lang="de-DE" sz="1100">
            <a:solidFill>
              <a:schemeClr val="dk1"/>
            </a:solidFill>
            <a:effectLst/>
            <a:latin typeface="+mn-lt"/>
            <a:ea typeface="+mn-ea"/>
            <a:cs typeface="+mn-cs"/>
          </a:endParaRPr>
        </a:p>
        <a:p>
          <a:r>
            <a:rPr lang="en-GB" sz="1100">
              <a:solidFill>
                <a:schemeClr val="dk1"/>
              </a:solidFill>
              <a:effectLst/>
              <a:latin typeface="+mn-lt"/>
              <a:ea typeface="+mn-ea"/>
              <a:cs typeface="+mn-cs"/>
            </a:rPr>
            <a:t>Back on sheet “Financing” the drawdown of capital tranches is organized by a default funding waterfall (= funding cascade). After calculation of monthly funding needs, equity will be used first, followed by different debt tranches and an overdraft facility at the end of the cascade.</a:t>
          </a:r>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endParaRPr lang="de-DE" sz="1000" baseline="0">
            <a:solidFill>
              <a:schemeClr val="dk1"/>
            </a:solidFill>
            <a:effectLst/>
            <a:latin typeface="+mn-lt"/>
            <a:ea typeface="+mn-ea"/>
            <a:cs typeface="+mn-cs"/>
          </a:endParaRPr>
        </a:p>
        <a:p>
          <a:pPr marL="0" indent="0"/>
          <a:endParaRPr lang="de-DE" sz="1000" b="1" baseline="0">
            <a:solidFill>
              <a:srgbClr val="313D72"/>
            </a:solidFill>
            <a:latin typeface="+mn-lt"/>
            <a:ea typeface="+mn-ea"/>
            <a:cs typeface="Arial" pitchFamily="34" charset="0"/>
          </a:endParaRPr>
        </a:p>
      </xdr:txBody>
    </xdr:sp>
    <xdr:clientData/>
  </xdr:twoCellAnchor>
  <xdr:twoCellAnchor>
    <xdr:from>
      <xdr:col>1</xdr:col>
      <xdr:colOff>0</xdr:colOff>
      <xdr:row>0</xdr:row>
      <xdr:rowOff>161191</xdr:rowOff>
    </xdr:from>
    <xdr:to>
      <xdr:col>16</xdr:col>
      <xdr:colOff>0</xdr:colOff>
      <xdr:row>8</xdr:row>
      <xdr:rowOff>161192</xdr:rowOff>
    </xdr:to>
    <xdr:sp macro="" textlink="">
      <xdr:nvSpPr>
        <xdr:cNvPr id="15" name="TextBox 4"/>
        <xdr:cNvSpPr txBox="1"/>
      </xdr:nvSpPr>
      <xdr:spPr>
        <a:xfrm>
          <a:off x="219808" y="161191"/>
          <a:ext cx="8682404" cy="1289539"/>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AU" sz="2000" i="1">
              <a:solidFill>
                <a:schemeClr val="tx1">
                  <a:lumMod val="75000"/>
                  <a:lumOff val="25000"/>
                </a:schemeClr>
              </a:solidFill>
              <a:latin typeface="+mn-lt"/>
              <a:cs typeface="Arial" pitchFamily="34" charset="0"/>
            </a:rPr>
            <a:t>Quick Start Guide</a:t>
          </a:r>
          <a:endParaRPr lang="en-AU" sz="2000" i="1" baseline="0">
            <a:solidFill>
              <a:schemeClr val="tx1">
                <a:lumMod val="75000"/>
                <a:lumOff val="25000"/>
              </a:schemeClr>
            </a:solidFill>
            <a:latin typeface="+mn-lt"/>
            <a:cs typeface="Arial" pitchFamily="34" charset="0"/>
          </a:endParaRPr>
        </a:p>
        <a:p>
          <a:endParaRPr lang="en-AU" sz="1000" baseline="0">
            <a:solidFill>
              <a:schemeClr val="tx1">
                <a:lumMod val="75000"/>
                <a:lumOff val="25000"/>
              </a:schemeClr>
            </a:solidFill>
            <a:latin typeface="+mn-lt"/>
            <a:cs typeface="Arial" pitchFamily="34" charset="0"/>
          </a:endParaRPr>
        </a:p>
        <a:p>
          <a:r>
            <a:rPr lang="de-DE" sz="1100" b="1" baseline="0">
              <a:solidFill>
                <a:srgbClr val="313D72"/>
              </a:solidFill>
              <a:latin typeface="+mn-lt"/>
              <a:ea typeface="+mn-ea"/>
              <a:cs typeface="Arial" pitchFamily="34" charset="0"/>
            </a:rPr>
            <a:t>Note</a:t>
          </a:r>
        </a:p>
        <a:p>
          <a:r>
            <a:rPr lang="de-DE" sz="1100">
              <a:solidFill>
                <a:schemeClr val="dk1"/>
              </a:solidFill>
              <a:effectLst/>
              <a:latin typeface="+mn-lt"/>
              <a:ea typeface="+mn-ea"/>
              <a:cs typeface="+mn-cs"/>
            </a:rPr>
            <a:t>This quick start guide will help you to get started. It will provide you with an overview of the layout and structure of Excel-Financial-Model as well as the basic steps (chronology) of the planning process. This short introduction cannot replace the comprehensive </a:t>
          </a:r>
          <a:r>
            <a:rPr lang="de-DE" sz="1100" baseline="0">
              <a:solidFill>
                <a:schemeClr val="dk1"/>
              </a:solidFill>
              <a:effectLst/>
              <a:latin typeface="+mn-lt"/>
              <a:ea typeface="+mn-ea"/>
              <a:cs typeface="+mn-cs"/>
            </a:rPr>
            <a:t>Manual.</a:t>
          </a:r>
        </a:p>
        <a:p>
          <a:r>
            <a:rPr lang="de-DE" sz="1100">
              <a:solidFill>
                <a:schemeClr val="dk1"/>
              </a:solidFill>
              <a:effectLst/>
              <a:latin typeface="+mn-lt"/>
              <a:ea typeface="+mn-ea"/>
              <a:cs typeface="+mn-cs"/>
            </a:rPr>
            <a:t>For more detailed information users are strongly encouraged to read the "Users Manual".</a:t>
          </a:r>
          <a:endParaRPr lang="de-DE" sz="1000" baseline="0">
            <a:solidFill>
              <a:schemeClr val="dk1"/>
            </a:solidFill>
            <a:effectLst/>
            <a:latin typeface="+mn-lt"/>
            <a:ea typeface="+mn-ea"/>
            <a:cs typeface="+mn-cs"/>
          </a:endParaRPr>
        </a:p>
      </xdr:txBody>
    </xdr:sp>
    <xdr:clientData/>
  </xdr:twoCellAnchor>
  <xdr:twoCellAnchor>
    <xdr:from>
      <xdr:col>2</xdr:col>
      <xdr:colOff>118241</xdr:colOff>
      <xdr:row>12</xdr:row>
      <xdr:rowOff>52551</xdr:rowOff>
    </xdr:from>
    <xdr:to>
      <xdr:col>12</xdr:col>
      <xdr:colOff>530523</xdr:colOff>
      <xdr:row>40</xdr:row>
      <xdr:rowOff>5624</xdr:rowOff>
    </xdr:to>
    <xdr:pic>
      <xdr:nvPicPr>
        <xdr:cNvPr id="6" name="Grafik 5"/>
        <xdr:cNvPicPr>
          <a:picLocks noChangeAspect="1"/>
        </xdr:cNvPicPr>
      </xdr:nvPicPr>
      <xdr:blipFill>
        <a:blip xmlns:r="http://schemas.openxmlformats.org/officeDocument/2006/relationships" r:embed="rId1"/>
        <a:stretch>
          <a:fillRect/>
        </a:stretch>
      </xdr:blipFill>
      <xdr:spPr>
        <a:xfrm>
          <a:off x="913086" y="2023241"/>
          <a:ext cx="6192971" cy="4551349"/>
        </a:xfrm>
        <a:prstGeom prst="rect">
          <a:avLst/>
        </a:prstGeom>
      </xdr:spPr>
    </xdr:pic>
    <xdr:clientData/>
  </xdr:twoCellAnchor>
  <xdr:twoCellAnchor>
    <xdr:from>
      <xdr:col>9</xdr:col>
      <xdr:colOff>354724</xdr:colOff>
      <xdr:row>47</xdr:row>
      <xdr:rowOff>6569</xdr:rowOff>
    </xdr:from>
    <xdr:to>
      <xdr:col>14</xdr:col>
      <xdr:colOff>550094</xdr:colOff>
      <xdr:row>49</xdr:row>
      <xdr:rowOff>78120</xdr:rowOff>
    </xdr:to>
    <xdr:pic>
      <xdr:nvPicPr>
        <xdr:cNvPr id="3" name="Grafik 2"/>
        <xdr:cNvPicPr>
          <a:picLocks noChangeAspect="1"/>
        </xdr:cNvPicPr>
      </xdr:nvPicPr>
      <xdr:blipFill>
        <a:blip xmlns:r="http://schemas.openxmlformats.org/officeDocument/2006/relationships" r:embed="rId2"/>
        <a:stretch>
          <a:fillRect/>
        </a:stretch>
      </xdr:blipFill>
      <xdr:spPr>
        <a:xfrm>
          <a:off x="5196052" y="7725103"/>
          <a:ext cx="3085714" cy="4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37</xdr:row>
      <xdr:rowOff>0</xdr:rowOff>
    </xdr:from>
    <xdr:to>
      <xdr:col>17</xdr:col>
      <xdr:colOff>0</xdr:colOff>
      <xdr:row>42</xdr:row>
      <xdr:rowOff>0</xdr:rowOff>
    </xdr:to>
    <xdr:sp macro="" textlink="">
      <xdr:nvSpPr>
        <xdr:cNvPr id="3" name="Text Box 2"/>
        <xdr:cNvSpPr txBox="1">
          <a:spLocks noChangeArrowheads="1"/>
        </xdr:cNvSpPr>
      </xdr:nvSpPr>
      <xdr:spPr bwMode="auto">
        <a:xfrm>
          <a:off x="1381125" y="9448800"/>
          <a:ext cx="6334125" cy="1666875"/>
        </a:xfrm>
        <a:prstGeom prst="rect">
          <a:avLst/>
        </a:prstGeom>
        <a:noFill/>
        <a:ln w="9525">
          <a:noFill/>
          <a:miter lim="800000"/>
          <a:headEnd/>
          <a:tailEnd/>
        </a:ln>
      </xdr:spPr>
      <xdr:txBody>
        <a:bodyPr vertOverflow="clip" wrap="square" lIns="27432" tIns="22860" rIns="0" bIns="0" anchor="t" upright="1"/>
        <a:lstStyle/>
        <a:p>
          <a:pPr algn="l" rtl="0">
            <a:defRPr sz="1000"/>
          </a:pPr>
          <a:endParaRPr lang="de-DE" sz="1000" b="0" i="0" u="none" strike="noStrike" baseline="0">
            <a:solidFill>
              <a:schemeClr val="tx1"/>
            </a:solidFill>
            <a:latin typeface="Arial"/>
            <a:cs typeface="Arial"/>
          </a:endParaRPr>
        </a:p>
        <a:p>
          <a:pPr algn="l" rtl="0">
            <a:defRPr sz="1000"/>
          </a:pPr>
          <a:endParaRPr lang="de-DE" sz="1000" b="0" i="0" u="none" strike="noStrike" baseline="0">
            <a:solidFill>
              <a:schemeClr val="tx1"/>
            </a:solidFill>
            <a:latin typeface="Arial"/>
            <a:cs typeface="Arial"/>
          </a:endParaRPr>
        </a:p>
        <a:p>
          <a:pPr algn="l" rtl="0">
            <a:defRPr sz="1000"/>
          </a:pPr>
          <a:r>
            <a:rPr lang="de-DE" sz="1000" b="0" i="0" u="none" strike="noStrike" baseline="0">
              <a:solidFill>
                <a:srgbClr val="FF0000"/>
              </a:solidFill>
              <a:latin typeface="Arial"/>
              <a:cs typeface="Arial"/>
            </a:rPr>
            <a:t> =&gt; fill in your own disclaimer here !</a:t>
          </a:r>
        </a:p>
        <a:p>
          <a:pPr algn="l" rtl="0">
            <a:defRPr sz="1000"/>
          </a:pPr>
          <a:endParaRPr lang="de-DE" sz="1000" b="0" i="0" u="none" strike="noStrike" baseline="0">
            <a:solidFill>
              <a:schemeClr val="tx1"/>
            </a:solidFill>
            <a:latin typeface="Arial"/>
            <a:cs typeface="Arial"/>
          </a:endParaRPr>
        </a:p>
      </xdr:txBody>
    </xdr:sp>
    <xdr:clientData/>
  </xdr:twoCellAnchor>
  <xdr:twoCellAnchor>
    <xdr:from>
      <xdr:col>4</xdr:col>
      <xdr:colOff>0</xdr:colOff>
      <xdr:row>45</xdr:row>
      <xdr:rowOff>0</xdr:rowOff>
    </xdr:from>
    <xdr:to>
      <xdr:col>17</xdr:col>
      <xdr:colOff>0</xdr:colOff>
      <xdr:row>50</xdr:row>
      <xdr:rowOff>0</xdr:rowOff>
    </xdr:to>
    <xdr:sp macro="" textlink="">
      <xdr:nvSpPr>
        <xdr:cNvPr id="4" name="Text Box 3"/>
        <xdr:cNvSpPr txBox="1">
          <a:spLocks noChangeArrowheads="1"/>
        </xdr:cNvSpPr>
      </xdr:nvSpPr>
      <xdr:spPr bwMode="auto">
        <a:xfrm>
          <a:off x="1381125" y="11830050"/>
          <a:ext cx="6334125" cy="1190625"/>
        </a:xfrm>
        <a:prstGeom prst="rect">
          <a:avLst/>
        </a:prstGeom>
        <a:noFill/>
        <a:ln w="9525">
          <a:noFill/>
          <a:miter lim="800000"/>
          <a:headEnd/>
          <a:tailEnd/>
        </a:ln>
      </xdr:spPr>
      <xdr:txBody>
        <a:bodyPr vertOverflow="clip" wrap="square" lIns="27432" tIns="22860" rIns="0" bIns="0" anchor="t" upright="1"/>
        <a:lstStyle/>
        <a:p>
          <a:endParaRPr lang="en-AU" sz="1000">
            <a:solidFill>
              <a:schemeClr val="tx1"/>
            </a:solidFill>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AU" sz="1000">
              <a:solidFill>
                <a:srgbClr val="FF0000"/>
              </a:solidFill>
              <a:latin typeface="Arial" pitchFamily="34" charset="0"/>
              <a:ea typeface="+mn-ea"/>
              <a:cs typeface="Arial" pitchFamily="34" charset="0"/>
            </a:rPr>
            <a:t>=&gt; </a:t>
          </a:r>
          <a:r>
            <a:rPr lang="de-DE" sz="1000">
              <a:solidFill>
                <a:srgbClr val="FF0000"/>
              </a:solidFill>
              <a:latin typeface="Arial" pitchFamily="34" charset="0"/>
              <a:ea typeface="+mn-ea"/>
              <a:cs typeface="Arial" pitchFamily="34" charset="0"/>
            </a:rPr>
            <a:t> fill in your own contact data here !</a:t>
          </a:r>
        </a:p>
      </xdr:txBody>
    </xdr:sp>
    <xdr:clientData/>
  </xdr:twoCellAnchor>
  <xdr:twoCellAnchor>
    <xdr:from>
      <xdr:col>3</xdr:col>
      <xdr:colOff>361950</xdr:colOff>
      <xdr:row>4</xdr:row>
      <xdr:rowOff>38100</xdr:rowOff>
    </xdr:from>
    <xdr:to>
      <xdr:col>3</xdr:col>
      <xdr:colOff>361950</xdr:colOff>
      <xdr:row>5</xdr:row>
      <xdr:rowOff>162152</xdr:rowOff>
    </xdr:to>
    <xdr:pic>
      <xdr:nvPicPr>
        <xdr:cNvPr id="5" name="Picture 4" descr="UNIchip_Logo40grau">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1075" y="628650"/>
          <a:ext cx="0" cy="628877"/>
        </a:xfrm>
        <a:prstGeom prst="rect">
          <a:avLst/>
        </a:prstGeom>
        <a:noFill/>
      </xdr:spPr>
    </xdr:pic>
    <xdr:clientData/>
  </xdr:twoCellAnchor>
  <xdr:twoCellAnchor>
    <xdr:from>
      <xdr:col>10</xdr:col>
      <xdr:colOff>674701</xdr:colOff>
      <xdr:row>3</xdr:row>
      <xdr:rowOff>173131</xdr:rowOff>
    </xdr:from>
    <xdr:to>
      <xdr:col>13</xdr:col>
      <xdr:colOff>161316</xdr:colOff>
      <xdr:row>7</xdr:row>
      <xdr:rowOff>190500</xdr:rowOff>
    </xdr:to>
    <xdr:pic>
      <xdr:nvPicPr>
        <xdr:cNvPr id="11" name="Grafik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12848" y="542925"/>
          <a:ext cx="3005262" cy="1238810"/>
        </a:xfrm>
        <a:prstGeom prst="rect">
          <a:avLst/>
        </a:prstGeom>
      </xdr:spPr>
    </xdr:pic>
    <xdr:clientData/>
  </xdr:twoCellAnchor>
  <xdr:twoCellAnchor editAs="oneCell">
    <xdr:from>
      <xdr:col>14</xdr:col>
      <xdr:colOff>0</xdr:colOff>
      <xdr:row>21</xdr:row>
      <xdr:rowOff>235324</xdr:rowOff>
    </xdr:from>
    <xdr:to>
      <xdr:col>17</xdr:col>
      <xdr:colOff>1</xdr:colOff>
      <xdr:row>23</xdr:row>
      <xdr:rowOff>28195</xdr:rowOff>
    </xdr:to>
    <xdr:sp macro="" textlink="">
      <xdr:nvSpPr>
        <xdr:cNvPr id="6" name="Text Box 13">
          <a:hlinkClick xmlns:r="http://schemas.openxmlformats.org/officeDocument/2006/relationships" r:id="rId4" tooltip="Get full commercial version"/>
        </xdr:cNvPr>
        <xdr:cNvSpPr txBox="1">
          <a:spLocks noChangeAspect="1" noChangeArrowheads="1"/>
        </xdr:cNvSpPr>
      </xdr:nvSpPr>
      <xdr:spPr bwMode="auto">
        <a:xfrm>
          <a:off x="11687735" y="5165912"/>
          <a:ext cx="1994648" cy="285930"/>
        </a:xfrm>
        <a:prstGeom prst="rect">
          <a:avLst/>
        </a:prstGeom>
        <a:solidFill>
          <a:srgbClr val="FFFF00"/>
        </a:solidFill>
        <a:ln/>
        <a:extLst/>
      </xdr:spPr>
      <xdr:style>
        <a:lnRef idx="3">
          <a:schemeClr val="lt1"/>
        </a:lnRef>
        <a:fillRef idx="1">
          <a:schemeClr val="accent1"/>
        </a:fillRef>
        <a:effectRef idx="1">
          <a:schemeClr val="accent1"/>
        </a:effectRef>
        <a:fontRef idx="minor">
          <a:schemeClr val="lt1"/>
        </a:fontRef>
      </xdr:style>
      <xdr:txBody>
        <a:bodyPr vertOverflow="clip" wrap="square" lIns="27432" tIns="22860" rIns="27432" bIns="22860" anchor="ctr" upright="1"/>
        <a:lstStyle/>
        <a:p>
          <a:pPr algn="ctr" rtl="0">
            <a:defRPr sz="1000"/>
          </a:pPr>
          <a:r>
            <a:rPr lang="de-AT" sz="1100" b="1" i="0" u="none" strike="noStrike" baseline="0">
              <a:solidFill>
                <a:schemeClr val="tx1"/>
              </a:solidFill>
              <a:latin typeface="Arial"/>
              <a:cs typeface="Arial"/>
            </a:rPr>
            <a:t>Full Version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6</xdr:row>
      <xdr:rowOff>0</xdr:rowOff>
    </xdr:from>
    <xdr:to>
      <xdr:col>15</xdr:col>
      <xdr:colOff>0</xdr:colOff>
      <xdr:row>19</xdr:row>
      <xdr:rowOff>1</xdr:rowOff>
    </xdr:to>
    <xdr:sp macro="" textlink="">
      <xdr:nvSpPr>
        <xdr:cNvPr id="2" name="Rectangle 1"/>
        <xdr:cNvSpPr>
          <a:spLocks noChangeArrowheads="1"/>
        </xdr:cNvSpPr>
      </xdr:nvSpPr>
      <xdr:spPr bwMode="auto">
        <a:xfrm>
          <a:off x="714375" y="1485900"/>
          <a:ext cx="4762500" cy="3000376"/>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369793</xdr:colOff>
      <xdr:row>29</xdr:row>
      <xdr:rowOff>1</xdr:rowOff>
    </xdr:from>
    <xdr:to>
      <xdr:col>40</xdr:col>
      <xdr:colOff>0</xdr:colOff>
      <xdr:row>55</xdr:row>
      <xdr:rowOff>1</xdr:rowOff>
    </xdr:to>
    <xdr:sp macro="" textlink="">
      <xdr:nvSpPr>
        <xdr:cNvPr id="3" name="Rectangle 1"/>
        <xdr:cNvSpPr>
          <a:spLocks noChangeArrowheads="1"/>
        </xdr:cNvSpPr>
      </xdr:nvSpPr>
      <xdr:spPr bwMode="auto">
        <a:xfrm>
          <a:off x="717175" y="6443383"/>
          <a:ext cx="13402237" cy="4773706"/>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57</xdr:row>
      <xdr:rowOff>0</xdr:rowOff>
    </xdr:from>
    <xdr:to>
      <xdr:col>36</xdr:col>
      <xdr:colOff>0</xdr:colOff>
      <xdr:row>78</xdr:row>
      <xdr:rowOff>0</xdr:rowOff>
    </xdr:to>
    <xdr:sp macro="" textlink="">
      <xdr:nvSpPr>
        <xdr:cNvPr id="4" name="Rectangle 1"/>
        <xdr:cNvSpPr>
          <a:spLocks noChangeArrowheads="1"/>
        </xdr:cNvSpPr>
      </xdr:nvSpPr>
      <xdr:spPr bwMode="auto">
        <a:xfrm>
          <a:off x="714375" y="11525250"/>
          <a:ext cx="12220575" cy="6181725"/>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226</xdr:row>
      <xdr:rowOff>0</xdr:rowOff>
    </xdr:from>
    <xdr:to>
      <xdr:col>19</xdr:col>
      <xdr:colOff>0</xdr:colOff>
      <xdr:row>246</xdr:row>
      <xdr:rowOff>0</xdr:rowOff>
    </xdr:to>
    <xdr:sp macro="" textlink="">
      <xdr:nvSpPr>
        <xdr:cNvPr id="5" name="Rectangle 1"/>
        <xdr:cNvSpPr>
          <a:spLocks noChangeArrowheads="1"/>
        </xdr:cNvSpPr>
      </xdr:nvSpPr>
      <xdr:spPr bwMode="auto">
        <a:xfrm>
          <a:off x="717176" y="49967029"/>
          <a:ext cx="6768353" cy="4325471"/>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0</xdr:colOff>
      <xdr:row>6</xdr:row>
      <xdr:rowOff>0</xdr:rowOff>
    </xdr:from>
    <xdr:to>
      <xdr:col>40</xdr:col>
      <xdr:colOff>0</xdr:colOff>
      <xdr:row>19</xdr:row>
      <xdr:rowOff>0</xdr:rowOff>
    </xdr:to>
    <xdr:sp macro="" textlink="">
      <xdr:nvSpPr>
        <xdr:cNvPr id="7" name="Rectangle 1"/>
        <xdr:cNvSpPr>
          <a:spLocks noChangeArrowheads="1"/>
        </xdr:cNvSpPr>
      </xdr:nvSpPr>
      <xdr:spPr bwMode="auto">
        <a:xfrm>
          <a:off x="7515225" y="1485900"/>
          <a:ext cx="6334125" cy="3000375"/>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347382</xdr:colOff>
      <xdr:row>203</xdr:row>
      <xdr:rowOff>214593</xdr:rowOff>
    </xdr:from>
    <xdr:to>
      <xdr:col>36</xdr:col>
      <xdr:colOff>0</xdr:colOff>
      <xdr:row>223</xdr:row>
      <xdr:rowOff>1</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226</xdr:row>
      <xdr:rowOff>0</xdr:rowOff>
    </xdr:from>
    <xdr:to>
      <xdr:col>40</xdr:col>
      <xdr:colOff>0</xdr:colOff>
      <xdr:row>246</xdr:row>
      <xdr:rowOff>0</xdr:rowOff>
    </xdr:to>
    <xdr:sp macro="" textlink="">
      <xdr:nvSpPr>
        <xdr:cNvPr id="9" name="Rectangle 1"/>
        <xdr:cNvSpPr>
          <a:spLocks noChangeArrowheads="1"/>
        </xdr:cNvSpPr>
      </xdr:nvSpPr>
      <xdr:spPr bwMode="auto">
        <a:xfrm>
          <a:off x="7351059" y="17279471"/>
          <a:ext cx="6958853" cy="4325470"/>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0</xdr:colOff>
      <xdr:row>21</xdr:row>
      <xdr:rowOff>0</xdr:rowOff>
    </xdr:from>
    <xdr:to>
      <xdr:col>35</xdr:col>
      <xdr:colOff>0</xdr:colOff>
      <xdr:row>28</xdr:row>
      <xdr:rowOff>0</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219074</xdr:rowOff>
    </xdr:from>
    <xdr:to>
      <xdr:col>40</xdr:col>
      <xdr:colOff>0</xdr:colOff>
      <xdr:row>27</xdr:row>
      <xdr:rowOff>219074</xdr:rowOff>
    </xdr:to>
    <xdr:sp macro="" textlink="">
      <xdr:nvSpPr>
        <xdr:cNvPr id="11" name="Rectangle 1"/>
        <xdr:cNvSpPr>
          <a:spLocks noChangeArrowheads="1"/>
        </xdr:cNvSpPr>
      </xdr:nvSpPr>
      <xdr:spPr bwMode="auto">
        <a:xfrm>
          <a:off x="714375" y="4924424"/>
          <a:ext cx="13134975" cy="1447800"/>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2</xdr:row>
      <xdr:rowOff>0</xdr:rowOff>
    </xdr:from>
    <xdr:to>
      <xdr:col>40</xdr:col>
      <xdr:colOff>0</xdr:colOff>
      <xdr:row>4</xdr:row>
      <xdr:rowOff>255058</xdr:rowOff>
    </xdr:to>
    <xdr:sp macro="" textlink="">
      <xdr:nvSpPr>
        <xdr:cNvPr id="12" name="Rectangle 1"/>
        <xdr:cNvSpPr>
          <a:spLocks noChangeArrowheads="1"/>
        </xdr:cNvSpPr>
      </xdr:nvSpPr>
      <xdr:spPr bwMode="auto">
        <a:xfrm>
          <a:off x="714375" y="466725"/>
          <a:ext cx="13134975" cy="788458"/>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315</xdr:row>
      <xdr:rowOff>0</xdr:rowOff>
    </xdr:from>
    <xdr:to>
      <xdr:col>40</xdr:col>
      <xdr:colOff>0</xdr:colOff>
      <xdr:row>338</xdr:row>
      <xdr:rowOff>0</xdr:rowOff>
    </xdr:to>
    <xdr:sp macro="" textlink="">
      <xdr:nvSpPr>
        <xdr:cNvPr id="13" name="Rectangle 1"/>
        <xdr:cNvSpPr>
          <a:spLocks noChangeArrowheads="1"/>
        </xdr:cNvSpPr>
      </xdr:nvSpPr>
      <xdr:spPr bwMode="auto">
        <a:xfrm>
          <a:off x="714375" y="32146875"/>
          <a:ext cx="13392150" cy="3981450"/>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248</xdr:row>
      <xdr:rowOff>0</xdr:rowOff>
    </xdr:from>
    <xdr:to>
      <xdr:col>40</xdr:col>
      <xdr:colOff>0</xdr:colOff>
      <xdr:row>289</xdr:row>
      <xdr:rowOff>0</xdr:rowOff>
    </xdr:to>
    <xdr:sp macro="" textlink="">
      <xdr:nvSpPr>
        <xdr:cNvPr id="14" name="Rectangle 1"/>
        <xdr:cNvSpPr>
          <a:spLocks noChangeArrowheads="1"/>
        </xdr:cNvSpPr>
      </xdr:nvSpPr>
      <xdr:spPr bwMode="auto">
        <a:xfrm>
          <a:off x="714375" y="17897475"/>
          <a:ext cx="13134975" cy="5381625"/>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0</xdr:colOff>
      <xdr:row>252</xdr:row>
      <xdr:rowOff>219074</xdr:rowOff>
    </xdr:from>
    <xdr:to>
      <xdr:col>40</xdr:col>
      <xdr:colOff>0</xdr:colOff>
      <xdr:row>287</xdr:row>
      <xdr:rowOff>219074</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361</xdr:row>
      <xdr:rowOff>0</xdr:rowOff>
    </xdr:from>
    <xdr:to>
      <xdr:col>40</xdr:col>
      <xdr:colOff>0</xdr:colOff>
      <xdr:row>384</xdr:row>
      <xdr:rowOff>0</xdr:rowOff>
    </xdr:to>
    <xdr:sp macro="" textlink="">
      <xdr:nvSpPr>
        <xdr:cNvPr id="20" name="Rectangle 1"/>
        <xdr:cNvSpPr>
          <a:spLocks noChangeArrowheads="1"/>
        </xdr:cNvSpPr>
      </xdr:nvSpPr>
      <xdr:spPr bwMode="auto">
        <a:xfrm>
          <a:off x="11855824" y="78721324"/>
          <a:ext cx="3350558" cy="5221941"/>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40022</xdr:colOff>
      <xdr:row>7</xdr:row>
      <xdr:rowOff>98370</xdr:rowOff>
    </xdr:from>
    <xdr:to>
      <xdr:col>39</xdr:col>
      <xdr:colOff>0</xdr:colOff>
      <xdr:row>19</xdr:row>
      <xdr:rowOff>0</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56029</xdr:colOff>
      <xdr:row>226</xdr:row>
      <xdr:rowOff>67235</xdr:rowOff>
    </xdr:from>
    <xdr:to>
      <xdr:col>40</xdr:col>
      <xdr:colOff>0</xdr:colOff>
      <xdr:row>245</xdr:row>
      <xdr:rowOff>100852</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201</xdr:row>
      <xdr:rowOff>219074</xdr:rowOff>
    </xdr:from>
    <xdr:to>
      <xdr:col>36</xdr:col>
      <xdr:colOff>0</xdr:colOff>
      <xdr:row>223</xdr:row>
      <xdr:rowOff>114299</xdr:rowOff>
    </xdr:to>
    <xdr:sp macro="" textlink="">
      <xdr:nvSpPr>
        <xdr:cNvPr id="24" name="Rectangle 1"/>
        <xdr:cNvSpPr>
          <a:spLocks noChangeArrowheads="1"/>
        </xdr:cNvSpPr>
      </xdr:nvSpPr>
      <xdr:spPr bwMode="auto">
        <a:xfrm>
          <a:off x="714375" y="16687799"/>
          <a:ext cx="12220575" cy="4714875"/>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293243</xdr:colOff>
      <xdr:row>293</xdr:row>
      <xdr:rowOff>0</xdr:rowOff>
    </xdr:from>
    <xdr:to>
      <xdr:col>39</xdr:col>
      <xdr:colOff>0</xdr:colOff>
      <xdr:row>313</xdr:row>
      <xdr:rowOff>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290</xdr:row>
      <xdr:rowOff>224116</xdr:rowOff>
    </xdr:from>
    <xdr:to>
      <xdr:col>40</xdr:col>
      <xdr:colOff>0</xdr:colOff>
      <xdr:row>312</xdr:row>
      <xdr:rowOff>224117</xdr:rowOff>
    </xdr:to>
    <xdr:sp macro="" textlink="">
      <xdr:nvSpPr>
        <xdr:cNvPr id="27" name="Rectangle 1"/>
        <xdr:cNvSpPr>
          <a:spLocks noChangeArrowheads="1"/>
        </xdr:cNvSpPr>
      </xdr:nvSpPr>
      <xdr:spPr bwMode="auto">
        <a:xfrm>
          <a:off x="717176" y="36251028"/>
          <a:ext cx="14309912" cy="4930589"/>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84</xdr:row>
      <xdr:rowOff>0</xdr:rowOff>
    </xdr:from>
    <xdr:to>
      <xdr:col>39</xdr:col>
      <xdr:colOff>0</xdr:colOff>
      <xdr:row>105</xdr:row>
      <xdr:rowOff>0</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124</xdr:row>
      <xdr:rowOff>0</xdr:rowOff>
    </xdr:from>
    <xdr:to>
      <xdr:col>39</xdr:col>
      <xdr:colOff>0</xdr:colOff>
      <xdr:row>145</xdr:row>
      <xdr:rowOff>0</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164</xdr:row>
      <xdr:rowOff>0</xdr:rowOff>
    </xdr:from>
    <xdr:to>
      <xdr:col>39</xdr:col>
      <xdr:colOff>0</xdr:colOff>
      <xdr:row>185</xdr:row>
      <xdr:rowOff>0</xdr:rowOff>
    </xdr:to>
    <xdr:graphicFrame macro="">
      <xdr:nvGraphicFramePr>
        <xdr:cNvPr id="35"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367391</xdr:colOff>
      <xdr:row>80</xdr:row>
      <xdr:rowOff>0</xdr:rowOff>
    </xdr:from>
    <xdr:to>
      <xdr:col>38</xdr:col>
      <xdr:colOff>394606</xdr:colOff>
      <xdr:row>120</xdr:row>
      <xdr:rowOff>0</xdr:rowOff>
    </xdr:to>
    <xdr:sp macro="" textlink="">
      <xdr:nvSpPr>
        <xdr:cNvPr id="39" name="Rectangle 1"/>
        <xdr:cNvSpPr>
          <a:spLocks noChangeArrowheads="1"/>
        </xdr:cNvSpPr>
      </xdr:nvSpPr>
      <xdr:spPr bwMode="auto">
        <a:xfrm>
          <a:off x="707570" y="16587107"/>
          <a:ext cx="14151429" cy="8640536"/>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122</xdr:row>
      <xdr:rowOff>1</xdr:rowOff>
    </xdr:from>
    <xdr:to>
      <xdr:col>39</xdr:col>
      <xdr:colOff>0</xdr:colOff>
      <xdr:row>160</xdr:row>
      <xdr:rowOff>1</xdr:rowOff>
    </xdr:to>
    <xdr:sp macro="" textlink="">
      <xdr:nvSpPr>
        <xdr:cNvPr id="40" name="Rectangle 1"/>
        <xdr:cNvSpPr>
          <a:spLocks noChangeArrowheads="1"/>
        </xdr:cNvSpPr>
      </xdr:nvSpPr>
      <xdr:spPr bwMode="auto">
        <a:xfrm>
          <a:off x="714375" y="25822276"/>
          <a:ext cx="14116050" cy="8324850"/>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162</xdr:row>
      <xdr:rowOff>0</xdr:rowOff>
    </xdr:from>
    <xdr:to>
      <xdr:col>39</xdr:col>
      <xdr:colOff>0</xdr:colOff>
      <xdr:row>200</xdr:row>
      <xdr:rowOff>0</xdr:rowOff>
    </xdr:to>
    <xdr:sp macro="" textlink="">
      <xdr:nvSpPr>
        <xdr:cNvPr id="41" name="Rectangle 1"/>
        <xdr:cNvSpPr>
          <a:spLocks noChangeArrowheads="1"/>
        </xdr:cNvSpPr>
      </xdr:nvSpPr>
      <xdr:spPr bwMode="auto">
        <a:xfrm>
          <a:off x="714375" y="34585275"/>
          <a:ext cx="14116050" cy="8324850"/>
        </a:xfrm>
        <a:prstGeom prst="rect">
          <a:avLst/>
        </a:prstGeom>
        <a:noFill/>
        <a:ln w="9525" algn="ctr">
          <a:solidFill>
            <a:srgbClr val="969696"/>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C0C0C0" mc:Ignorable="a14" a14:legacySpreadsheetColorIndex="22">
                  <a:alpha val="10196"/>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257733</xdr:colOff>
      <xdr:row>299</xdr:row>
      <xdr:rowOff>44823</xdr:rowOff>
    </xdr:from>
    <xdr:to>
      <xdr:col>30</xdr:col>
      <xdr:colOff>168087</xdr:colOff>
      <xdr:row>302</xdr:row>
      <xdr:rowOff>12886</xdr:rowOff>
    </xdr:to>
    <xdr:sp macro="" textlink="">
      <xdr:nvSpPr>
        <xdr:cNvPr id="6" name="Textfeld 5">
          <a:hlinkClick xmlns:r="http://schemas.openxmlformats.org/officeDocument/2006/relationships" r:id="rId10" tooltip="Get full commercial version"/>
        </xdr:cNvPr>
        <xdr:cNvSpPr txBox="1"/>
      </xdr:nvSpPr>
      <xdr:spPr>
        <a:xfrm rot="19954086">
          <a:off x="6958851" y="65744911"/>
          <a:ext cx="4706471" cy="64041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16</xdr:col>
      <xdr:colOff>152399</xdr:colOff>
      <xdr:row>170</xdr:row>
      <xdr:rowOff>219632</xdr:rowOff>
    </xdr:from>
    <xdr:to>
      <xdr:col>29</xdr:col>
      <xdr:colOff>62753</xdr:colOff>
      <xdr:row>173</xdr:row>
      <xdr:rowOff>187695</xdr:rowOff>
    </xdr:to>
    <xdr:sp macro="" textlink="">
      <xdr:nvSpPr>
        <xdr:cNvPr id="31" name="Textfeld 30">
          <a:hlinkClick xmlns:r="http://schemas.openxmlformats.org/officeDocument/2006/relationships" r:id="rId10" tooltip="Get full commercial version"/>
        </xdr:cNvPr>
        <xdr:cNvSpPr txBox="1"/>
      </xdr:nvSpPr>
      <xdr:spPr>
        <a:xfrm rot="19954086">
          <a:off x="6472517" y="37647279"/>
          <a:ext cx="4706471" cy="64041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15</xdr:col>
      <xdr:colOff>190500</xdr:colOff>
      <xdr:row>91</xdr:row>
      <xdr:rowOff>212912</xdr:rowOff>
    </xdr:from>
    <xdr:to>
      <xdr:col>28</xdr:col>
      <xdr:colOff>44824</xdr:colOff>
      <xdr:row>94</xdr:row>
      <xdr:rowOff>180975</xdr:rowOff>
    </xdr:to>
    <xdr:sp macro="" textlink="">
      <xdr:nvSpPr>
        <xdr:cNvPr id="33" name="Textfeld 32">
          <a:hlinkClick xmlns:r="http://schemas.openxmlformats.org/officeDocument/2006/relationships" r:id="rId10" tooltip="Get full commercial version"/>
        </xdr:cNvPr>
        <xdr:cNvSpPr txBox="1"/>
      </xdr:nvSpPr>
      <xdr:spPr>
        <a:xfrm rot="19954086">
          <a:off x="6107206" y="19800794"/>
          <a:ext cx="4706471" cy="64041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19</xdr:col>
      <xdr:colOff>168088</xdr:colOff>
      <xdr:row>210</xdr:row>
      <xdr:rowOff>11206</xdr:rowOff>
    </xdr:from>
    <xdr:to>
      <xdr:col>32</xdr:col>
      <xdr:colOff>168088</xdr:colOff>
      <xdr:row>212</xdr:row>
      <xdr:rowOff>203387</xdr:rowOff>
    </xdr:to>
    <xdr:sp macro="" textlink="">
      <xdr:nvSpPr>
        <xdr:cNvPr id="36" name="Textfeld 35">
          <a:hlinkClick xmlns:r="http://schemas.openxmlformats.org/officeDocument/2006/relationships" r:id="rId10" tooltip="Get full commercial version"/>
        </xdr:cNvPr>
        <xdr:cNvSpPr txBox="1"/>
      </xdr:nvSpPr>
      <xdr:spPr>
        <a:xfrm rot="19954086">
          <a:off x="7653617" y="46504412"/>
          <a:ext cx="4706471" cy="64041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twoCellAnchor editAs="oneCell">
    <xdr:from>
      <xdr:col>1</xdr:col>
      <xdr:colOff>285750</xdr:colOff>
      <xdr:row>360</xdr:row>
      <xdr:rowOff>85725</xdr:rowOff>
    </xdr:from>
    <xdr:to>
      <xdr:col>29</xdr:col>
      <xdr:colOff>198690</xdr:colOff>
      <xdr:row>384</xdr:row>
      <xdr:rowOff>132679</xdr:rowOff>
    </xdr:to>
    <xdr:pic>
      <xdr:nvPicPr>
        <xdr:cNvPr id="25" name="Grafik 24">
          <a:hlinkClick xmlns:r="http://schemas.openxmlformats.org/officeDocument/2006/relationships" r:id="rId10" tooltip="Get full commercial version"/>
        </xdr:cNvPr>
        <xdr:cNvPicPr>
          <a:picLocks noChangeAspect="1"/>
        </xdr:cNvPicPr>
      </xdr:nvPicPr>
      <xdr:blipFill>
        <a:blip xmlns:r="http://schemas.openxmlformats.org/officeDocument/2006/relationships" r:embed="rId11"/>
        <a:stretch>
          <a:fillRect/>
        </a:stretch>
      </xdr:blipFill>
      <xdr:spPr>
        <a:xfrm>
          <a:off x="628650" y="77628750"/>
          <a:ext cx="10676190" cy="5371429"/>
        </a:xfrm>
        <a:prstGeom prst="rect">
          <a:avLst/>
        </a:prstGeom>
      </xdr:spPr>
    </xdr:pic>
    <xdr:clientData/>
  </xdr:twoCellAnchor>
  <xdr:twoCellAnchor editAs="oneCell">
    <xdr:from>
      <xdr:col>1</xdr:col>
      <xdr:colOff>228600</xdr:colOff>
      <xdr:row>339</xdr:row>
      <xdr:rowOff>85725</xdr:rowOff>
    </xdr:from>
    <xdr:to>
      <xdr:col>40</xdr:col>
      <xdr:colOff>102934</xdr:colOff>
      <xdr:row>359</xdr:row>
      <xdr:rowOff>85164</xdr:rowOff>
    </xdr:to>
    <xdr:pic>
      <xdr:nvPicPr>
        <xdr:cNvPr id="28" name="Grafik 27">
          <a:hlinkClick xmlns:r="http://schemas.openxmlformats.org/officeDocument/2006/relationships" r:id="rId10" tooltip="Get full commercial version"/>
        </xdr:cNvPr>
        <xdr:cNvPicPr>
          <a:picLocks noChangeAspect="1"/>
        </xdr:cNvPicPr>
      </xdr:nvPicPr>
      <xdr:blipFill>
        <a:blip xmlns:r="http://schemas.openxmlformats.org/officeDocument/2006/relationships" r:embed="rId12"/>
        <a:stretch>
          <a:fillRect/>
        </a:stretch>
      </xdr:blipFill>
      <xdr:spPr>
        <a:xfrm>
          <a:off x="571500" y="72923400"/>
          <a:ext cx="14723809" cy="44857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22412</xdr:colOff>
      <xdr:row>1</xdr:row>
      <xdr:rowOff>67236</xdr:rowOff>
    </xdr:from>
    <xdr:to>
      <xdr:col>17</xdr:col>
      <xdr:colOff>119905</xdr:colOff>
      <xdr:row>3</xdr:row>
      <xdr:rowOff>244288</xdr:rowOff>
    </xdr:to>
    <xdr:sp macro="" textlink="">
      <xdr:nvSpPr>
        <xdr:cNvPr id="2" name="Textfeld 1">
          <a:hlinkClick xmlns:r="http://schemas.openxmlformats.org/officeDocument/2006/relationships" r:id="rId1" tooltip="Get full commercial version"/>
        </xdr:cNvPr>
        <xdr:cNvSpPr txBox="1"/>
      </xdr:nvSpPr>
      <xdr:spPr>
        <a:xfrm>
          <a:off x="7776883" y="324971"/>
          <a:ext cx="4691904" cy="6252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885265</xdr:colOff>
      <xdr:row>1</xdr:row>
      <xdr:rowOff>56029</xdr:rowOff>
    </xdr:from>
    <xdr:to>
      <xdr:col>17</xdr:col>
      <xdr:colOff>63875</xdr:colOff>
      <xdr:row>3</xdr:row>
      <xdr:rowOff>233081</xdr:rowOff>
    </xdr:to>
    <xdr:sp macro="" textlink="">
      <xdr:nvSpPr>
        <xdr:cNvPr id="2" name="Textfeld 1">
          <a:hlinkClick xmlns:r="http://schemas.openxmlformats.org/officeDocument/2006/relationships" r:id="rId1" tooltip="Get full commercial version"/>
        </xdr:cNvPr>
        <xdr:cNvSpPr txBox="1"/>
      </xdr:nvSpPr>
      <xdr:spPr>
        <a:xfrm>
          <a:off x="9345706" y="313764"/>
          <a:ext cx="4691904" cy="6252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22412</xdr:colOff>
      <xdr:row>1</xdr:row>
      <xdr:rowOff>67236</xdr:rowOff>
    </xdr:from>
    <xdr:to>
      <xdr:col>17</xdr:col>
      <xdr:colOff>119904</xdr:colOff>
      <xdr:row>3</xdr:row>
      <xdr:rowOff>244288</xdr:rowOff>
    </xdr:to>
    <xdr:sp macro="" textlink="">
      <xdr:nvSpPr>
        <xdr:cNvPr id="2" name="Textfeld 1">
          <a:hlinkClick xmlns:r="http://schemas.openxmlformats.org/officeDocument/2006/relationships" r:id="rId1" tooltip="Get full commercial version"/>
        </xdr:cNvPr>
        <xdr:cNvSpPr txBox="1"/>
      </xdr:nvSpPr>
      <xdr:spPr>
        <a:xfrm>
          <a:off x="7911353" y="324971"/>
          <a:ext cx="4691904" cy="6252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de-DE" sz="1400" b="1">
              <a:solidFill>
                <a:srgbClr val="FF0000"/>
              </a:solidFill>
              <a:latin typeface="Arial" panose="020B0604020202020204" pitchFamily="34" charset="0"/>
              <a:cs typeface="Arial" panose="020B0604020202020204" pitchFamily="34" charset="0"/>
            </a:rPr>
            <a:t>Commercial version will</a:t>
          </a:r>
          <a:r>
            <a:rPr lang="de-DE" sz="1400" b="1" baseline="0">
              <a:solidFill>
                <a:srgbClr val="FF0000"/>
              </a:solidFill>
              <a:latin typeface="Arial" panose="020B0604020202020204" pitchFamily="34" charset="0"/>
              <a:cs typeface="Arial" panose="020B0604020202020204" pitchFamily="34" charset="0"/>
            </a:rPr>
            <a:t> show up to 5 years !</a:t>
          </a:r>
          <a:endParaRPr lang="de-DE" sz="1400" b="1">
            <a:solidFill>
              <a:srgbClr val="FF0000"/>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1066800</xdr:colOff>
          <xdr:row>2</xdr:row>
          <xdr:rowOff>0</xdr:rowOff>
        </xdr:from>
        <xdr:to>
          <xdr:col>10</xdr:col>
          <xdr:colOff>0</xdr:colOff>
          <xdr:row>4</xdr:row>
          <xdr:rowOff>0</xdr:rowOff>
        </xdr:to>
        <xdr:sp macro="" textlink="">
          <xdr:nvSpPr>
            <xdr:cNvPr id="22667" name="Button 139" hidden="1">
              <a:extLst>
                <a:ext uri="{63B3BB69-23CF-44E3-9099-C40C66FF867C}">
                  <a14:compatExt spid="_x0000_s2266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de-DE" sz="1000" b="1" i="0" u="none" strike="noStrike" baseline="0">
                  <a:solidFill>
                    <a:srgbClr val="000080"/>
                  </a:solidFill>
                  <a:latin typeface="Arial"/>
                  <a:cs typeface="Arial"/>
                </a:rPr>
                <a:t>New Planning - Erase all input data !</a:t>
              </a:r>
            </a:p>
          </xdr:txBody>
        </xdr:sp>
        <xdr:clientData fPrintsWithSheet="0"/>
      </xdr:twoCellAnchor>
    </mc:Choice>
    <mc:Fallback/>
  </mc:AlternateContent>
  <xdr:twoCellAnchor editAs="oneCell">
    <xdr:from>
      <xdr:col>8</xdr:col>
      <xdr:colOff>0</xdr:colOff>
      <xdr:row>15</xdr:row>
      <xdr:rowOff>0</xdr:rowOff>
    </xdr:from>
    <xdr:to>
      <xdr:col>11</xdr:col>
      <xdr:colOff>0</xdr:colOff>
      <xdr:row>16</xdr:row>
      <xdr:rowOff>57330</xdr:rowOff>
    </xdr:to>
    <xdr:sp macro="" textlink="">
      <xdr:nvSpPr>
        <xdr:cNvPr id="3" name="Text Box 13">
          <a:hlinkClick xmlns:r="http://schemas.openxmlformats.org/officeDocument/2006/relationships" r:id="rId1" tooltip="Get full commercial version"/>
        </xdr:cNvPr>
        <xdr:cNvSpPr txBox="1">
          <a:spLocks noChangeAspect="1" noChangeArrowheads="1"/>
        </xdr:cNvSpPr>
      </xdr:nvSpPr>
      <xdr:spPr bwMode="auto">
        <a:xfrm>
          <a:off x="10429875" y="3486150"/>
          <a:ext cx="3067050" cy="285930"/>
        </a:xfrm>
        <a:prstGeom prst="rect">
          <a:avLst/>
        </a:prstGeom>
        <a:solidFill>
          <a:srgbClr val="FFFF00"/>
        </a:solidFill>
        <a:ln/>
        <a:extLst/>
      </xdr:spPr>
      <xdr:style>
        <a:lnRef idx="3">
          <a:schemeClr val="lt1"/>
        </a:lnRef>
        <a:fillRef idx="1">
          <a:schemeClr val="accent1"/>
        </a:fillRef>
        <a:effectRef idx="1">
          <a:schemeClr val="accent1"/>
        </a:effectRef>
        <a:fontRef idx="minor">
          <a:schemeClr val="lt1"/>
        </a:fontRef>
      </xdr:style>
      <xdr:txBody>
        <a:bodyPr vertOverflow="clip" wrap="square" lIns="27432" tIns="22860" rIns="27432" bIns="22860" anchor="ctr" upright="1"/>
        <a:lstStyle/>
        <a:p>
          <a:pPr algn="ctr" rtl="0">
            <a:defRPr sz="1000"/>
          </a:pPr>
          <a:r>
            <a:rPr lang="de-AT" sz="1100" b="1" i="0" u="none" strike="noStrike" baseline="0">
              <a:solidFill>
                <a:schemeClr val="tx1"/>
              </a:solidFill>
              <a:latin typeface="Arial"/>
              <a:cs typeface="Arial"/>
            </a:rPr>
            <a:t>Full Version</a:t>
          </a: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fm@excel-financial-model.com" TargetMode="External"/><Relationship Id="rId1" Type="http://schemas.openxmlformats.org/officeDocument/2006/relationships/hyperlink" Target="http://www.excel-financial-mode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ctrlProp" Target="../ctrlProps/ctrlProp1.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imovi">
    <tabColor rgb="FF00B0F0"/>
    <pageSetUpPr fitToPage="1"/>
  </sheetPr>
  <dimension ref="A1:N121"/>
  <sheetViews>
    <sheetView showGridLines="0" showRowColHeaders="0" tabSelected="1" zoomScaleNormal="100" workbookViewId="0">
      <selection activeCell="K13" sqref="K13"/>
    </sheetView>
  </sheetViews>
  <sheetFormatPr baseColWidth="10" defaultColWidth="0" defaultRowHeight="0" customHeight="1" zeroHeight="1"/>
  <cols>
    <col min="1" max="1" width="2" style="89" customWidth="1"/>
    <col min="2" max="2" width="3.85546875" style="89" customWidth="1"/>
    <col min="3" max="12" width="11.42578125" style="89" customWidth="1"/>
    <col min="13" max="13" width="3.85546875" style="89" customWidth="1"/>
    <col min="14" max="14" width="2.7109375" style="89" customWidth="1"/>
    <col min="15" max="16384" width="11.42578125" style="89" hidden="1"/>
  </cols>
  <sheetData>
    <row r="1" spans="1:14" ht="13.5" thickBot="1">
      <c r="A1" s="94"/>
      <c r="B1" s="94"/>
      <c r="C1" s="94"/>
      <c r="D1" s="94"/>
      <c r="E1" s="94"/>
      <c r="F1" s="94"/>
      <c r="G1" s="94"/>
      <c r="H1" s="94"/>
      <c r="I1" s="94"/>
      <c r="J1" s="94"/>
      <c r="K1" s="94"/>
      <c r="L1" s="94"/>
      <c r="M1" s="94"/>
      <c r="N1" s="94"/>
    </row>
    <row r="2" spans="1:14" ht="13.5" thickTop="1">
      <c r="A2" s="94"/>
      <c r="B2" s="95"/>
      <c r="C2" s="96"/>
      <c r="D2" s="96"/>
      <c r="E2" s="96"/>
      <c r="F2" s="96"/>
      <c r="G2" s="96"/>
      <c r="H2" s="96"/>
      <c r="I2" s="96"/>
      <c r="J2" s="96"/>
      <c r="K2" s="96"/>
      <c r="L2" s="96"/>
      <c r="M2" s="97"/>
      <c r="N2" s="94"/>
    </row>
    <row r="3" spans="1:14" ht="17.25" customHeight="1">
      <c r="A3" s="94"/>
      <c r="B3" s="98"/>
      <c r="C3" s="109"/>
      <c r="D3" s="109"/>
      <c r="E3" s="109"/>
      <c r="F3" s="109"/>
      <c r="G3" s="109"/>
      <c r="H3" s="92"/>
      <c r="I3" s="92"/>
      <c r="J3" s="92"/>
      <c r="K3" s="92"/>
      <c r="L3" s="92"/>
      <c r="M3" s="99"/>
      <c r="N3" s="94"/>
    </row>
    <row r="4" spans="1:14" ht="26.25">
      <c r="A4" s="94"/>
      <c r="B4" s="98"/>
      <c r="C4" s="1026" t="s">
        <v>896</v>
      </c>
      <c r="D4" s="109"/>
      <c r="E4" s="109"/>
      <c r="F4" s="109"/>
      <c r="G4" s="109"/>
      <c r="H4" s="92"/>
      <c r="I4" s="92"/>
      <c r="J4" s="92"/>
      <c r="K4" s="92"/>
      <c r="L4" s="92"/>
      <c r="M4" s="99"/>
      <c r="N4" s="94"/>
    </row>
    <row r="5" spans="1:14" ht="28.5">
      <c r="A5" s="94"/>
      <c r="B5" s="98"/>
      <c r="C5" s="1024" t="s">
        <v>895</v>
      </c>
      <c r="D5" s="1025"/>
      <c r="E5" s="1025"/>
      <c r="F5" s="1025"/>
      <c r="G5" s="1025"/>
      <c r="H5" s="100"/>
      <c r="I5" s="92"/>
      <c r="J5" s="92"/>
      <c r="K5" s="92"/>
      <c r="L5" s="92"/>
      <c r="M5" s="99"/>
      <c r="N5" s="94"/>
    </row>
    <row r="6" spans="1:14" ht="28.5">
      <c r="A6" s="94"/>
      <c r="B6" s="98"/>
      <c r="C6" s="1023" t="s">
        <v>891</v>
      </c>
      <c r="D6" s="92"/>
      <c r="E6" s="92"/>
      <c r="F6" s="92"/>
      <c r="G6" s="92"/>
      <c r="H6" s="92"/>
      <c r="I6" s="92"/>
      <c r="J6" s="92"/>
      <c r="K6" s="92"/>
      <c r="L6" s="92"/>
      <c r="M6" s="99"/>
      <c r="N6" s="94"/>
    </row>
    <row r="7" spans="1:14" ht="12.75">
      <c r="A7" s="94"/>
      <c r="B7" s="98"/>
      <c r="C7" s="92"/>
      <c r="D7" s="92"/>
      <c r="E7" s="92"/>
      <c r="F7" s="92"/>
      <c r="G7" s="92"/>
      <c r="H7" s="92"/>
      <c r="I7" s="92"/>
      <c r="J7" s="92"/>
      <c r="K7" s="92"/>
      <c r="L7" s="92"/>
      <c r="M7" s="99"/>
      <c r="N7" s="94"/>
    </row>
    <row r="8" spans="1:14" ht="12.75">
      <c r="A8" s="94"/>
      <c r="B8" s="101"/>
      <c r="C8" s="102"/>
      <c r="D8" s="102"/>
      <c r="E8" s="102"/>
      <c r="F8" s="102"/>
      <c r="G8" s="102"/>
      <c r="H8" s="102"/>
      <c r="I8" s="102"/>
      <c r="J8" s="102"/>
      <c r="K8" s="102"/>
      <c r="L8" s="102"/>
      <c r="M8" s="103"/>
      <c r="N8" s="94"/>
    </row>
    <row r="9" spans="1:14" ht="15" customHeight="1">
      <c r="A9" s="94"/>
      <c r="B9" s="98"/>
      <c r="C9" s="92"/>
      <c r="D9" s="92"/>
      <c r="E9" s="92"/>
      <c r="F9" s="92"/>
      <c r="G9" s="92"/>
      <c r="H9" s="92"/>
      <c r="I9" s="92"/>
      <c r="J9" s="92"/>
      <c r="K9" s="92"/>
      <c r="L9" s="92"/>
      <c r="M9" s="99"/>
      <c r="N9" s="94"/>
    </row>
    <row r="10" spans="1:14" ht="15" customHeight="1">
      <c r="A10" s="94"/>
      <c r="B10" s="98"/>
      <c r="D10" s="246"/>
      <c r="E10" s="92"/>
      <c r="F10" s="92"/>
      <c r="G10" s="92"/>
      <c r="H10" s="92"/>
      <c r="I10" s="92"/>
      <c r="J10" s="1080" t="s">
        <v>945</v>
      </c>
      <c r="K10" s="1080"/>
      <c r="L10" s="487"/>
      <c r="M10" s="99"/>
      <c r="N10" s="94"/>
    </row>
    <row r="11" spans="1:14" ht="22.5" customHeight="1">
      <c r="A11" s="94"/>
      <c r="B11" s="98"/>
      <c r="C11" s="1079" t="s">
        <v>946</v>
      </c>
      <c r="D11" s="92"/>
      <c r="F11" s="92"/>
      <c r="G11" s="92"/>
      <c r="H11" s="92"/>
      <c r="I11" s="92"/>
      <c r="J11" s="92"/>
      <c r="K11" s="92"/>
      <c r="L11" s="92"/>
      <c r="M11" s="99"/>
      <c r="N11" s="94"/>
    </row>
    <row r="12" spans="1:14" ht="15" customHeight="1">
      <c r="A12" s="94"/>
      <c r="B12" s="98"/>
      <c r="C12" s="207"/>
      <c r="D12" s="92"/>
      <c r="F12" s="92"/>
      <c r="G12" s="92"/>
      <c r="H12" s="92"/>
      <c r="I12" s="92"/>
      <c r="J12" s="92"/>
      <c r="K12" s="92"/>
      <c r="L12" s="92"/>
      <c r="M12" s="99"/>
      <c r="N12" s="94"/>
    </row>
    <row r="13" spans="1:14" ht="25.5" customHeight="1">
      <c r="A13" s="94"/>
      <c r="B13" s="98"/>
      <c r="C13" s="207" t="s">
        <v>777</v>
      </c>
      <c r="D13" s="92"/>
      <c r="F13" s="92"/>
      <c r="G13" s="92"/>
      <c r="H13" s="92"/>
      <c r="I13" s="92"/>
      <c r="J13" s="92"/>
      <c r="K13" s="92"/>
      <c r="L13" s="92"/>
      <c r="M13" s="99"/>
      <c r="N13" s="94"/>
    </row>
    <row r="14" spans="1:14" ht="25.5" customHeight="1">
      <c r="A14" s="94"/>
      <c r="B14" s="98"/>
      <c r="C14" s="207" t="s">
        <v>892</v>
      </c>
      <c r="D14" s="92"/>
      <c r="F14" s="92"/>
      <c r="G14" s="92"/>
      <c r="H14" s="92"/>
      <c r="I14" s="92"/>
      <c r="J14" s="92"/>
      <c r="K14" s="92"/>
      <c r="L14" s="92"/>
      <c r="M14" s="99"/>
      <c r="N14" s="94"/>
    </row>
    <row r="15" spans="1:14" ht="15" customHeight="1">
      <c r="A15" s="94"/>
      <c r="B15" s="98"/>
      <c r="C15" s="92"/>
      <c r="D15" s="92"/>
      <c r="E15" s="104"/>
      <c r="F15" s="104"/>
      <c r="G15" s="104"/>
      <c r="H15" s="92"/>
      <c r="I15" s="92"/>
      <c r="J15" s="92"/>
      <c r="K15" s="92"/>
      <c r="L15" s="92"/>
      <c r="M15" s="99"/>
      <c r="N15" s="94"/>
    </row>
    <row r="16" spans="1:14" ht="15" customHeight="1">
      <c r="A16" s="94"/>
      <c r="B16" s="98"/>
      <c r="C16" s="92"/>
      <c r="D16" s="92"/>
      <c r="E16" s="92"/>
      <c r="F16" s="92"/>
      <c r="G16" s="92"/>
      <c r="H16" s="92"/>
      <c r="I16" s="92"/>
      <c r="J16" s="92"/>
      <c r="K16" s="92"/>
      <c r="L16" s="92"/>
      <c r="M16" s="99"/>
      <c r="N16" s="94"/>
    </row>
    <row r="17" spans="1:14" ht="28.5">
      <c r="A17" s="94"/>
      <c r="B17" s="101"/>
      <c r="C17" s="105" t="s">
        <v>763</v>
      </c>
      <c r="D17" s="106"/>
      <c r="E17" s="106"/>
      <c r="F17" s="102"/>
      <c r="G17" s="102"/>
      <c r="H17" s="102"/>
      <c r="I17" s="102"/>
      <c r="J17" s="102"/>
      <c r="K17" s="102"/>
      <c r="L17" s="102"/>
      <c r="M17" s="103"/>
      <c r="N17" s="94"/>
    </row>
    <row r="18" spans="1:14" ht="15" customHeight="1">
      <c r="A18" s="94"/>
      <c r="B18" s="98"/>
      <c r="C18" s="92"/>
      <c r="D18" s="92"/>
      <c r="E18" s="92"/>
      <c r="F18" s="92"/>
      <c r="G18" s="92"/>
      <c r="H18" s="92"/>
      <c r="I18" s="92"/>
      <c r="J18" s="92"/>
      <c r="K18" s="92"/>
      <c r="L18" s="92"/>
      <c r="M18" s="99"/>
      <c r="N18" s="94"/>
    </row>
    <row r="19" spans="1:14" ht="15" customHeight="1">
      <c r="A19" s="94"/>
      <c r="B19" s="98"/>
      <c r="C19" s="92"/>
      <c r="D19" s="92"/>
      <c r="E19" s="92"/>
      <c r="F19" s="92"/>
      <c r="G19" s="92"/>
      <c r="H19" s="92"/>
      <c r="I19" s="92"/>
      <c r="J19" s="92"/>
      <c r="K19" s="92"/>
      <c r="L19" s="92"/>
      <c r="M19" s="99"/>
      <c r="N19" s="94"/>
    </row>
    <row r="20" spans="1:14" ht="15" customHeight="1">
      <c r="A20" s="94"/>
      <c r="B20" s="98"/>
      <c r="C20" s="92"/>
      <c r="D20" s="92"/>
      <c r="E20" s="92"/>
      <c r="F20" s="92"/>
      <c r="G20" s="92"/>
      <c r="H20" s="92"/>
      <c r="I20" s="92"/>
      <c r="J20" s="92"/>
      <c r="K20" s="92"/>
      <c r="L20" s="92"/>
      <c r="M20" s="99"/>
      <c r="N20" s="94"/>
    </row>
    <row r="21" spans="1:14" ht="15" customHeight="1">
      <c r="A21" s="94"/>
      <c r="B21" s="98"/>
      <c r="C21" s="92"/>
      <c r="D21" s="92"/>
      <c r="E21" s="92"/>
      <c r="F21" s="92"/>
      <c r="G21" s="92"/>
      <c r="H21" s="92"/>
      <c r="I21" s="92"/>
      <c r="J21" s="92"/>
      <c r="K21" s="92"/>
      <c r="L21" s="92"/>
      <c r="M21" s="99"/>
      <c r="N21" s="94"/>
    </row>
    <row r="22" spans="1:14" ht="15" customHeight="1">
      <c r="A22" s="94"/>
      <c r="B22" s="98"/>
      <c r="C22" s="92"/>
      <c r="D22" s="92"/>
      <c r="E22" s="92"/>
      <c r="F22" s="92"/>
      <c r="G22" s="92"/>
      <c r="H22" s="92"/>
      <c r="I22" s="92"/>
      <c r="J22" s="92"/>
      <c r="K22" s="92"/>
      <c r="L22" s="92"/>
      <c r="M22" s="99"/>
      <c r="N22" s="94"/>
    </row>
    <row r="23" spans="1:14" ht="15" customHeight="1">
      <c r="A23" s="94"/>
      <c r="B23" s="98"/>
      <c r="C23" s="92"/>
      <c r="D23" s="92"/>
      <c r="E23" s="92"/>
      <c r="F23" s="92"/>
      <c r="G23" s="92"/>
      <c r="H23" s="92"/>
      <c r="I23" s="92"/>
      <c r="J23" s="92"/>
      <c r="K23" s="92"/>
      <c r="L23" s="92"/>
      <c r="M23" s="99"/>
      <c r="N23" s="94"/>
    </row>
    <row r="24" spans="1:14" ht="15" customHeight="1">
      <c r="A24" s="94"/>
      <c r="B24" s="98"/>
      <c r="C24" s="92"/>
      <c r="D24" s="92"/>
      <c r="E24" s="92"/>
      <c r="F24" s="92"/>
      <c r="G24" s="92"/>
      <c r="H24" s="92"/>
      <c r="I24" s="92"/>
      <c r="J24" s="92"/>
      <c r="K24" s="92"/>
      <c r="L24" s="92"/>
      <c r="M24" s="99"/>
      <c r="N24" s="94"/>
    </row>
    <row r="25" spans="1:14" ht="15" customHeight="1">
      <c r="A25" s="94"/>
      <c r="B25" s="98"/>
      <c r="C25" s="92"/>
      <c r="D25" s="92"/>
      <c r="E25" s="92"/>
      <c r="F25" s="92"/>
      <c r="G25" s="92"/>
      <c r="H25" s="92"/>
      <c r="I25" s="92"/>
      <c r="J25" s="92"/>
      <c r="K25" s="92"/>
      <c r="L25" s="92"/>
      <c r="M25" s="99"/>
      <c r="N25" s="94"/>
    </row>
    <row r="26" spans="1:14" ht="15" customHeight="1">
      <c r="A26" s="94"/>
      <c r="B26" s="98"/>
      <c r="C26" s="92"/>
      <c r="D26" s="92"/>
      <c r="E26" s="92"/>
      <c r="F26" s="92"/>
      <c r="G26" s="92"/>
      <c r="H26" s="92"/>
      <c r="I26" s="92"/>
      <c r="J26" s="92"/>
      <c r="K26" s="92"/>
      <c r="L26" s="92"/>
      <c r="M26" s="99"/>
      <c r="N26" s="94"/>
    </row>
    <row r="27" spans="1:14" ht="15" customHeight="1">
      <c r="A27" s="94"/>
      <c r="B27" s="98"/>
      <c r="C27" s="92"/>
      <c r="D27" s="92"/>
      <c r="E27" s="92"/>
      <c r="F27" s="92"/>
      <c r="G27" s="92"/>
      <c r="H27" s="92"/>
      <c r="I27" s="92"/>
      <c r="J27" s="92"/>
      <c r="K27" s="92"/>
      <c r="L27" s="92"/>
      <c r="M27" s="99"/>
      <c r="N27" s="94"/>
    </row>
    <row r="28" spans="1:14" ht="15" customHeight="1">
      <c r="A28" s="94"/>
      <c r="B28" s="98"/>
      <c r="C28" s="92"/>
      <c r="D28" s="92"/>
      <c r="E28" s="92"/>
      <c r="F28" s="92"/>
      <c r="G28" s="92"/>
      <c r="H28" s="92"/>
      <c r="I28" s="92"/>
      <c r="J28" s="92"/>
      <c r="K28" s="92"/>
      <c r="L28" s="92"/>
      <c r="M28" s="99"/>
      <c r="N28" s="94"/>
    </row>
    <row r="29" spans="1:14" ht="15" customHeight="1">
      <c r="A29" s="94"/>
      <c r="B29" s="98"/>
      <c r="C29" s="92"/>
      <c r="D29" s="92"/>
      <c r="E29" s="92"/>
      <c r="F29" s="92"/>
      <c r="G29" s="92"/>
      <c r="H29" s="92"/>
      <c r="I29" s="92"/>
      <c r="J29" s="92"/>
      <c r="K29" s="92"/>
      <c r="L29" s="92"/>
      <c r="M29" s="99"/>
      <c r="N29" s="94"/>
    </row>
    <row r="30" spans="1:14" ht="15" customHeight="1">
      <c r="A30" s="94"/>
      <c r="B30" s="98"/>
      <c r="C30" s="92"/>
      <c r="D30" s="92"/>
      <c r="E30" s="92"/>
      <c r="F30" s="92"/>
      <c r="G30" s="92"/>
      <c r="H30" s="92"/>
      <c r="I30" s="92"/>
      <c r="J30" s="92"/>
      <c r="K30" s="92"/>
      <c r="L30" s="92"/>
      <c r="M30" s="99"/>
      <c r="N30" s="94"/>
    </row>
    <row r="31" spans="1:14" ht="15" customHeight="1">
      <c r="A31" s="94"/>
      <c r="B31" s="98"/>
      <c r="C31" s="92"/>
      <c r="D31" s="92"/>
      <c r="E31" s="92"/>
      <c r="F31" s="92"/>
      <c r="G31" s="92"/>
      <c r="H31" s="92"/>
      <c r="I31" s="92"/>
      <c r="J31" s="92"/>
      <c r="K31" s="92"/>
      <c r="L31" s="92"/>
      <c r="M31" s="99"/>
      <c r="N31" s="94"/>
    </row>
    <row r="32" spans="1:14" ht="15" customHeight="1">
      <c r="A32" s="94"/>
      <c r="B32" s="98"/>
      <c r="C32" s="92"/>
      <c r="D32" s="92"/>
      <c r="E32" s="92"/>
      <c r="F32" s="92"/>
      <c r="G32" s="92"/>
      <c r="H32" s="92"/>
      <c r="I32" s="92"/>
      <c r="J32" s="92"/>
      <c r="K32" s="92"/>
      <c r="L32" s="92"/>
      <c r="M32" s="99"/>
      <c r="N32" s="94"/>
    </row>
    <row r="33" spans="1:14" ht="15" customHeight="1">
      <c r="A33" s="94"/>
      <c r="B33" s="98"/>
      <c r="C33" s="92"/>
      <c r="D33" s="92"/>
      <c r="E33" s="92"/>
      <c r="F33" s="92"/>
      <c r="G33" s="92"/>
      <c r="H33" s="92"/>
      <c r="I33" s="92"/>
      <c r="J33" s="92"/>
      <c r="K33" s="92"/>
      <c r="L33" s="92"/>
      <c r="M33" s="99"/>
      <c r="N33" s="94"/>
    </row>
    <row r="34" spans="1:14" ht="15" customHeight="1">
      <c r="A34" s="94"/>
      <c r="B34" s="98"/>
      <c r="C34" s="92"/>
      <c r="D34" s="92"/>
      <c r="E34" s="92"/>
      <c r="F34" s="92"/>
      <c r="G34" s="92"/>
      <c r="H34" s="92"/>
      <c r="I34" s="92"/>
      <c r="J34" s="92"/>
      <c r="K34" s="92"/>
      <c r="L34" s="92"/>
      <c r="M34" s="99"/>
      <c r="N34" s="94"/>
    </row>
    <row r="35" spans="1:14" ht="15" customHeight="1">
      <c r="A35" s="94"/>
      <c r="B35" s="98"/>
      <c r="C35" s="92"/>
      <c r="D35" s="92"/>
      <c r="E35" s="92"/>
      <c r="F35" s="92"/>
      <c r="G35" s="92"/>
      <c r="H35" s="92"/>
      <c r="I35" s="92"/>
      <c r="J35" s="92"/>
      <c r="K35" s="92"/>
      <c r="L35" s="92"/>
      <c r="M35" s="99"/>
      <c r="N35" s="94"/>
    </row>
    <row r="36" spans="1:14" ht="15" customHeight="1">
      <c r="A36" s="94"/>
      <c r="B36" s="98"/>
      <c r="C36" s="92"/>
      <c r="D36" s="92"/>
      <c r="E36" s="92"/>
      <c r="F36" s="92"/>
      <c r="G36" s="92"/>
      <c r="H36" s="92"/>
      <c r="I36" s="92"/>
      <c r="J36" s="92"/>
      <c r="K36" s="92"/>
      <c r="L36" s="92"/>
      <c r="M36" s="99"/>
      <c r="N36" s="94"/>
    </row>
    <row r="37" spans="1:14" s="203" customFormat="1" ht="15" customHeight="1">
      <c r="A37" s="94"/>
      <c r="B37" s="98"/>
      <c r="C37" s="92"/>
      <c r="D37" s="92"/>
      <c r="E37" s="92"/>
      <c r="F37" s="92"/>
      <c r="G37" s="92"/>
      <c r="H37" s="92"/>
      <c r="I37" s="92"/>
      <c r="J37" s="92"/>
      <c r="K37" s="92"/>
      <c r="L37" s="92"/>
      <c r="M37" s="99"/>
      <c r="N37" s="94"/>
    </row>
    <row r="38" spans="1:14" s="203" customFormat="1" ht="15" customHeight="1">
      <c r="A38" s="94"/>
      <c r="B38" s="98"/>
      <c r="C38" s="92"/>
      <c r="D38" s="92"/>
      <c r="E38" s="92"/>
      <c r="F38" s="92"/>
      <c r="G38" s="92"/>
      <c r="H38" s="92"/>
      <c r="I38" s="92"/>
      <c r="J38" s="92"/>
      <c r="K38" s="92"/>
      <c r="L38" s="92"/>
      <c r="M38" s="99"/>
      <c r="N38" s="94"/>
    </row>
    <row r="39" spans="1:14" s="203" customFormat="1" ht="15" customHeight="1">
      <c r="A39" s="94"/>
      <c r="B39" s="98"/>
      <c r="C39" s="92"/>
      <c r="D39" s="92"/>
      <c r="E39" s="92"/>
      <c r="F39" s="92"/>
      <c r="G39" s="92"/>
      <c r="H39" s="92"/>
      <c r="I39" s="92"/>
      <c r="J39" s="92"/>
      <c r="K39" s="92"/>
      <c r="L39" s="92"/>
      <c r="M39" s="99"/>
      <c r="N39" s="94"/>
    </row>
    <row r="40" spans="1:14" s="203" customFormat="1" ht="15" customHeight="1">
      <c r="A40" s="94"/>
      <c r="B40" s="98"/>
      <c r="C40" s="92"/>
      <c r="D40" s="92"/>
      <c r="E40" s="92"/>
      <c r="F40" s="92"/>
      <c r="G40" s="92"/>
      <c r="H40" s="92"/>
      <c r="I40" s="92"/>
      <c r="J40" s="92"/>
      <c r="K40" s="92"/>
      <c r="L40" s="92"/>
      <c r="M40" s="99"/>
      <c r="N40" s="94"/>
    </row>
    <row r="41" spans="1:14" s="203" customFormat="1" ht="15" customHeight="1">
      <c r="A41" s="94"/>
      <c r="B41" s="98"/>
      <c r="C41" s="92"/>
      <c r="D41" s="92"/>
      <c r="E41" s="92"/>
      <c r="F41" s="92"/>
      <c r="G41" s="92"/>
      <c r="H41" s="92"/>
      <c r="I41" s="92"/>
      <c r="J41" s="92"/>
      <c r="K41" s="92"/>
      <c r="L41" s="92"/>
      <c r="M41" s="99"/>
      <c r="N41" s="94"/>
    </row>
    <row r="42" spans="1:14" s="203" customFormat="1" ht="15" customHeight="1">
      <c r="A42" s="94"/>
      <c r="B42" s="98"/>
      <c r="C42" s="92"/>
      <c r="D42" s="92"/>
      <c r="E42" s="92"/>
      <c r="F42" s="92"/>
      <c r="G42" s="92"/>
      <c r="H42" s="92"/>
      <c r="I42" s="92"/>
      <c r="J42" s="92"/>
      <c r="K42" s="92"/>
      <c r="L42" s="92"/>
      <c r="M42" s="99"/>
      <c r="N42" s="94"/>
    </row>
    <row r="43" spans="1:14" s="911" customFormat="1" ht="15" customHeight="1">
      <c r="A43" s="94"/>
      <c r="B43" s="98"/>
      <c r="C43" s="92"/>
      <c r="D43" s="92"/>
      <c r="E43" s="92"/>
      <c r="F43" s="92"/>
      <c r="G43" s="92"/>
      <c r="H43" s="92"/>
      <c r="I43" s="92"/>
      <c r="J43" s="92"/>
      <c r="K43" s="92"/>
      <c r="L43" s="92"/>
      <c r="M43" s="99"/>
      <c r="N43" s="94"/>
    </row>
    <row r="44" spans="1:14" s="203" customFormat="1" ht="15" customHeight="1">
      <c r="A44" s="94"/>
      <c r="B44" s="98"/>
      <c r="C44" s="92"/>
      <c r="D44" s="92"/>
      <c r="E44" s="92"/>
      <c r="F44" s="92"/>
      <c r="G44" s="92"/>
      <c r="H44" s="92"/>
      <c r="I44" s="92"/>
      <c r="J44" s="92"/>
      <c r="K44" s="92"/>
      <c r="L44" s="92"/>
      <c r="M44" s="99"/>
      <c r="N44" s="94"/>
    </row>
    <row r="45" spans="1:14" s="203" customFormat="1" ht="15" customHeight="1">
      <c r="A45" s="94"/>
      <c r="B45" s="98"/>
      <c r="C45" s="92"/>
      <c r="D45" s="92"/>
      <c r="E45" s="92"/>
      <c r="F45" s="92"/>
      <c r="G45" s="92"/>
      <c r="H45" s="92"/>
      <c r="I45" s="92"/>
      <c r="J45" s="92"/>
      <c r="K45" s="92"/>
      <c r="L45" s="92"/>
      <c r="M45" s="99"/>
      <c r="N45" s="94"/>
    </row>
    <row r="46" spans="1:14" s="203" customFormat="1" ht="15" customHeight="1">
      <c r="A46" s="94"/>
      <c r="B46" s="98"/>
      <c r="C46" s="92"/>
      <c r="D46" s="92"/>
      <c r="E46" s="92"/>
      <c r="F46" s="92"/>
      <c r="G46" s="92"/>
      <c r="H46" s="92"/>
      <c r="I46" s="92"/>
      <c r="J46" s="92"/>
      <c r="K46" s="92"/>
      <c r="L46" s="92"/>
      <c r="M46" s="99"/>
      <c r="N46" s="94"/>
    </row>
    <row r="47" spans="1:14" s="203" customFormat="1" ht="15" customHeight="1">
      <c r="A47" s="94"/>
      <c r="B47" s="98"/>
      <c r="C47" s="92"/>
      <c r="D47" s="92"/>
      <c r="E47" s="92"/>
      <c r="F47" s="92"/>
      <c r="G47" s="92"/>
      <c r="H47" s="92"/>
      <c r="I47" s="92"/>
      <c r="J47" s="92"/>
      <c r="K47" s="92"/>
      <c r="L47" s="92"/>
      <c r="M47" s="99"/>
      <c r="N47" s="94"/>
    </row>
    <row r="48" spans="1:14" s="203" customFormat="1" ht="15" customHeight="1">
      <c r="A48" s="94"/>
      <c r="B48" s="98"/>
      <c r="C48" s="92"/>
      <c r="D48" s="92"/>
      <c r="E48" s="92"/>
      <c r="F48" s="92"/>
      <c r="G48" s="92"/>
      <c r="H48" s="92"/>
      <c r="I48" s="92"/>
      <c r="J48" s="92"/>
      <c r="K48" s="92"/>
      <c r="L48" s="92"/>
      <c r="M48" s="99"/>
      <c r="N48" s="94"/>
    </row>
    <row r="49" spans="1:14" ht="15" customHeight="1">
      <c r="A49" s="94"/>
      <c r="B49" s="98"/>
      <c r="C49" s="92"/>
      <c r="D49" s="92"/>
      <c r="E49" s="92"/>
      <c r="F49" s="92"/>
      <c r="G49" s="92"/>
      <c r="H49" s="92"/>
      <c r="I49" s="92"/>
      <c r="J49" s="92"/>
      <c r="K49" s="92"/>
      <c r="L49" s="92"/>
      <c r="M49" s="99"/>
      <c r="N49" s="94"/>
    </row>
    <row r="50" spans="1:14" ht="28.5">
      <c r="A50" s="94"/>
      <c r="B50" s="101"/>
      <c r="C50" s="105" t="s">
        <v>996</v>
      </c>
      <c r="D50" s="102"/>
      <c r="E50" s="102"/>
      <c r="F50" s="102"/>
      <c r="G50" s="102"/>
      <c r="H50" s="102"/>
      <c r="I50" s="102"/>
      <c r="J50" s="102"/>
      <c r="K50" s="102"/>
      <c r="L50" s="102"/>
      <c r="M50" s="103"/>
      <c r="N50" s="94"/>
    </row>
    <row r="51" spans="1:14" ht="15" customHeight="1">
      <c r="A51" s="94"/>
      <c r="B51" s="98"/>
      <c r="C51" s="92"/>
      <c r="D51" s="92"/>
      <c r="E51" s="92"/>
      <c r="F51" s="92"/>
      <c r="G51" s="92"/>
      <c r="H51" s="92"/>
      <c r="I51" s="92"/>
      <c r="J51" s="92"/>
      <c r="K51" s="92"/>
      <c r="L51" s="92"/>
      <c r="M51" s="99"/>
      <c r="N51" s="94"/>
    </row>
    <row r="52" spans="1:14" ht="15" customHeight="1">
      <c r="A52" s="94"/>
      <c r="B52" s="98"/>
      <c r="C52" s="92"/>
      <c r="D52" s="92"/>
      <c r="E52" s="92"/>
      <c r="F52" s="92"/>
      <c r="G52" s="92"/>
      <c r="H52" s="92"/>
      <c r="I52" s="92"/>
      <c r="J52" s="92"/>
      <c r="K52" s="92"/>
      <c r="L52" s="92"/>
      <c r="M52" s="99"/>
      <c r="N52" s="94"/>
    </row>
    <row r="53" spans="1:14" ht="15" customHeight="1">
      <c r="A53" s="94"/>
      <c r="B53" s="98"/>
      <c r="C53" s="92"/>
      <c r="D53" s="92"/>
      <c r="E53" s="92"/>
      <c r="F53" s="92"/>
      <c r="G53" s="92"/>
      <c r="H53" s="92"/>
      <c r="I53" s="92"/>
      <c r="J53" s="92"/>
      <c r="K53" s="92"/>
      <c r="L53" s="92"/>
      <c r="M53" s="99"/>
      <c r="N53" s="94"/>
    </row>
    <row r="54" spans="1:14" ht="15" customHeight="1">
      <c r="A54" s="94"/>
      <c r="B54" s="98"/>
      <c r="C54" s="92"/>
      <c r="D54" s="92"/>
      <c r="E54" s="92"/>
      <c r="F54" s="92"/>
      <c r="G54" s="92"/>
      <c r="H54" s="92"/>
      <c r="I54" s="92"/>
      <c r="J54" s="92"/>
      <c r="K54" s="92"/>
      <c r="L54" s="92"/>
      <c r="M54" s="99"/>
      <c r="N54" s="94"/>
    </row>
    <row r="55" spans="1:14" ht="15" customHeight="1">
      <c r="A55" s="94"/>
      <c r="B55" s="98"/>
      <c r="C55" s="92"/>
      <c r="D55" s="92"/>
      <c r="E55" s="92"/>
      <c r="F55" s="92"/>
      <c r="G55" s="92"/>
      <c r="H55" s="92"/>
      <c r="I55" s="92"/>
      <c r="J55" s="92"/>
      <c r="K55" s="92"/>
      <c r="L55" s="92"/>
      <c r="M55" s="99"/>
      <c r="N55" s="94"/>
    </row>
    <row r="56" spans="1:14" ht="15" customHeight="1">
      <c r="A56" s="94"/>
      <c r="B56" s="98"/>
      <c r="C56" s="92"/>
      <c r="D56" s="92"/>
      <c r="E56" s="92"/>
      <c r="F56" s="92"/>
      <c r="G56" s="92"/>
      <c r="H56" s="92"/>
      <c r="I56" s="92"/>
      <c r="J56" s="92"/>
      <c r="K56" s="92"/>
      <c r="L56" s="92"/>
      <c r="M56" s="99"/>
      <c r="N56" s="94"/>
    </row>
    <row r="57" spans="1:14" ht="15" customHeight="1">
      <c r="A57" s="94"/>
      <c r="B57" s="98"/>
      <c r="C57" s="92"/>
      <c r="D57" s="92"/>
      <c r="E57" s="92"/>
      <c r="F57" s="92"/>
      <c r="G57" s="92"/>
      <c r="H57" s="92"/>
      <c r="I57" s="92"/>
      <c r="J57" s="92"/>
      <c r="K57" s="92"/>
      <c r="L57" s="92"/>
      <c r="M57" s="99"/>
      <c r="N57" s="94"/>
    </row>
    <row r="58" spans="1:14" ht="15" customHeight="1">
      <c r="A58" s="94"/>
      <c r="B58" s="98"/>
      <c r="C58" s="92"/>
      <c r="D58" s="92"/>
      <c r="E58" s="92"/>
      <c r="F58" s="92"/>
      <c r="G58" s="92"/>
      <c r="H58" s="92"/>
      <c r="I58" s="92"/>
      <c r="J58" s="92"/>
      <c r="K58" s="92"/>
      <c r="L58" s="92"/>
      <c r="M58" s="99"/>
      <c r="N58" s="94"/>
    </row>
    <row r="59" spans="1:14" s="911" customFormat="1" ht="15" customHeight="1">
      <c r="A59" s="94"/>
      <c r="B59" s="98"/>
      <c r="C59" s="92"/>
      <c r="D59" s="92"/>
      <c r="E59" s="92"/>
      <c r="F59" s="92"/>
      <c r="G59" s="92"/>
      <c r="H59" s="92"/>
      <c r="I59" s="92"/>
      <c r="J59" s="92"/>
      <c r="K59" s="92"/>
      <c r="L59" s="92"/>
      <c r="M59" s="99"/>
      <c r="N59" s="94"/>
    </row>
    <row r="60" spans="1:14" ht="15" customHeight="1">
      <c r="A60" s="94"/>
      <c r="B60" s="98"/>
      <c r="C60" s="92"/>
      <c r="D60" s="92"/>
      <c r="E60" s="92"/>
      <c r="F60" s="92"/>
      <c r="G60" s="92"/>
      <c r="H60" s="92"/>
      <c r="I60" s="92"/>
      <c r="J60" s="92"/>
      <c r="K60" s="92"/>
      <c r="L60" s="92"/>
      <c r="M60" s="99"/>
      <c r="N60" s="94"/>
    </row>
    <row r="61" spans="1:14" ht="15" customHeight="1">
      <c r="A61" s="94"/>
      <c r="B61" s="98"/>
      <c r="C61" s="92"/>
      <c r="D61" s="92"/>
      <c r="E61" s="92"/>
      <c r="F61" s="92"/>
      <c r="G61" s="92"/>
      <c r="H61" s="92"/>
      <c r="I61" s="92"/>
      <c r="J61" s="92"/>
      <c r="K61" s="92"/>
      <c r="L61" s="92"/>
      <c r="M61" s="99"/>
      <c r="N61" s="94"/>
    </row>
    <row r="62" spans="1:14" ht="15" customHeight="1">
      <c r="A62" s="94"/>
      <c r="B62" s="98"/>
      <c r="C62" s="92"/>
      <c r="D62" s="92"/>
      <c r="E62" s="92"/>
      <c r="F62" s="92"/>
      <c r="G62" s="92"/>
      <c r="H62" s="92"/>
      <c r="I62" s="92"/>
      <c r="J62" s="92"/>
      <c r="K62" s="92"/>
      <c r="L62" s="92"/>
      <c r="M62" s="99"/>
      <c r="N62" s="94"/>
    </row>
    <row r="63" spans="1:14" s="203" customFormat="1" ht="15" customHeight="1">
      <c r="A63" s="94"/>
      <c r="B63" s="98"/>
      <c r="C63" s="92"/>
      <c r="D63" s="92"/>
      <c r="E63" s="92"/>
      <c r="F63" s="92"/>
      <c r="G63" s="92"/>
      <c r="H63" s="92"/>
      <c r="I63" s="92"/>
      <c r="J63" s="92"/>
      <c r="K63" s="92"/>
      <c r="L63" s="92"/>
      <c r="M63" s="99"/>
      <c r="N63" s="94"/>
    </row>
    <row r="64" spans="1:14" s="203" customFormat="1" ht="15" customHeight="1">
      <c r="A64" s="94"/>
      <c r="B64" s="98"/>
      <c r="C64" s="92"/>
      <c r="D64" s="92"/>
      <c r="E64" s="92"/>
      <c r="F64" s="92"/>
      <c r="G64" s="92"/>
      <c r="H64" s="92"/>
      <c r="I64" s="92"/>
      <c r="J64" s="92"/>
      <c r="K64" s="92"/>
      <c r="L64" s="92"/>
      <c r="M64" s="99"/>
      <c r="N64" s="94"/>
    </row>
    <row r="65" spans="1:14" ht="15" customHeight="1">
      <c r="A65" s="94"/>
      <c r="B65" s="107"/>
      <c r="C65" s="108" t="s">
        <v>893</v>
      </c>
      <c r="D65" s="109"/>
      <c r="E65" s="109"/>
      <c r="F65" s="109"/>
      <c r="G65" s="109"/>
      <c r="H65" s="109"/>
      <c r="I65" s="92"/>
      <c r="J65" s="92"/>
      <c r="K65" s="92"/>
      <c r="L65" s="92"/>
      <c r="M65" s="99"/>
      <c r="N65" s="94"/>
    </row>
    <row r="66" spans="1:14" ht="15" customHeight="1">
      <c r="A66" s="94"/>
      <c r="B66" s="107"/>
      <c r="C66" s="109" t="s">
        <v>764</v>
      </c>
      <c r="D66" s="1022" t="s">
        <v>891</v>
      </c>
      <c r="E66" s="109"/>
      <c r="F66" s="109"/>
      <c r="G66" s="109"/>
      <c r="H66" s="109"/>
      <c r="I66" s="92"/>
      <c r="J66" s="92"/>
      <c r="K66" s="92"/>
      <c r="L66" s="92"/>
      <c r="M66" s="99"/>
      <c r="N66" s="94"/>
    </row>
    <row r="67" spans="1:14" ht="15" customHeight="1">
      <c r="A67" s="94"/>
      <c r="B67" s="107"/>
      <c r="C67" s="109" t="s">
        <v>36</v>
      </c>
      <c r="D67" s="1022" t="s">
        <v>894</v>
      </c>
      <c r="E67" s="109"/>
      <c r="F67" s="109"/>
      <c r="G67" s="109"/>
      <c r="H67" s="109"/>
      <c r="I67" s="92"/>
      <c r="J67" s="92"/>
      <c r="K67" s="92"/>
      <c r="L67" s="92"/>
      <c r="M67" s="99"/>
      <c r="N67" s="94"/>
    </row>
    <row r="68" spans="1:14" ht="15" customHeight="1">
      <c r="A68" s="94"/>
      <c r="B68" s="107"/>
      <c r="C68" s="109"/>
      <c r="D68" s="109"/>
      <c r="E68" s="109"/>
      <c r="F68" s="109"/>
      <c r="G68" s="109"/>
      <c r="H68" s="109"/>
      <c r="I68" s="92"/>
      <c r="J68" s="92"/>
      <c r="K68" s="92"/>
      <c r="L68" s="92"/>
      <c r="M68" s="99"/>
      <c r="N68" s="94"/>
    </row>
    <row r="69" spans="1:14" ht="15" customHeight="1">
      <c r="A69" s="94"/>
      <c r="B69" s="107"/>
      <c r="C69" s="110"/>
      <c r="D69" s="108"/>
      <c r="E69" s="108"/>
      <c r="F69" s="109"/>
      <c r="G69" s="109"/>
      <c r="H69" s="109"/>
      <c r="I69" s="109"/>
      <c r="J69" s="109"/>
      <c r="K69" s="109"/>
      <c r="L69" s="111" t="s">
        <v>994</v>
      </c>
      <c r="M69" s="99"/>
      <c r="N69" s="94"/>
    </row>
    <row r="70" spans="1:14" ht="15" customHeight="1" thickBot="1">
      <c r="A70" s="94"/>
      <c r="B70" s="112"/>
      <c r="C70" s="113"/>
      <c r="D70" s="113"/>
      <c r="E70" s="113"/>
      <c r="F70" s="113"/>
      <c r="G70" s="113"/>
      <c r="H70" s="113"/>
      <c r="I70" s="113"/>
      <c r="J70" s="113"/>
      <c r="K70" s="113"/>
      <c r="L70" s="113"/>
      <c r="M70" s="114"/>
      <c r="N70" s="94"/>
    </row>
    <row r="71" spans="1:14" ht="13.5" thickTop="1">
      <c r="A71" s="94"/>
      <c r="B71" s="94"/>
      <c r="C71" s="94"/>
      <c r="D71" s="94"/>
      <c r="E71" s="94"/>
      <c r="F71" s="94"/>
      <c r="G71" s="94"/>
      <c r="H71" s="94"/>
      <c r="I71" s="94"/>
      <c r="J71" s="94"/>
      <c r="K71" s="94"/>
      <c r="L71" s="94"/>
      <c r="M71" s="94"/>
      <c r="N71" s="94"/>
    </row>
    <row r="72" spans="1:14" ht="12.75">
      <c r="A72" s="94"/>
      <c r="B72" s="94"/>
      <c r="C72" s="94"/>
      <c r="D72" s="94"/>
      <c r="E72" s="94"/>
      <c r="F72" s="94"/>
      <c r="G72" s="94"/>
      <c r="H72" s="94"/>
      <c r="I72" s="94"/>
      <c r="J72" s="94"/>
      <c r="K72" s="94"/>
      <c r="L72" s="94"/>
      <c r="M72" s="94"/>
      <c r="N72" s="94"/>
    </row>
    <row r="73" spans="1:14" ht="12.75">
      <c r="A73" s="94"/>
      <c r="B73" s="94"/>
      <c r="C73" s="94"/>
      <c r="D73" s="94"/>
      <c r="E73" s="94"/>
      <c r="F73" s="94"/>
      <c r="G73" s="94"/>
      <c r="H73" s="94"/>
      <c r="I73" s="94"/>
      <c r="J73" s="94"/>
      <c r="K73" s="94"/>
      <c r="L73" s="94"/>
      <c r="M73" s="94"/>
      <c r="N73" s="94"/>
    </row>
    <row r="74" spans="1:14" ht="12.75">
      <c r="A74" s="94"/>
      <c r="B74" s="94"/>
      <c r="C74" s="94"/>
      <c r="D74" s="94"/>
      <c r="E74" s="94"/>
      <c r="F74" s="94"/>
      <c r="G74" s="94"/>
      <c r="H74" s="94"/>
      <c r="I74" s="94"/>
      <c r="J74" s="94"/>
      <c r="K74" s="94"/>
      <c r="L74" s="94"/>
      <c r="M74" s="94"/>
      <c r="N74" s="94"/>
    </row>
    <row r="75" spans="1:14" ht="12.75" hidden="1">
      <c r="A75" s="94"/>
      <c r="B75" s="94"/>
      <c r="C75" s="94"/>
      <c r="D75" s="94"/>
      <c r="E75" s="94"/>
      <c r="F75" s="94"/>
      <c r="G75" s="94"/>
      <c r="H75" s="94"/>
      <c r="I75" s="94"/>
      <c r="J75" s="94"/>
      <c r="K75" s="94"/>
      <c r="L75" s="94"/>
      <c r="M75" s="94"/>
      <c r="N75" s="94"/>
    </row>
    <row r="76" spans="1:14" ht="12.75" hidden="1">
      <c r="A76" s="94"/>
      <c r="B76" s="94"/>
      <c r="C76" s="94"/>
      <c r="D76" s="94"/>
      <c r="E76" s="94"/>
      <c r="F76" s="94"/>
      <c r="G76" s="94"/>
      <c r="H76" s="94"/>
      <c r="I76" s="94"/>
      <c r="J76" s="94"/>
      <c r="K76" s="94"/>
      <c r="L76" s="94"/>
      <c r="M76" s="94"/>
      <c r="N76" s="94"/>
    </row>
    <row r="77" spans="1:14" ht="12.75" hidden="1">
      <c r="A77" s="94"/>
      <c r="B77" s="94"/>
      <c r="C77" s="94"/>
      <c r="D77" s="94"/>
      <c r="E77" s="94"/>
      <c r="F77" s="94"/>
      <c r="G77" s="94"/>
      <c r="H77" s="94"/>
      <c r="I77" s="94"/>
      <c r="J77" s="94"/>
      <c r="K77" s="94"/>
      <c r="L77" s="94"/>
      <c r="M77" s="94"/>
      <c r="N77" s="94"/>
    </row>
    <row r="78" spans="1:14" ht="12.75" hidden="1">
      <c r="A78" s="94"/>
      <c r="B78" s="94"/>
      <c r="C78" s="94"/>
      <c r="D78" s="94"/>
      <c r="E78" s="94"/>
      <c r="F78" s="94"/>
      <c r="G78" s="94"/>
      <c r="H78" s="94"/>
      <c r="I78" s="94"/>
      <c r="J78" s="94"/>
      <c r="K78" s="94"/>
      <c r="L78" s="94"/>
      <c r="M78" s="94"/>
      <c r="N78" s="94"/>
    </row>
    <row r="79" spans="1:14" ht="12.75" hidden="1">
      <c r="A79" s="94"/>
      <c r="B79" s="94"/>
      <c r="C79" s="94"/>
      <c r="D79" s="94"/>
      <c r="E79" s="94"/>
      <c r="F79" s="94"/>
      <c r="G79" s="94"/>
      <c r="H79" s="94"/>
      <c r="I79" s="94"/>
      <c r="J79" s="94"/>
      <c r="K79" s="94"/>
      <c r="L79" s="94"/>
      <c r="M79" s="94"/>
      <c r="N79" s="94"/>
    </row>
    <row r="80" spans="1:14" ht="12.75" hidden="1">
      <c r="A80" s="94"/>
      <c r="B80" s="94"/>
      <c r="C80" s="94"/>
      <c r="D80" s="94"/>
      <c r="E80" s="94"/>
      <c r="F80" s="94"/>
      <c r="G80" s="94"/>
      <c r="H80" s="94"/>
      <c r="I80" s="94"/>
      <c r="J80" s="94"/>
      <c r="K80" s="94"/>
      <c r="L80" s="94"/>
      <c r="M80" s="94"/>
      <c r="N80" s="94"/>
    </row>
    <row r="81" spans="1:14" ht="12.75" hidden="1">
      <c r="A81" s="94"/>
      <c r="B81" s="94"/>
      <c r="C81" s="94"/>
      <c r="D81" s="94"/>
      <c r="E81" s="94"/>
      <c r="F81" s="94"/>
      <c r="G81" s="94"/>
      <c r="H81" s="94"/>
      <c r="I81" s="94"/>
      <c r="J81" s="94"/>
      <c r="K81" s="94"/>
      <c r="L81" s="94"/>
      <c r="M81" s="94"/>
      <c r="N81" s="94"/>
    </row>
    <row r="82" spans="1:14" ht="12.75" hidden="1">
      <c r="A82" s="94"/>
      <c r="B82" s="94"/>
      <c r="C82" s="94"/>
      <c r="D82" s="94"/>
      <c r="E82" s="94"/>
      <c r="F82" s="94"/>
      <c r="G82" s="94"/>
      <c r="H82" s="94"/>
      <c r="I82" s="94"/>
      <c r="J82" s="94"/>
      <c r="K82" s="94"/>
      <c r="L82" s="94"/>
      <c r="M82" s="94"/>
      <c r="N82" s="94"/>
    </row>
    <row r="83" spans="1:14" ht="12.75" hidden="1">
      <c r="A83" s="94"/>
      <c r="B83" s="94"/>
      <c r="C83" s="94"/>
      <c r="D83" s="94"/>
      <c r="E83" s="94"/>
      <c r="F83" s="94"/>
      <c r="G83" s="94"/>
      <c r="H83" s="94"/>
      <c r="I83" s="94"/>
      <c r="J83" s="94"/>
      <c r="K83" s="94"/>
      <c r="L83" s="94"/>
      <c r="M83" s="94"/>
      <c r="N83" s="94"/>
    </row>
    <row r="84" spans="1:14" ht="12.75" hidden="1">
      <c r="A84" s="94"/>
      <c r="B84" s="94"/>
      <c r="C84" s="94"/>
      <c r="D84" s="94"/>
      <c r="E84" s="94"/>
      <c r="F84" s="94"/>
      <c r="G84" s="94"/>
      <c r="H84" s="94"/>
      <c r="I84" s="94"/>
      <c r="J84" s="94"/>
      <c r="K84" s="94"/>
      <c r="L84" s="94"/>
      <c r="M84" s="94"/>
      <c r="N84" s="94"/>
    </row>
    <row r="85" spans="1:14" ht="12.75" hidden="1">
      <c r="A85" s="94"/>
      <c r="B85" s="94"/>
      <c r="C85" s="94"/>
      <c r="D85" s="94"/>
      <c r="E85" s="94"/>
      <c r="F85" s="94"/>
      <c r="G85" s="94"/>
      <c r="H85" s="94"/>
      <c r="I85" s="94"/>
      <c r="J85" s="94"/>
      <c r="K85" s="94"/>
      <c r="L85" s="94"/>
      <c r="M85" s="94"/>
      <c r="N85" s="94"/>
    </row>
    <row r="86" spans="1:14" ht="12.75" hidden="1">
      <c r="A86" s="94"/>
      <c r="B86" s="94"/>
      <c r="C86" s="94"/>
      <c r="D86" s="94"/>
      <c r="E86" s="94"/>
      <c r="F86" s="94"/>
      <c r="G86" s="94"/>
      <c r="H86" s="94"/>
      <c r="I86" s="94"/>
      <c r="J86" s="94"/>
      <c r="K86" s="94"/>
      <c r="L86" s="94"/>
      <c r="M86" s="94"/>
      <c r="N86" s="94"/>
    </row>
    <row r="87" spans="1:14" ht="12.75" hidden="1">
      <c r="A87" s="94"/>
      <c r="B87" s="94"/>
      <c r="C87" s="94"/>
      <c r="D87" s="94"/>
      <c r="E87" s="94"/>
      <c r="F87" s="94"/>
      <c r="G87" s="94"/>
      <c r="H87" s="94"/>
      <c r="I87" s="94"/>
      <c r="J87" s="94"/>
      <c r="K87" s="94"/>
      <c r="L87" s="94"/>
      <c r="M87" s="94"/>
      <c r="N87" s="94"/>
    </row>
    <row r="88" spans="1:14" ht="12.75" hidden="1">
      <c r="A88" s="94"/>
      <c r="B88" s="94"/>
      <c r="C88" s="94"/>
      <c r="D88" s="94"/>
      <c r="E88" s="94"/>
      <c r="F88" s="94"/>
      <c r="G88" s="94"/>
      <c r="H88" s="94"/>
      <c r="I88" s="94"/>
      <c r="J88" s="94"/>
      <c r="K88" s="94"/>
      <c r="L88" s="94"/>
      <c r="M88" s="94"/>
      <c r="N88" s="94"/>
    </row>
    <row r="89" spans="1:14" ht="12.75" hidden="1">
      <c r="A89" s="94"/>
      <c r="B89" s="94"/>
      <c r="C89" s="94"/>
      <c r="D89" s="94"/>
      <c r="E89" s="94"/>
      <c r="F89" s="94"/>
      <c r="G89" s="94"/>
      <c r="H89" s="94"/>
      <c r="I89" s="94"/>
      <c r="J89" s="94"/>
      <c r="K89" s="94"/>
      <c r="L89" s="94"/>
      <c r="M89" s="94"/>
      <c r="N89" s="94"/>
    </row>
    <row r="90" spans="1:14" ht="12.75" hidden="1">
      <c r="A90" s="94"/>
      <c r="B90" s="94"/>
      <c r="C90" s="94"/>
      <c r="D90" s="94"/>
      <c r="E90" s="94"/>
      <c r="F90" s="94"/>
      <c r="G90" s="94"/>
      <c r="H90" s="94"/>
      <c r="I90" s="94"/>
      <c r="J90" s="94"/>
      <c r="K90" s="94"/>
      <c r="L90" s="94"/>
      <c r="M90" s="94"/>
      <c r="N90" s="94"/>
    </row>
    <row r="91" spans="1:14" ht="12.75" hidden="1">
      <c r="A91" s="94"/>
      <c r="B91" s="94"/>
      <c r="C91" s="94"/>
      <c r="D91" s="94"/>
      <c r="E91" s="94"/>
      <c r="F91" s="94"/>
      <c r="G91" s="94"/>
      <c r="H91" s="94"/>
      <c r="I91" s="94"/>
      <c r="J91" s="94"/>
      <c r="K91" s="94"/>
      <c r="L91" s="94"/>
      <c r="M91" s="94"/>
      <c r="N91" s="94"/>
    </row>
    <row r="92" spans="1:14" ht="12.75" hidden="1">
      <c r="A92" s="94"/>
      <c r="B92" s="94"/>
      <c r="C92" s="94"/>
      <c r="D92" s="94"/>
      <c r="E92" s="94"/>
      <c r="F92" s="94"/>
      <c r="G92" s="94"/>
      <c r="H92" s="94"/>
      <c r="I92" s="94"/>
      <c r="J92" s="94"/>
      <c r="K92" s="94"/>
      <c r="L92" s="94"/>
      <c r="M92" s="94"/>
      <c r="N92" s="94"/>
    </row>
    <row r="93" spans="1:14" ht="12.75" hidden="1">
      <c r="A93" s="94"/>
      <c r="B93" s="94"/>
      <c r="C93" s="94"/>
      <c r="D93" s="94"/>
      <c r="E93" s="94"/>
      <c r="F93" s="94"/>
      <c r="G93" s="94"/>
      <c r="H93" s="94"/>
      <c r="I93" s="94"/>
      <c r="J93" s="94"/>
      <c r="K93" s="94"/>
      <c r="L93" s="94"/>
      <c r="M93" s="94"/>
      <c r="N93" s="94"/>
    </row>
    <row r="94" spans="1:14" ht="12.75" hidden="1">
      <c r="A94" s="94"/>
      <c r="B94" s="94"/>
      <c r="C94" s="94"/>
      <c r="D94" s="94"/>
      <c r="E94" s="94"/>
      <c r="F94" s="94"/>
      <c r="G94" s="94"/>
      <c r="H94" s="94"/>
      <c r="I94" s="94"/>
      <c r="J94" s="94"/>
      <c r="K94" s="94"/>
      <c r="L94" s="94"/>
      <c r="M94" s="94"/>
      <c r="N94" s="94"/>
    </row>
    <row r="95" spans="1:14" ht="12.75" hidden="1">
      <c r="A95" s="94"/>
      <c r="B95" s="94"/>
      <c r="C95" s="94"/>
      <c r="D95" s="94"/>
      <c r="E95" s="94"/>
      <c r="F95" s="94"/>
      <c r="G95" s="94"/>
      <c r="H95" s="94"/>
      <c r="I95" s="94"/>
      <c r="J95" s="94"/>
      <c r="K95" s="94"/>
      <c r="L95" s="94"/>
      <c r="M95" s="94"/>
      <c r="N95" s="94"/>
    </row>
    <row r="96" spans="1:14" ht="12.75" hidden="1">
      <c r="A96" s="94"/>
      <c r="B96" s="94"/>
      <c r="C96" s="94"/>
      <c r="D96" s="94"/>
      <c r="E96" s="94"/>
      <c r="F96" s="94"/>
      <c r="G96" s="94"/>
      <c r="H96" s="94"/>
      <c r="I96" s="94"/>
      <c r="J96" s="94"/>
      <c r="K96" s="94"/>
      <c r="L96" s="94"/>
      <c r="M96" s="94"/>
      <c r="N96" s="94"/>
    </row>
    <row r="97" spans="1:14" ht="12.75" hidden="1">
      <c r="A97" s="94"/>
      <c r="B97" s="94"/>
      <c r="C97" s="94"/>
      <c r="D97" s="94"/>
      <c r="E97" s="94"/>
      <c r="F97" s="94"/>
      <c r="G97" s="94"/>
      <c r="H97" s="94"/>
      <c r="I97" s="94"/>
      <c r="J97" s="94"/>
      <c r="K97" s="94"/>
      <c r="L97" s="94"/>
      <c r="M97" s="94"/>
      <c r="N97" s="94"/>
    </row>
    <row r="98" spans="1:14" ht="12.75" hidden="1">
      <c r="A98" s="94"/>
      <c r="B98" s="94"/>
      <c r="C98" s="94"/>
      <c r="D98" s="94"/>
      <c r="E98" s="94"/>
      <c r="F98" s="94"/>
      <c r="G98" s="94"/>
      <c r="H98" s="94"/>
      <c r="I98" s="94"/>
      <c r="J98" s="94"/>
      <c r="K98" s="94"/>
      <c r="L98" s="94"/>
      <c r="M98" s="94"/>
      <c r="N98" s="94"/>
    </row>
    <row r="99" spans="1:14" ht="12.75" hidden="1">
      <c r="A99" s="94"/>
      <c r="B99" s="94"/>
      <c r="C99" s="94"/>
      <c r="D99" s="94"/>
      <c r="E99" s="94"/>
      <c r="F99" s="94"/>
      <c r="G99" s="94"/>
      <c r="H99" s="94"/>
      <c r="I99" s="94"/>
      <c r="J99" s="94"/>
      <c r="K99" s="94"/>
      <c r="L99" s="94"/>
      <c r="M99" s="94"/>
      <c r="N99" s="94"/>
    </row>
    <row r="100" spans="1:14" ht="12.75" hidden="1">
      <c r="A100" s="94"/>
      <c r="B100" s="94"/>
      <c r="C100" s="94"/>
      <c r="D100" s="94"/>
      <c r="E100" s="94"/>
      <c r="F100" s="94"/>
      <c r="G100" s="94"/>
      <c r="H100" s="94"/>
      <c r="I100" s="94"/>
      <c r="J100" s="94"/>
      <c r="K100" s="94"/>
      <c r="L100" s="94"/>
      <c r="M100" s="94"/>
      <c r="N100" s="94"/>
    </row>
    <row r="101" spans="1:14" ht="12.75" hidden="1">
      <c r="A101" s="94"/>
      <c r="B101" s="94"/>
      <c r="C101" s="94"/>
      <c r="D101" s="94"/>
      <c r="E101" s="94"/>
      <c r="F101" s="94"/>
      <c r="G101" s="94"/>
      <c r="H101" s="94"/>
      <c r="I101" s="94"/>
      <c r="J101" s="94"/>
      <c r="K101" s="94"/>
      <c r="L101" s="94"/>
      <c r="M101" s="94"/>
      <c r="N101" s="94"/>
    </row>
    <row r="102" spans="1:14" ht="12.75" hidden="1">
      <c r="A102" s="94"/>
      <c r="B102" s="94"/>
      <c r="C102" s="94"/>
      <c r="D102" s="94"/>
      <c r="E102" s="94"/>
      <c r="F102" s="94"/>
      <c r="G102" s="94"/>
      <c r="H102" s="94"/>
      <c r="I102" s="94"/>
      <c r="J102" s="94"/>
      <c r="K102" s="94"/>
      <c r="L102" s="94"/>
      <c r="M102" s="94"/>
      <c r="N102" s="94"/>
    </row>
    <row r="103" spans="1:14" ht="12.75" hidden="1">
      <c r="A103" s="94"/>
      <c r="B103" s="94"/>
      <c r="C103" s="94"/>
      <c r="D103" s="94"/>
      <c r="E103" s="94"/>
      <c r="F103" s="94"/>
      <c r="G103" s="94"/>
      <c r="H103" s="94"/>
      <c r="I103" s="94"/>
      <c r="J103" s="94"/>
      <c r="K103" s="94"/>
      <c r="L103" s="94"/>
      <c r="M103" s="94"/>
      <c r="N103" s="94"/>
    </row>
    <row r="104" spans="1:14" ht="12.75" hidden="1">
      <c r="A104" s="94"/>
      <c r="B104" s="94"/>
      <c r="C104" s="94"/>
      <c r="D104" s="94"/>
      <c r="E104" s="94"/>
      <c r="F104" s="94"/>
      <c r="G104" s="94"/>
      <c r="H104" s="94"/>
      <c r="I104" s="94"/>
      <c r="J104" s="94"/>
      <c r="K104" s="94"/>
      <c r="L104" s="94"/>
      <c r="M104" s="94"/>
      <c r="N104" s="94"/>
    </row>
    <row r="105" spans="1:14" ht="12.75" hidden="1">
      <c r="A105" s="94"/>
      <c r="B105" s="94"/>
      <c r="C105" s="94"/>
      <c r="D105" s="94"/>
      <c r="E105" s="94"/>
      <c r="F105" s="94"/>
      <c r="G105" s="94"/>
      <c r="H105" s="94"/>
      <c r="I105" s="94"/>
      <c r="J105" s="94"/>
      <c r="K105" s="94"/>
      <c r="L105" s="94"/>
      <c r="M105" s="94"/>
      <c r="N105" s="94"/>
    </row>
    <row r="106" spans="1:14" ht="12.75" hidden="1">
      <c r="A106" s="94"/>
      <c r="B106" s="94"/>
      <c r="C106" s="94"/>
      <c r="D106" s="94"/>
      <c r="E106" s="94"/>
      <c r="F106" s="94"/>
      <c r="G106" s="94"/>
      <c r="H106" s="94"/>
      <c r="I106" s="94"/>
      <c r="J106" s="94"/>
      <c r="K106" s="94"/>
      <c r="L106" s="94"/>
      <c r="M106" s="94"/>
      <c r="N106" s="94"/>
    </row>
    <row r="107" spans="1:14" ht="12.75" hidden="1">
      <c r="A107" s="94"/>
      <c r="B107" s="94"/>
      <c r="C107" s="94"/>
      <c r="D107" s="94"/>
      <c r="E107" s="94"/>
      <c r="F107" s="94"/>
      <c r="G107" s="94"/>
      <c r="H107" s="94"/>
      <c r="I107" s="94"/>
      <c r="J107" s="94"/>
      <c r="K107" s="94"/>
      <c r="L107" s="94"/>
      <c r="M107" s="94"/>
      <c r="N107" s="94"/>
    </row>
    <row r="108" spans="1:14" ht="12.75" hidden="1">
      <c r="A108" s="94"/>
      <c r="B108" s="94"/>
      <c r="C108" s="94"/>
      <c r="D108" s="94"/>
      <c r="E108" s="94"/>
      <c r="F108" s="94"/>
      <c r="G108" s="94"/>
      <c r="H108" s="94"/>
      <c r="I108" s="94"/>
      <c r="J108" s="94"/>
      <c r="K108" s="94"/>
      <c r="L108" s="94"/>
      <c r="M108" s="94"/>
      <c r="N108" s="94"/>
    </row>
    <row r="109" spans="1:14" ht="12.75" hidden="1">
      <c r="A109" s="94"/>
      <c r="B109" s="94"/>
      <c r="C109" s="94"/>
      <c r="D109" s="94"/>
      <c r="E109" s="94"/>
      <c r="F109" s="94"/>
      <c r="G109" s="94"/>
      <c r="H109" s="94"/>
      <c r="I109" s="94"/>
      <c r="J109" s="94"/>
      <c r="K109" s="94"/>
      <c r="L109" s="94"/>
      <c r="M109" s="94"/>
      <c r="N109" s="94"/>
    </row>
    <row r="110" spans="1:14" ht="12.75" hidden="1">
      <c r="A110" s="94"/>
      <c r="B110" s="94"/>
      <c r="C110" s="94"/>
      <c r="D110" s="94"/>
      <c r="E110" s="94"/>
      <c r="F110" s="94"/>
      <c r="G110" s="94"/>
      <c r="H110" s="94"/>
      <c r="I110" s="94"/>
      <c r="J110" s="94"/>
      <c r="K110" s="94"/>
      <c r="L110" s="94"/>
      <c r="M110" s="94"/>
      <c r="N110" s="94"/>
    </row>
    <row r="111" spans="1:14" ht="12.75" hidden="1">
      <c r="A111" s="94"/>
      <c r="B111" s="94"/>
      <c r="C111" s="94"/>
      <c r="D111" s="94"/>
      <c r="E111" s="94"/>
      <c r="F111" s="94"/>
      <c r="G111" s="94"/>
      <c r="H111" s="94"/>
      <c r="I111" s="94"/>
      <c r="J111" s="94"/>
      <c r="K111" s="94"/>
      <c r="L111" s="94"/>
      <c r="M111" s="94"/>
      <c r="N111" s="94"/>
    </row>
    <row r="112" spans="1:14" ht="12.75" hidden="1">
      <c r="A112" s="94"/>
      <c r="B112" s="94"/>
      <c r="C112" s="94"/>
      <c r="D112" s="94"/>
      <c r="E112" s="94"/>
      <c r="F112" s="94"/>
      <c r="G112" s="94"/>
      <c r="H112" s="94"/>
      <c r="I112" s="94"/>
      <c r="J112" s="94"/>
      <c r="K112" s="94"/>
      <c r="L112" s="94"/>
      <c r="M112" s="94"/>
      <c r="N112" s="94"/>
    </row>
    <row r="113" spans="1:14" ht="12.75" hidden="1">
      <c r="A113" s="94"/>
      <c r="B113" s="94"/>
      <c r="C113" s="94"/>
      <c r="D113" s="94"/>
      <c r="E113" s="94"/>
      <c r="F113" s="94"/>
      <c r="G113" s="94"/>
      <c r="H113" s="94"/>
      <c r="I113" s="94"/>
      <c r="J113" s="94"/>
      <c r="K113" s="94"/>
      <c r="L113" s="94"/>
      <c r="M113" s="94"/>
      <c r="N113" s="94"/>
    </row>
    <row r="114" spans="1:14" ht="12.75" hidden="1">
      <c r="A114" s="94"/>
      <c r="B114" s="94"/>
      <c r="C114" s="94"/>
      <c r="D114" s="94"/>
      <c r="E114" s="94"/>
      <c r="F114" s="94"/>
      <c r="G114" s="94"/>
      <c r="H114" s="94"/>
      <c r="I114" s="94"/>
      <c r="J114" s="94"/>
      <c r="K114" s="94"/>
      <c r="L114" s="94"/>
      <c r="M114" s="94"/>
      <c r="N114" s="94"/>
    </row>
    <row r="115" spans="1:14" ht="12.75" hidden="1">
      <c r="A115" s="94"/>
      <c r="B115" s="94"/>
      <c r="C115" s="94"/>
      <c r="D115" s="94"/>
      <c r="E115" s="94"/>
      <c r="F115" s="94"/>
      <c r="G115" s="94"/>
      <c r="H115" s="94"/>
      <c r="I115" s="94"/>
      <c r="J115" s="94"/>
      <c r="K115" s="94"/>
      <c r="L115" s="94"/>
      <c r="M115" s="94"/>
      <c r="N115" s="94"/>
    </row>
    <row r="116" spans="1:14" ht="12.75" hidden="1">
      <c r="A116" s="94"/>
      <c r="B116" s="94"/>
      <c r="C116" s="94"/>
      <c r="D116" s="94"/>
      <c r="E116" s="94"/>
      <c r="F116" s="94"/>
      <c r="G116" s="94"/>
      <c r="H116" s="94"/>
      <c r="I116" s="94"/>
      <c r="J116" s="94"/>
      <c r="K116" s="94"/>
      <c r="L116" s="94"/>
      <c r="M116" s="94"/>
      <c r="N116" s="94"/>
    </row>
    <row r="117" spans="1:14" ht="12.75" hidden="1">
      <c r="A117" s="94"/>
      <c r="B117" s="94"/>
      <c r="C117" s="94"/>
      <c r="D117" s="94"/>
      <c r="E117" s="94"/>
      <c r="F117" s="94"/>
      <c r="G117" s="94"/>
      <c r="H117" s="94"/>
      <c r="I117" s="94"/>
      <c r="J117" s="94"/>
      <c r="K117" s="94"/>
      <c r="L117" s="94"/>
      <c r="M117" s="94"/>
      <c r="N117" s="94"/>
    </row>
    <row r="118" spans="1:14" ht="12.75" hidden="1">
      <c r="A118" s="94"/>
      <c r="B118" s="94"/>
      <c r="C118" s="94"/>
      <c r="D118" s="94"/>
      <c r="E118" s="94"/>
      <c r="F118" s="94"/>
      <c r="G118" s="94"/>
      <c r="H118" s="94"/>
      <c r="I118" s="94"/>
      <c r="J118" s="94"/>
      <c r="K118" s="94"/>
      <c r="L118" s="94"/>
      <c r="M118" s="94"/>
      <c r="N118" s="94"/>
    </row>
    <row r="119" spans="1:14" ht="12.75" hidden="1">
      <c r="A119" s="94"/>
      <c r="B119" s="94"/>
      <c r="C119" s="94"/>
      <c r="D119" s="94"/>
      <c r="E119" s="94"/>
      <c r="F119" s="94"/>
      <c r="G119" s="94"/>
      <c r="H119" s="94"/>
      <c r="I119" s="94"/>
      <c r="J119" s="94"/>
      <c r="K119" s="94"/>
      <c r="L119" s="94"/>
      <c r="M119" s="94"/>
      <c r="N119" s="94"/>
    </row>
    <row r="120" spans="1:14" ht="12.75" hidden="1">
      <c r="A120" s="94"/>
      <c r="B120" s="94"/>
      <c r="C120" s="94"/>
      <c r="D120" s="94"/>
      <c r="E120" s="94"/>
      <c r="F120" s="94"/>
      <c r="G120" s="94"/>
      <c r="H120" s="94"/>
      <c r="I120" s="94"/>
      <c r="J120" s="94"/>
      <c r="K120" s="94"/>
      <c r="L120" s="94"/>
      <c r="M120" s="94"/>
      <c r="N120" s="94"/>
    </row>
    <row r="121" spans="1:14" ht="15" hidden="1" customHeight="1">
      <c r="A121" s="94"/>
      <c r="B121" s="94"/>
      <c r="C121" s="94"/>
      <c r="D121" s="94"/>
      <c r="E121" s="94"/>
      <c r="F121" s="94"/>
      <c r="G121" s="94"/>
      <c r="H121" s="94"/>
      <c r="I121" s="94"/>
      <c r="J121" s="94"/>
      <c r="K121" s="94"/>
      <c r="L121" s="94"/>
      <c r="M121" s="94"/>
      <c r="N121" s="94"/>
    </row>
  </sheetData>
  <sheetProtection password="F66A" sheet="1"/>
  <hyperlinks>
    <hyperlink ref="D66" r:id="rId1"/>
    <hyperlink ref="D67" r:id="rId2"/>
  </hyperlinks>
  <printOptions horizontalCentered="1" verticalCentered="1"/>
  <pageMargins left="0.51181102362204722" right="0.51181102362204722" top="0.59055118110236227" bottom="0.59055118110236227" header="0.31496062992125984" footer="0.31496062992125984"/>
  <pageSetup paperSize="9" scale="65"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Umsatz">
    <tabColor rgb="FFFFFF00"/>
    <pageSetUpPr autoPageBreaks="0"/>
  </sheetPr>
  <dimension ref="A1:NE130"/>
  <sheetViews>
    <sheetView showGridLines="0" zoomScaleNormal="100" workbookViewId="0">
      <pane xSplit="9" ySplit="6" topLeftCell="J7" activePane="bottomRight" state="frozenSplit"/>
      <selection activeCell="F23" sqref="F23"/>
      <selection pane="topRight" activeCell="F23" sqref="F23"/>
      <selection pane="bottomLeft" activeCell="F23" sqref="F23"/>
      <selection pane="bottomRight" activeCell="J7" sqref="J7"/>
    </sheetView>
  </sheetViews>
  <sheetFormatPr baseColWidth="10" defaultColWidth="0" defaultRowHeight="12.75" outlineLevelRow="2"/>
  <cols>
    <col min="1" max="2" width="4.140625" style="117" customWidth="1"/>
    <col min="3" max="3" width="49.42578125" style="117" customWidth="1"/>
    <col min="4" max="4" width="13" style="117" customWidth="1"/>
    <col min="5" max="5" width="13.85546875" style="117" customWidth="1"/>
    <col min="6" max="6" width="9.7109375" style="117" customWidth="1"/>
    <col min="7" max="8" width="4.42578125" style="117" customWidth="1"/>
    <col min="9" max="9" width="12.140625" style="117" customWidth="1"/>
    <col min="10" max="33" width="11.42578125" style="117" customWidth="1"/>
    <col min="34" max="369" width="0" style="117" hidden="1" customWidth="1"/>
    <col min="370" max="16384" width="11.42578125" style="117" hidden="1"/>
  </cols>
  <sheetData>
    <row r="1" spans="1:33" ht="20.25">
      <c r="A1" s="41" t="s">
        <v>214</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c r="A7" s="894"/>
      <c r="B7" s="241"/>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8" spans="1:33" ht="21.75" customHeight="1" thickBot="1">
      <c r="A8" s="323"/>
      <c r="B8" s="323"/>
      <c r="C8" s="323" t="s">
        <v>225</v>
      </c>
      <c r="D8" s="323"/>
      <c r="E8" s="323"/>
      <c r="F8" s="323"/>
      <c r="G8" s="323"/>
      <c r="H8" s="323"/>
      <c r="I8" s="323"/>
      <c r="J8" s="323"/>
      <c r="K8" s="323"/>
      <c r="L8" s="323"/>
      <c r="M8" s="323"/>
      <c r="N8" s="323"/>
      <c r="O8" s="323"/>
      <c r="P8" s="323"/>
      <c r="Q8" s="323"/>
      <c r="R8" s="323"/>
      <c r="S8" s="323"/>
      <c r="T8" s="323"/>
      <c r="U8" s="323"/>
      <c r="V8" s="323"/>
      <c r="W8" s="323"/>
      <c r="X8" s="323"/>
      <c r="Y8" s="323"/>
      <c r="Z8" s="323"/>
      <c r="AA8" s="323"/>
      <c r="AB8" s="323"/>
      <c r="AC8" s="323"/>
      <c r="AD8" s="323"/>
      <c r="AE8" s="323"/>
      <c r="AF8" s="323"/>
      <c r="AG8" s="323"/>
    </row>
    <row r="9" spans="1:33" outlineLevel="1">
      <c r="A9" s="894"/>
      <c r="B9" s="241"/>
      <c r="C9" s="128"/>
      <c r="D9" s="241"/>
      <c r="E9" s="324"/>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row>
    <row r="10" spans="1:33" ht="20.25" outlineLevel="1">
      <c r="A10" s="894"/>
      <c r="B10" s="279" t="s">
        <v>33</v>
      </c>
      <c r="C10" s="279" t="s">
        <v>215</v>
      </c>
      <c r="D10" s="241"/>
      <c r="E10" s="325"/>
      <c r="F10" s="287"/>
      <c r="G10" s="241"/>
      <c r="H10" s="241"/>
      <c r="I10" s="241"/>
      <c r="J10" s="325" t="s">
        <v>207</v>
      </c>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row>
    <row r="11" spans="1:33" ht="17.25" customHeight="1" outlineLevel="2">
      <c r="A11" s="894"/>
      <c r="B11" s="241"/>
      <c r="C11" s="24" t="str">
        <f>Product_01</f>
        <v>Desktops</v>
      </c>
      <c r="D11" s="8" t="str">
        <f t="shared" ref="D11:D21" si="0">Currency_Label</f>
        <v>USD</v>
      </c>
      <c r="E11" s="325"/>
      <c r="F11" s="287"/>
      <c r="G11" s="241"/>
      <c r="H11" s="241"/>
      <c r="I11" s="71">
        <f t="shared" ref="I11:I21" si="1">SUMPRODUCT((J$6:AG$6),(J11:AG11))</f>
        <v>0</v>
      </c>
      <c r="J11" s="269"/>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row>
    <row r="12" spans="1:33" ht="17.25" customHeight="1" outlineLevel="2">
      <c r="A12" s="894"/>
      <c r="B12" s="241"/>
      <c r="C12" s="24" t="str">
        <f>Product_02</f>
        <v>Workstations</v>
      </c>
      <c r="D12" s="8" t="str">
        <f t="shared" si="0"/>
        <v>USD</v>
      </c>
      <c r="E12" s="325"/>
      <c r="F12" s="287"/>
      <c r="G12" s="241"/>
      <c r="H12" s="241"/>
      <c r="I12" s="71">
        <f t="shared" si="1"/>
        <v>0</v>
      </c>
      <c r="J12" s="269"/>
      <c r="K12" s="269"/>
      <c r="L12" s="269"/>
      <c r="M12" s="269"/>
      <c r="N12" s="269"/>
      <c r="O12" s="269"/>
      <c r="P12" s="269"/>
      <c r="Q12" s="269"/>
      <c r="R12" s="269"/>
      <c r="S12" s="269"/>
      <c r="T12" s="269"/>
      <c r="U12" s="269"/>
      <c r="V12" s="269"/>
      <c r="W12" s="269"/>
      <c r="X12" s="269"/>
      <c r="Y12" s="269"/>
      <c r="Z12" s="269"/>
      <c r="AA12" s="269"/>
      <c r="AB12" s="269"/>
      <c r="AC12" s="269"/>
      <c r="AD12" s="269"/>
      <c r="AE12" s="269"/>
      <c r="AF12" s="269"/>
      <c r="AG12" s="269"/>
    </row>
    <row r="13" spans="1:33" s="130" customFormat="1" ht="17.25" customHeight="1" outlineLevel="2">
      <c r="A13" s="894"/>
      <c r="B13" s="241"/>
      <c r="C13" s="24" t="str">
        <f>Product_03</f>
        <v>Notebooks</v>
      </c>
      <c r="D13" s="8" t="str">
        <f t="shared" si="0"/>
        <v>USD</v>
      </c>
      <c r="E13" s="325"/>
      <c r="F13" s="287"/>
      <c r="G13" s="241"/>
      <c r="H13" s="241"/>
      <c r="I13" s="71">
        <f t="shared" si="1"/>
        <v>0</v>
      </c>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row>
    <row r="14" spans="1:33" s="649" customFormat="1" ht="17.25" customHeight="1" outlineLevel="2">
      <c r="A14" s="894"/>
      <c r="B14" s="287"/>
      <c r="C14" s="24" t="str">
        <f>Product_04</f>
        <v>Software Products</v>
      </c>
      <c r="D14" s="8" t="str">
        <f t="shared" si="0"/>
        <v>USD</v>
      </c>
      <c r="E14" s="325"/>
      <c r="F14" s="287"/>
      <c r="G14" s="287"/>
      <c r="H14" s="287"/>
      <c r="I14" s="71">
        <f t="shared" si="1"/>
        <v>0</v>
      </c>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row>
    <row r="15" spans="1:33" s="649" customFormat="1" ht="17.25" customHeight="1" outlineLevel="2">
      <c r="A15" s="894"/>
      <c r="B15" s="287"/>
      <c r="C15" s="24" t="str">
        <f>Product_05</f>
        <v>Net work infrastructure solutions</v>
      </c>
      <c r="D15" s="8" t="str">
        <f t="shared" si="0"/>
        <v>USD</v>
      </c>
      <c r="E15" s="325"/>
      <c r="F15" s="287"/>
      <c r="G15" s="287"/>
      <c r="H15" s="287"/>
      <c r="I15" s="71">
        <f t="shared" si="1"/>
        <v>104412.51506598486</v>
      </c>
      <c r="J15" s="269">
        <v>4500</v>
      </c>
      <c r="K15" s="269">
        <v>4500</v>
      </c>
      <c r="L15" s="269">
        <v>4500</v>
      </c>
      <c r="M15" s="269">
        <v>4500</v>
      </c>
      <c r="N15" s="269">
        <v>4500</v>
      </c>
      <c r="O15" s="269">
        <v>4500</v>
      </c>
      <c r="P15" s="269">
        <v>4500</v>
      </c>
      <c r="Q15" s="269">
        <v>4500</v>
      </c>
      <c r="R15" s="269">
        <v>5000</v>
      </c>
      <c r="S15" s="269">
        <v>5000</v>
      </c>
      <c r="T15" s="269">
        <f t="shared" ref="T15:AG15" si="2">S15*(1+1%)</f>
        <v>5050</v>
      </c>
      <c r="U15" s="269">
        <f t="shared" si="2"/>
        <v>5100.5</v>
      </c>
      <c r="V15" s="269">
        <f t="shared" si="2"/>
        <v>5151.5050000000001</v>
      </c>
      <c r="W15" s="269">
        <f t="shared" si="2"/>
        <v>5203.0200500000001</v>
      </c>
      <c r="X15" s="269">
        <f t="shared" si="2"/>
        <v>5255.0502505000004</v>
      </c>
      <c r="Y15" s="269">
        <f t="shared" si="2"/>
        <v>5307.6007530050001</v>
      </c>
      <c r="Z15" s="269">
        <f t="shared" si="2"/>
        <v>5360.6767605350506</v>
      </c>
      <c r="AA15" s="269">
        <f t="shared" si="2"/>
        <v>5414.2835281404014</v>
      </c>
      <c r="AB15" s="269">
        <f t="shared" si="2"/>
        <v>5468.426363421805</v>
      </c>
      <c r="AC15" s="269">
        <f t="shared" si="2"/>
        <v>5523.1106270560231</v>
      </c>
      <c r="AD15" s="269">
        <f t="shared" si="2"/>
        <v>5578.3417333265834</v>
      </c>
      <c r="AE15" s="269">
        <f t="shared" si="2"/>
        <v>5634.1251506598492</v>
      </c>
      <c r="AF15" s="269">
        <f t="shared" si="2"/>
        <v>5690.4664021664476</v>
      </c>
      <c r="AG15" s="269">
        <f t="shared" si="2"/>
        <v>5747.3710661881123</v>
      </c>
    </row>
    <row r="16" spans="1:33" s="649" customFormat="1" ht="17.25" customHeight="1" outlineLevel="2">
      <c r="A16" s="894"/>
      <c r="B16" s="287"/>
      <c r="C16" s="24" t="str">
        <f>Product_06</f>
        <v>Repair Services</v>
      </c>
      <c r="D16" s="8" t="str">
        <f t="shared" si="0"/>
        <v>USD</v>
      </c>
      <c r="E16" s="325"/>
      <c r="F16" s="287"/>
      <c r="G16" s="287"/>
      <c r="H16" s="287"/>
      <c r="I16" s="71">
        <f t="shared" si="1"/>
        <v>281112</v>
      </c>
      <c r="J16" s="269">
        <v>13992</v>
      </c>
      <c r="K16" s="269">
        <v>13992</v>
      </c>
      <c r="L16" s="269">
        <v>13992</v>
      </c>
      <c r="M16" s="269">
        <v>13992</v>
      </c>
      <c r="N16" s="269">
        <v>13992</v>
      </c>
      <c r="O16" s="269">
        <v>13992</v>
      </c>
      <c r="P16" s="269">
        <v>13992</v>
      </c>
      <c r="Q16" s="269">
        <v>13992</v>
      </c>
      <c r="R16" s="269">
        <v>13992</v>
      </c>
      <c r="S16" s="269">
        <v>13992</v>
      </c>
      <c r="T16" s="269">
        <v>13992</v>
      </c>
      <c r="U16" s="269">
        <v>12720</v>
      </c>
      <c r="V16" s="269">
        <v>12720</v>
      </c>
      <c r="W16" s="269">
        <v>12720</v>
      </c>
      <c r="X16" s="269">
        <v>12720</v>
      </c>
      <c r="Y16" s="269">
        <v>12720</v>
      </c>
      <c r="Z16" s="269">
        <v>12720</v>
      </c>
      <c r="AA16" s="269">
        <v>12720</v>
      </c>
      <c r="AB16" s="269">
        <v>12720</v>
      </c>
      <c r="AC16" s="269">
        <v>12720</v>
      </c>
      <c r="AD16" s="269">
        <v>12720</v>
      </c>
      <c r="AE16" s="269">
        <v>24804</v>
      </c>
      <c r="AF16" s="269">
        <v>24804</v>
      </c>
      <c r="AG16" s="269">
        <v>24804</v>
      </c>
    </row>
    <row r="17" spans="1:33" s="649" customFormat="1" ht="17.25" customHeight="1" outlineLevel="2">
      <c r="A17" s="894"/>
      <c r="B17" s="287"/>
      <c r="C17" s="24" t="str">
        <f>Product_07</f>
        <v>Integration Services</v>
      </c>
      <c r="D17" s="8" t="str">
        <f t="shared" si="0"/>
        <v>USD</v>
      </c>
      <c r="E17" s="325"/>
      <c r="F17" s="287"/>
      <c r="G17" s="287"/>
      <c r="H17" s="287"/>
      <c r="I17" s="71">
        <f t="shared" si="1"/>
        <v>404000</v>
      </c>
      <c r="J17" s="269">
        <v>18000</v>
      </c>
      <c r="K17" s="269">
        <v>18000</v>
      </c>
      <c r="L17" s="269">
        <v>18000</v>
      </c>
      <c r="M17" s="269">
        <v>18000</v>
      </c>
      <c r="N17" s="269">
        <v>18000</v>
      </c>
      <c r="O17" s="269">
        <v>18000</v>
      </c>
      <c r="P17" s="269">
        <v>18000</v>
      </c>
      <c r="Q17" s="269">
        <v>18000</v>
      </c>
      <c r="R17" s="269">
        <v>20000</v>
      </c>
      <c r="S17" s="269">
        <v>20000</v>
      </c>
      <c r="T17" s="269">
        <v>20000</v>
      </c>
      <c r="U17" s="269">
        <v>20000</v>
      </c>
      <c r="V17" s="269">
        <v>20000</v>
      </c>
      <c r="W17" s="269">
        <v>20000</v>
      </c>
      <c r="X17" s="269">
        <v>20000</v>
      </c>
      <c r="Y17" s="269">
        <v>20000</v>
      </c>
      <c r="Z17" s="269">
        <v>20000</v>
      </c>
      <c r="AA17" s="269">
        <v>20000</v>
      </c>
      <c r="AB17" s="269">
        <v>20000</v>
      </c>
      <c r="AC17" s="269">
        <v>20000</v>
      </c>
      <c r="AD17" s="269">
        <v>20000</v>
      </c>
      <c r="AE17" s="269">
        <v>20000</v>
      </c>
      <c r="AF17" s="269">
        <v>20000</v>
      </c>
      <c r="AG17" s="269">
        <v>20000</v>
      </c>
    </row>
    <row r="18" spans="1:33" s="649" customFormat="1" ht="17.25" customHeight="1" outlineLevel="2">
      <c r="A18" s="894"/>
      <c r="B18" s="287"/>
      <c r="C18" s="24" t="str">
        <f>Product_08</f>
        <v>Consulting Services</v>
      </c>
      <c r="D18" s="8" t="str">
        <f t="shared" si="0"/>
        <v>USD</v>
      </c>
      <c r="E18" s="325"/>
      <c r="F18" s="287"/>
      <c r="G18" s="287"/>
      <c r="H18" s="287"/>
      <c r="I18" s="71">
        <f t="shared" si="1"/>
        <v>440498.92292858503</v>
      </c>
      <c r="J18" s="269">
        <v>18955</v>
      </c>
      <c r="K18" s="269">
        <f>J18*(1+1%)</f>
        <v>19144.55</v>
      </c>
      <c r="L18" s="269">
        <f t="shared" ref="L18:AG18" si="3">K18*(1+1%)</f>
        <v>19335.995500000001</v>
      </c>
      <c r="M18" s="269">
        <f t="shared" si="3"/>
        <v>19529.355455000001</v>
      </c>
      <c r="N18" s="269">
        <f t="shared" si="3"/>
        <v>19724.649009550001</v>
      </c>
      <c r="O18" s="269">
        <f t="shared" si="3"/>
        <v>19921.895499645503</v>
      </c>
      <c r="P18" s="269">
        <f t="shared" si="3"/>
        <v>20121.11445464196</v>
      </c>
      <c r="Q18" s="269">
        <f t="shared" si="3"/>
        <v>20322.325599188382</v>
      </c>
      <c r="R18" s="269">
        <f t="shared" si="3"/>
        <v>20525.548855180266</v>
      </c>
      <c r="S18" s="269">
        <f t="shared" si="3"/>
        <v>20730.80434373207</v>
      </c>
      <c r="T18" s="269">
        <f t="shared" si="3"/>
        <v>20938.112387169393</v>
      </c>
      <c r="U18" s="269">
        <f t="shared" si="3"/>
        <v>21147.493511041088</v>
      </c>
      <c r="V18" s="269">
        <f t="shared" si="3"/>
        <v>21358.968446151499</v>
      </c>
      <c r="W18" s="269">
        <f t="shared" si="3"/>
        <v>21572.558130613015</v>
      </c>
      <c r="X18" s="269">
        <f t="shared" si="3"/>
        <v>21788.283711919146</v>
      </c>
      <c r="Y18" s="269">
        <f t="shared" si="3"/>
        <v>22006.166549038338</v>
      </c>
      <c r="Z18" s="269">
        <f t="shared" si="3"/>
        <v>22226.228214528721</v>
      </c>
      <c r="AA18" s="269">
        <f t="shared" si="3"/>
        <v>22448.490496674007</v>
      </c>
      <c r="AB18" s="269">
        <f t="shared" si="3"/>
        <v>22672.975401640746</v>
      </c>
      <c r="AC18" s="269">
        <f t="shared" si="3"/>
        <v>22899.705155657153</v>
      </c>
      <c r="AD18" s="269">
        <f t="shared" si="3"/>
        <v>23128.702207213726</v>
      </c>
      <c r="AE18" s="269">
        <f t="shared" si="3"/>
        <v>23359.989229285864</v>
      </c>
      <c r="AF18" s="269">
        <f t="shared" si="3"/>
        <v>23593.589121578723</v>
      </c>
      <c r="AG18" s="269">
        <f t="shared" si="3"/>
        <v>23829.525012794511</v>
      </c>
    </row>
    <row r="19" spans="1:33" s="649" customFormat="1" ht="17.25" customHeight="1" outlineLevel="2">
      <c r="A19" s="894"/>
      <c r="B19" s="287"/>
      <c r="C19" s="24" t="str">
        <f>Product_09</f>
        <v>Spare Parts</v>
      </c>
      <c r="D19" s="8" t="str">
        <f t="shared" si="0"/>
        <v>USD</v>
      </c>
      <c r="E19" s="325"/>
      <c r="F19" s="287"/>
      <c r="G19" s="287"/>
      <c r="H19" s="287"/>
      <c r="I19" s="71">
        <f t="shared" si="1"/>
        <v>199650</v>
      </c>
      <c r="J19" s="269">
        <f>25%*J27</f>
        <v>9625</v>
      </c>
      <c r="K19" s="269">
        <f t="shared" ref="K19:AG19" si="4">25%*K27</f>
        <v>10175</v>
      </c>
      <c r="L19" s="269">
        <f t="shared" si="4"/>
        <v>10175</v>
      </c>
      <c r="M19" s="269">
        <f t="shared" si="4"/>
        <v>10175</v>
      </c>
      <c r="N19" s="269">
        <f t="shared" si="4"/>
        <v>10175</v>
      </c>
      <c r="O19" s="269">
        <f t="shared" si="4"/>
        <v>10175</v>
      </c>
      <c r="P19" s="269">
        <f t="shared" si="4"/>
        <v>10175</v>
      </c>
      <c r="Q19" s="269">
        <f t="shared" si="4"/>
        <v>9075</v>
      </c>
      <c r="R19" s="269">
        <f t="shared" si="4"/>
        <v>9075</v>
      </c>
      <c r="S19" s="269">
        <f t="shared" si="4"/>
        <v>9075</v>
      </c>
      <c r="T19" s="269">
        <f t="shared" si="4"/>
        <v>9075</v>
      </c>
      <c r="U19" s="269">
        <f t="shared" si="4"/>
        <v>9075</v>
      </c>
      <c r="V19" s="269">
        <f t="shared" si="4"/>
        <v>9075</v>
      </c>
      <c r="W19" s="269">
        <f t="shared" si="4"/>
        <v>9075</v>
      </c>
      <c r="X19" s="269">
        <f t="shared" si="4"/>
        <v>9075</v>
      </c>
      <c r="Y19" s="269">
        <f t="shared" si="4"/>
        <v>9075</v>
      </c>
      <c r="Z19" s="269">
        <f t="shared" si="4"/>
        <v>9075</v>
      </c>
      <c r="AA19" s="269">
        <f t="shared" si="4"/>
        <v>9075</v>
      </c>
      <c r="AB19" s="269">
        <f t="shared" si="4"/>
        <v>9075</v>
      </c>
      <c r="AC19" s="269">
        <f t="shared" si="4"/>
        <v>9075</v>
      </c>
      <c r="AD19" s="269">
        <f t="shared" si="4"/>
        <v>11000</v>
      </c>
      <c r="AE19" s="269">
        <f t="shared" si="4"/>
        <v>11000</v>
      </c>
      <c r="AF19" s="269">
        <f t="shared" si="4"/>
        <v>10000</v>
      </c>
      <c r="AG19" s="269">
        <f t="shared" si="4"/>
        <v>10000</v>
      </c>
    </row>
    <row r="20" spans="1:33" s="130" customFormat="1" ht="17.25" customHeight="1" outlineLevel="2">
      <c r="A20" s="894"/>
      <c r="B20" s="241"/>
      <c r="C20" s="24" t="str">
        <f>Product_10</f>
        <v>License Fees</v>
      </c>
      <c r="D20" s="8" t="str">
        <f t="shared" si="0"/>
        <v>USD</v>
      </c>
      <c r="E20" s="325"/>
      <c r="F20" s="287"/>
      <c r="G20" s="241"/>
      <c r="H20" s="241"/>
      <c r="I20" s="71">
        <f t="shared" si="1"/>
        <v>500200</v>
      </c>
      <c r="J20" s="269"/>
      <c r="K20" s="269"/>
      <c r="L20" s="269"/>
      <c r="M20" s="269"/>
      <c r="N20" s="269">
        <v>0</v>
      </c>
      <c r="O20" s="269">
        <v>0</v>
      </c>
      <c r="P20" s="269">
        <v>100020</v>
      </c>
      <c r="Q20" s="269">
        <v>0</v>
      </c>
      <c r="R20" s="269">
        <v>0</v>
      </c>
      <c r="S20" s="269">
        <v>100030</v>
      </c>
      <c r="T20" s="269">
        <v>0</v>
      </c>
      <c r="U20" s="269">
        <v>0</v>
      </c>
      <c r="V20" s="269">
        <v>100040</v>
      </c>
      <c r="W20" s="269">
        <v>0</v>
      </c>
      <c r="X20" s="269">
        <v>0</v>
      </c>
      <c r="Y20" s="269">
        <v>100050</v>
      </c>
      <c r="Z20" s="269">
        <v>0</v>
      </c>
      <c r="AA20" s="269">
        <v>0</v>
      </c>
      <c r="AB20" s="269">
        <v>100060</v>
      </c>
      <c r="AC20" s="269">
        <v>0</v>
      </c>
      <c r="AD20" s="269">
        <v>0</v>
      </c>
      <c r="AE20" s="269">
        <v>100070</v>
      </c>
      <c r="AF20" s="269">
        <v>0</v>
      </c>
      <c r="AG20" s="269">
        <v>0</v>
      </c>
    </row>
    <row r="21" spans="1:33" s="130" customFormat="1" ht="17.25" customHeight="1" outlineLevel="2">
      <c r="A21" s="894"/>
      <c r="B21" s="241"/>
      <c r="C21" s="121" t="s">
        <v>213</v>
      </c>
      <c r="D21" s="8" t="str">
        <f t="shared" si="0"/>
        <v>USD</v>
      </c>
      <c r="E21" s="241"/>
      <c r="F21" s="287"/>
      <c r="G21" s="241"/>
      <c r="H21" s="241"/>
      <c r="I21" s="71">
        <f t="shared" si="1"/>
        <v>1929873.4379945698</v>
      </c>
      <c r="J21" s="690">
        <f t="shared" ref="J21:AG21" si="5">SUM(J11:J20)</f>
        <v>65072</v>
      </c>
      <c r="K21" s="690">
        <f t="shared" si="5"/>
        <v>65811.55</v>
      </c>
      <c r="L21" s="690">
        <f t="shared" si="5"/>
        <v>66002.995500000005</v>
      </c>
      <c r="M21" s="690">
        <f t="shared" si="5"/>
        <v>66196.355454999997</v>
      </c>
      <c r="N21" s="690">
        <f t="shared" si="5"/>
        <v>66391.649009550005</v>
      </c>
      <c r="O21" s="690">
        <f t="shared" si="5"/>
        <v>66588.8954996455</v>
      </c>
      <c r="P21" s="690">
        <f t="shared" si="5"/>
        <v>166808.11445464197</v>
      </c>
      <c r="Q21" s="690">
        <f t="shared" si="5"/>
        <v>65889.325599188378</v>
      </c>
      <c r="R21" s="690">
        <f t="shared" si="5"/>
        <v>68592.54885518027</v>
      </c>
      <c r="S21" s="690">
        <f t="shared" si="5"/>
        <v>168827.80434373207</v>
      </c>
      <c r="T21" s="690">
        <f t="shared" si="5"/>
        <v>69055.112387169385</v>
      </c>
      <c r="U21" s="690">
        <f t="shared" si="5"/>
        <v>68042.993511041088</v>
      </c>
      <c r="V21" s="690">
        <f t="shared" si="5"/>
        <v>168345.4734461515</v>
      </c>
      <c r="W21" s="690">
        <f t="shared" si="5"/>
        <v>68570.578180613011</v>
      </c>
      <c r="X21" s="690">
        <f t="shared" si="5"/>
        <v>68838.333962419158</v>
      </c>
      <c r="Y21" s="690">
        <f t="shared" si="5"/>
        <v>169158.76730204333</v>
      </c>
      <c r="Z21" s="690">
        <f t="shared" si="5"/>
        <v>69381.904975063764</v>
      </c>
      <c r="AA21" s="690">
        <f t="shared" si="5"/>
        <v>69657.774024814396</v>
      </c>
      <c r="AB21" s="690">
        <f t="shared" si="5"/>
        <v>169996.40176506256</v>
      </c>
      <c r="AC21" s="690">
        <f t="shared" si="5"/>
        <v>70217.81578271318</v>
      </c>
      <c r="AD21" s="690">
        <f t="shared" si="5"/>
        <v>72427.043940540316</v>
      </c>
      <c r="AE21" s="690">
        <f t="shared" si="5"/>
        <v>184868.11437994571</v>
      </c>
      <c r="AF21" s="690">
        <f t="shared" si="5"/>
        <v>84088.055523745177</v>
      </c>
      <c r="AG21" s="690">
        <f t="shared" si="5"/>
        <v>84380.896078982623</v>
      </c>
    </row>
    <row r="22" spans="1:33" s="130" customFormat="1" ht="17.25" customHeight="1" outlineLevel="2">
      <c r="A22" s="894"/>
      <c r="B22" s="241"/>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41"/>
      <c r="AC22" s="241"/>
      <c r="AD22" s="241"/>
      <c r="AE22" s="241"/>
      <c r="AF22" s="241"/>
      <c r="AG22" s="241"/>
    </row>
    <row r="23" spans="1:33" s="130" customFormat="1" ht="17.25" customHeight="1" outlineLevel="1">
      <c r="A23" s="894"/>
      <c r="B23" s="279" t="s">
        <v>34</v>
      </c>
      <c r="C23" s="279" t="s">
        <v>211</v>
      </c>
      <c r="D23" s="241"/>
      <c r="E23" s="325"/>
      <c r="F23" s="241"/>
      <c r="G23" s="241"/>
      <c r="H23" s="241"/>
      <c r="I23" s="241"/>
      <c r="J23" s="325" t="s">
        <v>207</v>
      </c>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row>
    <row r="24" spans="1:33" s="130" customFormat="1" ht="17.25" customHeight="1" outlineLevel="2">
      <c r="A24" s="894"/>
      <c r="B24" s="241"/>
      <c r="C24" s="273" t="str">
        <f>Product_01</f>
        <v>Desktops</v>
      </c>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row>
    <row r="25" spans="1:33" s="130" customFormat="1" ht="17.25" customHeight="1" outlineLevel="2">
      <c r="A25" s="894"/>
      <c r="B25" s="241"/>
      <c r="C25" s="24" t="s">
        <v>209</v>
      </c>
      <c r="D25" s="8" t="s">
        <v>208</v>
      </c>
      <c r="E25" s="287"/>
      <c r="F25" s="287"/>
      <c r="G25" s="287"/>
      <c r="H25" s="287"/>
      <c r="I25" s="71">
        <f>SUMPRODUCT((J$6:AG$6),(J25:AG25))</f>
        <v>726</v>
      </c>
      <c r="J25" s="269">
        <v>35</v>
      </c>
      <c r="K25" s="269">
        <v>37</v>
      </c>
      <c r="L25" s="269">
        <v>37</v>
      </c>
      <c r="M25" s="269">
        <v>37</v>
      </c>
      <c r="N25" s="269">
        <v>37</v>
      </c>
      <c r="O25" s="269">
        <v>37</v>
      </c>
      <c r="P25" s="269">
        <v>37</v>
      </c>
      <c r="Q25" s="269">
        <v>33</v>
      </c>
      <c r="R25" s="269">
        <v>33</v>
      </c>
      <c r="S25" s="269">
        <v>33</v>
      </c>
      <c r="T25" s="269">
        <v>33</v>
      </c>
      <c r="U25" s="269">
        <v>33</v>
      </c>
      <c r="V25" s="269">
        <v>33</v>
      </c>
      <c r="W25" s="269">
        <v>33</v>
      </c>
      <c r="X25" s="269">
        <v>33</v>
      </c>
      <c r="Y25" s="269">
        <v>33</v>
      </c>
      <c r="Z25" s="269">
        <v>33</v>
      </c>
      <c r="AA25" s="269">
        <v>33</v>
      </c>
      <c r="AB25" s="269">
        <v>33</v>
      </c>
      <c r="AC25" s="269">
        <v>33</v>
      </c>
      <c r="AD25" s="269">
        <v>40</v>
      </c>
      <c r="AE25" s="269">
        <v>40</v>
      </c>
      <c r="AF25" s="269">
        <v>40</v>
      </c>
      <c r="AG25" s="269">
        <v>40</v>
      </c>
    </row>
    <row r="26" spans="1:33" s="130" customFormat="1" ht="17.25" customHeight="1" outlineLevel="2">
      <c r="A26" s="894"/>
      <c r="B26" s="241"/>
      <c r="C26" s="24" t="s">
        <v>210</v>
      </c>
      <c r="D26" s="8" t="str">
        <f>Currency_Label</f>
        <v>USD</v>
      </c>
      <c r="E26" s="287"/>
      <c r="F26" s="287"/>
      <c r="G26" s="287"/>
      <c r="H26" s="287"/>
      <c r="I26" s="287"/>
      <c r="J26" s="270">
        <v>1100</v>
      </c>
      <c r="K26" s="270">
        <v>1100</v>
      </c>
      <c r="L26" s="270">
        <v>1100</v>
      </c>
      <c r="M26" s="270">
        <v>1100</v>
      </c>
      <c r="N26" s="270">
        <v>1100</v>
      </c>
      <c r="O26" s="270">
        <v>1100</v>
      </c>
      <c r="P26" s="270">
        <v>1100</v>
      </c>
      <c r="Q26" s="270">
        <v>1100</v>
      </c>
      <c r="R26" s="270">
        <v>1100</v>
      </c>
      <c r="S26" s="270">
        <v>1100</v>
      </c>
      <c r="T26" s="270">
        <v>1100</v>
      </c>
      <c r="U26" s="270">
        <v>1100</v>
      </c>
      <c r="V26" s="270">
        <v>1100</v>
      </c>
      <c r="W26" s="270">
        <v>1100</v>
      </c>
      <c r="X26" s="270">
        <v>1100</v>
      </c>
      <c r="Y26" s="270">
        <v>1100</v>
      </c>
      <c r="Z26" s="270">
        <v>1100</v>
      </c>
      <c r="AA26" s="270">
        <v>1100</v>
      </c>
      <c r="AB26" s="270">
        <v>1100</v>
      </c>
      <c r="AC26" s="270">
        <v>1100</v>
      </c>
      <c r="AD26" s="270">
        <v>1100</v>
      </c>
      <c r="AE26" s="270">
        <v>1100</v>
      </c>
      <c r="AF26" s="270">
        <v>1000</v>
      </c>
      <c r="AG26" s="270">
        <v>1000</v>
      </c>
    </row>
    <row r="27" spans="1:33" s="130" customFormat="1" ht="17.25" customHeight="1" outlineLevel="2">
      <c r="A27" s="894"/>
      <c r="B27" s="241"/>
      <c r="C27" s="24" t="str">
        <f>"Sales "&amp;C24</f>
        <v>Sales Desktops</v>
      </c>
      <c r="D27" s="8" t="str">
        <f>Currency_Label</f>
        <v>USD</v>
      </c>
      <c r="E27" s="287"/>
      <c r="F27" s="287"/>
      <c r="G27" s="287"/>
      <c r="H27" s="287"/>
      <c r="I27" s="71">
        <f>SUMPRODUCT((J$6:AG$6),(J27:AG27))</f>
        <v>798600</v>
      </c>
      <c r="J27" s="182">
        <f>J25*J26</f>
        <v>38500</v>
      </c>
      <c r="K27" s="182">
        <f>K25*K26</f>
        <v>40700</v>
      </c>
      <c r="L27" s="182">
        <f t="shared" ref="L27:AG27" si="6">L25*L26</f>
        <v>40700</v>
      </c>
      <c r="M27" s="182">
        <f t="shared" si="6"/>
        <v>40700</v>
      </c>
      <c r="N27" s="182">
        <f t="shared" si="6"/>
        <v>40700</v>
      </c>
      <c r="O27" s="182">
        <f t="shared" si="6"/>
        <v>40700</v>
      </c>
      <c r="P27" s="182">
        <f t="shared" si="6"/>
        <v>40700</v>
      </c>
      <c r="Q27" s="182">
        <f t="shared" si="6"/>
        <v>36300</v>
      </c>
      <c r="R27" s="182">
        <f t="shared" si="6"/>
        <v>36300</v>
      </c>
      <c r="S27" s="182">
        <f t="shared" si="6"/>
        <v>36300</v>
      </c>
      <c r="T27" s="182">
        <f t="shared" si="6"/>
        <v>36300</v>
      </c>
      <c r="U27" s="182">
        <f t="shared" si="6"/>
        <v>36300</v>
      </c>
      <c r="V27" s="182">
        <f t="shared" si="6"/>
        <v>36300</v>
      </c>
      <c r="W27" s="182">
        <f t="shared" si="6"/>
        <v>36300</v>
      </c>
      <c r="X27" s="182">
        <f t="shared" si="6"/>
        <v>36300</v>
      </c>
      <c r="Y27" s="182">
        <f t="shared" si="6"/>
        <v>36300</v>
      </c>
      <c r="Z27" s="182">
        <f t="shared" si="6"/>
        <v>36300</v>
      </c>
      <c r="AA27" s="182">
        <f t="shared" si="6"/>
        <v>36300</v>
      </c>
      <c r="AB27" s="182">
        <f t="shared" si="6"/>
        <v>36300</v>
      </c>
      <c r="AC27" s="182">
        <f t="shared" si="6"/>
        <v>36300</v>
      </c>
      <c r="AD27" s="182">
        <f t="shared" si="6"/>
        <v>44000</v>
      </c>
      <c r="AE27" s="182">
        <f t="shared" si="6"/>
        <v>44000</v>
      </c>
      <c r="AF27" s="182">
        <f t="shared" si="6"/>
        <v>40000</v>
      </c>
      <c r="AG27" s="182">
        <f t="shared" si="6"/>
        <v>40000</v>
      </c>
    </row>
    <row r="28" spans="1:33" s="130" customFormat="1" ht="17.25" customHeight="1" outlineLevel="2">
      <c r="A28" s="894"/>
      <c r="B28" s="241"/>
      <c r="C28" s="273" t="str">
        <f>Product_02</f>
        <v>Workstations</v>
      </c>
      <c r="D28" s="287"/>
      <c r="E28" s="287"/>
      <c r="F28" s="287"/>
      <c r="G28" s="241"/>
      <c r="H28" s="241"/>
      <c r="I28" s="241"/>
      <c r="J28" s="241"/>
      <c r="K28" s="241"/>
      <c r="L28" s="241"/>
      <c r="M28" s="241"/>
      <c r="N28" s="241"/>
      <c r="O28" s="241"/>
      <c r="P28" s="241"/>
      <c r="Q28" s="241"/>
      <c r="R28" s="241"/>
      <c r="S28" s="241"/>
      <c r="T28" s="241"/>
      <c r="U28" s="241"/>
      <c r="V28" s="241"/>
      <c r="W28" s="241"/>
      <c r="X28" s="241"/>
      <c r="Y28" s="241"/>
      <c r="Z28" s="241"/>
      <c r="AA28" s="241"/>
      <c r="AB28" s="241"/>
      <c r="AC28" s="241"/>
      <c r="AD28" s="241"/>
      <c r="AE28" s="241"/>
      <c r="AF28" s="241"/>
      <c r="AG28" s="241"/>
    </row>
    <row r="29" spans="1:33" s="130" customFormat="1" ht="17.25" customHeight="1" outlineLevel="2">
      <c r="A29" s="894"/>
      <c r="B29" s="241"/>
      <c r="C29" s="24" t="s">
        <v>209</v>
      </c>
      <c r="D29" s="8" t="s">
        <v>208</v>
      </c>
      <c r="E29" s="287"/>
      <c r="F29" s="287"/>
      <c r="G29" s="287"/>
      <c r="H29" s="287"/>
      <c r="I29" s="71">
        <f>SUMPRODUCT((J$6:AG$6),(J29:AG29))</f>
        <v>230</v>
      </c>
      <c r="J29" s="269">
        <v>8</v>
      </c>
      <c r="K29" s="269">
        <v>10</v>
      </c>
      <c r="L29" s="269">
        <v>10</v>
      </c>
      <c r="M29" s="269">
        <v>10</v>
      </c>
      <c r="N29" s="269">
        <v>10</v>
      </c>
      <c r="O29" s="269">
        <v>10</v>
      </c>
      <c r="P29" s="269">
        <v>10</v>
      </c>
      <c r="Q29" s="269">
        <v>10</v>
      </c>
      <c r="R29" s="269">
        <v>10</v>
      </c>
      <c r="S29" s="269">
        <v>12</v>
      </c>
      <c r="T29" s="269">
        <v>12</v>
      </c>
      <c r="U29" s="269">
        <v>12</v>
      </c>
      <c r="V29" s="269">
        <v>12</v>
      </c>
      <c r="W29" s="269">
        <v>12</v>
      </c>
      <c r="X29" s="269">
        <v>12</v>
      </c>
      <c r="Y29" s="269">
        <v>12</v>
      </c>
      <c r="Z29" s="269">
        <v>12</v>
      </c>
      <c r="AA29" s="269">
        <v>12</v>
      </c>
      <c r="AB29" s="269">
        <v>12</v>
      </c>
      <c r="AC29" s="269">
        <v>11</v>
      </c>
      <c r="AD29" s="269">
        <v>11</v>
      </c>
      <c r="AE29" s="269">
        <v>11</v>
      </c>
      <c r="AF29" s="269">
        <v>11</v>
      </c>
      <c r="AG29" s="269">
        <v>11</v>
      </c>
    </row>
    <row r="30" spans="1:33" s="130" customFormat="1" ht="17.25" customHeight="1" outlineLevel="2">
      <c r="A30" s="894"/>
      <c r="B30" s="241"/>
      <c r="C30" s="24" t="s">
        <v>210</v>
      </c>
      <c r="D30" s="8" t="str">
        <f>Currency_Label</f>
        <v>USD</v>
      </c>
      <c r="E30" s="287"/>
      <c r="F30" s="287"/>
      <c r="G30" s="287"/>
      <c r="H30" s="287"/>
      <c r="I30" s="287"/>
      <c r="J30" s="270">
        <v>2300</v>
      </c>
      <c r="K30" s="270">
        <v>2300</v>
      </c>
      <c r="L30" s="270">
        <v>2300</v>
      </c>
      <c r="M30" s="270">
        <v>2300</v>
      </c>
      <c r="N30" s="270">
        <v>2300</v>
      </c>
      <c r="O30" s="270">
        <v>2300</v>
      </c>
      <c r="P30" s="270">
        <v>2300</v>
      </c>
      <c r="Q30" s="270">
        <v>2300</v>
      </c>
      <c r="R30" s="270">
        <v>2300</v>
      </c>
      <c r="S30" s="270">
        <v>2300</v>
      </c>
      <c r="T30" s="270">
        <v>2300</v>
      </c>
      <c r="U30" s="270">
        <v>2300</v>
      </c>
      <c r="V30" s="270">
        <v>2300</v>
      </c>
      <c r="W30" s="270">
        <v>2300</v>
      </c>
      <c r="X30" s="270">
        <v>2300</v>
      </c>
      <c r="Y30" s="270">
        <v>2300</v>
      </c>
      <c r="Z30" s="270">
        <v>2300</v>
      </c>
      <c r="AA30" s="270">
        <v>2300</v>
      </c>
      <c r="AB30" s="270">
        <v>2300</v>
      </c>
      <c r="AC30" s="270">
        <v>2300</v>
      </c>
      <c r="AD30" s="270">
        <v>2300</v>
      </c>
      <c r="AE30" s="270">
        <v>2300</v>
      </c>
      <c r="AF30" s="270">
        <v>2300</v>
      </c>
      <c r="AG30" s="270">
        <v>2300</v>
      </c>
    </row>
    <row r="31" spans="1:33" s="130" customFormat="1" ht="17.25" customHeight="1" outlineLevel="2">
      <c r="A31" s="894"/>
      <c r="B31" s="241"/>
      <c r="C31" s="24" t="str">
        <f>"Sales "&amp;C28</f>
        <v>Sales Workstations</v>
      </c>
      <c r="D31" s="8" t="str">
        <f>Currency_Label</f>
        <v>USD</v>
      </c>
      <c r="E31" s="287"/>
      <c r="F31" s="287"/>
      <c r="G31" s="287"/>
      <c r="H31" s="287"/>
      <c r="I31" s="71">
        <f>SUMPRODUCT((J$6:AG$6),(J31:AG31))</f>
        <v>529000</v>
      </c>
      <c r="J31" s="182">
        <f>J29*J30</f>
        <v>18400</v>
      </c>
      <c r="K31" s="182">
        <f>K29*K30</f>
        <v>23000</v>
      </c>
      <c r="L31" s="182">
        <f t="shared" ref="L31" si="7">L29*L30</f>
        <v>23000</v>
      </c>
      <c r="M31" s="182">
        <f t="shared" ref="M31" si="8">M29*M30</f>
        <v>23000</v>
      </c>
      <c r="N31" s="182">
        <f t="shared" ref="N31" si="9">N29*N30</f>
        <v>23000</v>
      </c>
      <c r="O31" s="182">
        <f t="shared" ref="O31" si="10">O29*O30</f>
        <v>23000</v>
      </c>
      <c r="P31" s="182">
        <f t="shared" ref="P31" si="11">P29*P30</f>
        <v>23000</v>
      </c>
      <c r="Q31" s="182">
        <f t="shared" ref="Q31" si="12">Q29*Q30</f>
        <v>23000</v>
      </c>
      <c r="R31" s="182">
        <f t="shared" ref="R31" si="13">R29*R30</f>
        <v>23000</v>
      </c>
      <c r="S31" s="182">
        <f t="shared" ref="S31" si="14">S29*S30</f>
        <v>27600</v>
      </c>
      <c r="T31" s="182">
        <f t="shared" ref="T31" si="15">T29*T30</f>
        <v>27600</v>
      </c>
      <c r="U31" s="182">
        <f t="shared" ref="U31" si="16">U29*U30</f>
        <v>27600</v>
      </c>
      <c r="V31" s="182">
        <f t="shared" ref="V31" si="17">V29*V30</f>
        <v>27600</v>
      </c>
      <c r="W31" s="182">
        <f t="shared" ref="W31" si="18">W29*W30</f>
        <v>27600</v>
      </c>
      <c r="X31" s="182">
        <f t="shared" ref="X31" si="19">X29*X30</f>
        <v>27600</v>
      </c>
      <c r="Y31" s="182">
        <f t="shared" ref="Y31" si="20">Y29*Y30</f>
        <v>27600</v>
      </c>
      <c r="Z31" s="182">
        <f t="shared" ref="Z31" si="21">Z29*Z30</f>
        <v>27600</v>
      </c>
      <c r="AA31" s="182">
        <f t="shared" ref="AA31" si="22">AA29*AA30</f>
        <v>27600</v>
      </c>
      <c r="AB31" s="182">
        <f t="shared" ref="AB31" si="23">AB29*AB30</f>
        <v>27600</v>
      </c>
      <c r="AC31" s="182">
        <f t="shared" ref="AC31" si="24">AC29*AC30</f>
        <v>25300</v>
      </c>
      <c r="AD31" s="182">
        <f t="shared" ref="AD31" si="25">AD29*AD30</f>
        <v>25300</v>
      </c>
      <c r="AE31" s="182">
        <f t="shared" ref="AE31" si="26">AE29*AE30</f>
        <v>25300</v>
      </c>
      <c r="AF31" s="182">
        <f t="shared" ref="AF31" si="27">AF29*AF30</f>
        <v>25300</v>
      </c>
      <c r="AG31" s="182">
        <f t="shared" ref="AG31" si="28">AG29*AG30</f>
        <v>25300</v>
      </c>
    </row>
    <row r="32" spans="1:33" s="130" customFormat="1" ht="17.25" customHeight="1" outlineLevel="2">
      <c r="A32" s="894"/>
      <c r="B32" s="241"/>
      <c r="C32" s="273" t="str">
        <f>Product_03</f>
        <v>Notebooks</v>
      </c>
      <c r="D32" s="287"/>
      <c r="E32" s="287"/>
      <c r="F32" s="287"/>
      <c r="G32" s="241"/>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row>
    <row r="33" spans="1:33" s="130" customFormat="1" ht="17.25" customHeight="1" outlineLevel="2">
      <c r="A33" s="894"/>
      <c r="B33" s="241"/>
      <c r="C33" s="24" t="s">
        <v>209</v>
      </c>
      <c r="D33" s="8" t="s">
        <v>208</v>
      </c>
      <c r="E33" s="287"/>
      <c r="F33" s="287"/>
      <c r="G33" s="287"/>
      <c r="H33" s="287"/>
      <c r="I33" s="71">
        <f>SUMPRODUCT((J$6:AG$6),(J33:AG33))</f>
        <v>448</v>
      </c>
      <c r="J33" s="269">
        <v>20</v>
      </c>
      <c r="K33" s="269">
        <v>20</v>
      </c>
      <c r="L33" s="269">
        <v>20</v>
      </c>
      <c r="M33" s="269">
        <v>20</v>
      </c>
      <c r="N33" s="269">
        <v>20</v>
      </c>
      <c r="O33" s="269">
        <v>20</v>
      </c>
      <c r="P33" s="269">
        <v>20</v>
      </c>
      <c r="Q33" s="269">
        <v>22</v>
      </c>
      <c r="R33" s="269">
        <v>22</v>
      </c>
      <c r="S33" s="269">
        <v>22</v>
      </c>
      <c r="T33" s="269">
        <v>22</v>
      </c>
      <c r="U33" s="269">
        <v>22</v>
      </c>
      <c r="V33" s="269">
        <v>22</v>
      </c>
      <c r="W33" s="269">
        <v>22</v>
      </c>
      <c r="X33" s="269">
        <v>22</v>
      </c>
      <c r="Y33" s="269">
        <v>22</v>
      </c>
      <c r="Z33" s="269">
        <v>22</v>
      </c>
      <c r="AA33" s="269">
        <v>22</v>
      </c>
      <c r="AB33" s="269">
        <v>22</v>
      </c>
      <c r="AC33" s="269">
        <v>22</v>
      </c>
      <c r="AD33" s="269">
        <v>22</v>
      </c>
      <c r="AE33" s="269">
        <v>22</v>
      </c>
      <c r="AF33" s="269">
        <v>22</v>
      </c>
      <c r="AG33" s="269">
        <v>22</v>
      </c>
    </row>
    <row r="34" spans="1:33" s="130" customFormat="1" ht="17.25" customHeight="1" outlineLevel="2">
      <c r="A34" s="894"/>
      <c r="B34" s="241"/>
      <c r="C34" s="24" t="s">
        <v>210</v>
      </c>
      <c r="D34" s="8" t="str">
        <f>Currency_Label</f>
        <v>USD</v>
      </c>
      <c r="E34" s="287"/>
      <c r="F34" s="287"/>
      <c r="G34" s="287"/>
      <c r="H34" s="287"/>
      <c r="I34" s="287"/>
      <c r="J34" s="270">
        <v>670</v>
      </c>
      <c r="K34" s="270">
        <v>670</v>
      </c>
      <c r="L34" s="270">
        <v>670</v>
      </c>
      <c r="M34" s="270">
        <v>670</v>
      </c>
      <c r="N34" s="270">
        <v>670</v>
      </c>
      <c r="O34" s="270">
        <v>670</v>
      </c>
      <c r="P34" s="270">
        <v>670</v>
      </c>
      <c r="Q34" s="270">
        <v>670</v>
      </c>
      <c r="R34" s="270">
        <v>670</v>
      </c>
      <c r="S34" s="270">
        <v>670</v>
      </c>
      <c r="T34" s="270">
        <v>670</v>
      </c>
      <c r="U34" s="270">
        <v>670</v>
      </c>
      <c r="V34" s="270">
        <v>670</v>
      </c>
      <c r="W34" s="270">
        <v>670</v>
      </c>
      <c r="X34" s="270">
        <v>670</v>
      </c>
      <c r="Y34" s="270">
        <v>670</v>
      </c>
      <c r="Z34" s="270">
        <v>700</v>
      </c>
      <c r="AA34" s="270">
        <v>700</v>
      </c>
      <c r="AB34" s="270">
        <v>700</v>
      </c>
      <c r="AC34" s="270">
        <v>700</v>
      </c>
      <c r="AD34" s="270">
        <v>700</v>
      </c>
      <c r="AE34" s="270">
        <v>700</v>
      </c>
      <c r="AF34" s="270">
        <v>700</v>
      </c>
      <c r="AG34" s="270">
        <v>700</v>
      </c>
    </row>
    <row r="35" spans="1:33" s="130" customFormat="1" ht="17.25" customHeight="1" outlineLevel="2">
      <c r="A35" s="894"/>
      <c r="B35" s="241"/>
      <c r="C35" s="24" t="str">
        <f>"Sales "&amp;C32</f>
        <v>Sales Notebooks</v>
      </c>
      <c r="D35" s="8" t="str">
        <f>Currency_Label</f>
        <v>USD</v>
      </c>
      <c r="E35" s="287"/>
      <c r="F35" s="287"/>
      <c r="G35" s="287"/>
      <c r="H35" s="287"/>
      <c r="I35" s="71">
        <f>SUMPRODUCT((J$6:AG$6),(J35:AG35))</f>
        <v>303460</v>
      </c>
      <c r="J35" s="182">
        <f>J33*J34</f>
        <v>13400</v>
      </c>
      <c r="K35" s="182">
        <f>K33*K34</f>
        <v>13400</v>
      </c>
      <c r="L35" s="182">
        <f t="shared" ref="L35" si="29">L33*L34</f>
        <v>13400</v>
      </c>
      <c r="M35" s="182">
        <f t="shared" ref="M35" si="30">M33*M34</f>
        <v>13400</v>
      </c>
      <c r="N35" s="182">
        <f t="shared" ref="N35" si="31">N33*N34</f>
        <v>13400</v>
      </c>
      <c r="O35" s="182">
        <f t="shared" ref="O35" si="32">O33*O34</f>
        <v>13400</v>
      </c>
      <c r="P35" s="182">
        <f t="shared" ref="P35" si="33">P33*P34</f>
        <v>13400</v>
      </c>
      <c r="Q35" s="182">
        <f t="shared" ref="Q35" si="34">Q33*Q34</f>
        <v>14740</v>
      </c>
      <c r="R35" s="182">
        <f t="shared" ref="R35" si="35">R33*R34</f>
        <v>14740</v>
      </c>
      <c r="S35" s="182">
        <f t="shared" ref="S35" si="36">S33*S34</f>
        <v>14740</v>
      </c>
      <c r="T35" s="182">
        <f t="shared" ref="T35" si="37">T33*T34</f>
        <v>14740</v>
      </c>
      <c r="U35" s="182">
        <f t="shared" ref="U35" si="38">U33*U34</f>
        <v>14740</v>
      </c>
      <c r="V35" s="182">
        <f t="shared" ref="V35" si="39">V33*V34</f>
        <v>14740</v>
      </c>
      <c r="W35" s="182">
        <f t="shared" ref="W35" si="40">W33*W34</f>
        <v>14740</v>
      </c>
      <c r="X35" s="182">
        <f t="shared" ref="X35" si="41">X33*X34</f>
        <v>14740</v>
      </c>
      <c r="Y35" s="182">
        <f t="shared" ref="Y35" si="42">Y33*Y34</f>
        <v>14740</v>
      </c>
      <c r="Z35" s="182">
        <f t="shared" ref="Z35" si="43">Z33*Z34</f>
        <v>15400</v>
      </c>
      <c r="AA35" s="182">
        <f t="shared" ref="AA35" si="44">AA33*AA34</f>
        <v>15400</v>
      </c>
      <c r="AB35" s="182">
        <f t="shared" ref="AB35" si="45">AB33*AB34</f>
        <v>15400</v>
      </c>
      <c r="AC35" s="182">
        <f t="shared" ref="AC35" si="46">AC33*AC34</f>
        <v>15400</v>
      </c>
      <c r="AD35" s="182">
        <f t="shared" ref="AD35" si="47">AD33*AD34</f>
        <v>15400</v>
      </c>
      <c r="AE35" s="182">
        <f t="shared" ref="AE35" si="48">AE33*AE34</f>
        <v>15400</v>
      </c>
      <c r="AF35" s="182">
        <f t="shared" ref="AF35" si="49">AF33*AF34</f>
        <v>15400</v>
      </c>
      <c r="AG35" s="182">
        <f t="shared" ref="AG35" si="50">AG33*AG34</f>
        <v>15400</v>
      </c>
    </row>
    <row r="36" spans="1:33" s="130" customFormat="1" ht="17.25" customHeight="1" outlineLevel="2">
      <c r="A36" s="894"/>
      <c r="B36" s="241"/>
      <c r="C36" s="273" t="str">
        <f>Product_04</f>
        <v>Software Products</v>
      </c>
      <c r="D36" s="287"/>
      <c r="E36" s="287"/>
      <c r="F36" s="287"/>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c r="AE36" s="241"/>
      <c r="AF36" s="241"/>
      <c r="AG36" s="241"/>
    </row>
    <row r="37" spans="1:33" s="130" customFormat="1" ht="17.25" customHeight="1" outlineLevel="2">
      <c r="A37" s="894"/>
      <c r="B37" s="241"/>
      <c r="C37" s="24" t="s">
        <v>209</v>
      </c>
      <c r="D37" s="8" t="s">
        <v>208</v>
      </c>
      <c r="E37" s="287"/>
      <c r="F37" s="287"/>
      <c r="G37" s="287"/>
      <c r="H37" s="287"/>
      <c r="I37" s="71">
        <f>SUMPRODUCT((J$6:AG$6),(J37:AG37))</f>
        <v>1174</v>
      </c>
      <c r="J37" s="269">
        <f>J25+J33</f>
        <v>55</v>
      </c>
      <c r="K37" s="269">
        <f t="shared" ref="K37:AG37" si="51">K25+K33</f>
        <v>57</v>
      </c>
      <c r="L37" s="269">
        <f t="shared" si="51"/>
        <v>57</v>
      </c>
      <c r="M37" s="269">
        <f t="shared" si="51"/>
        <v>57</v>
      </c>
      <c r="N37" s="269">
        <f t="shared" si="51"/>
        <v>57</v>
      </c>
      <c r="O37" s="269">
        <f t="shared" si="51"/>
        <v>57</v>
      </c>
      <c r="P37" s="269">
        <f t="shared" si="51"/>
        <v>57</v>
      </c>
      <c r="Q37" s="269">
        <f t="shared" si="51"/>
        <v>55</v>
      </c>
      <c r="R37" s="269">
        <f t="shared" si="51"/>
        <v>55</v>
      </c>
      <c r="S37" s="269">
        <f t="shared" si="51"/>
        <v>55</v>
      </c>
      <c r="T37" s="269">
        <f t="shared" si="51"/>
        <v>55</v>
      </c>
      <c r="U37" s="269">
        <f t="shared" si="51"/>
        <v>55</v>
      </c>
      <c r="V37" s="269">
        <f t="shared" si="51"/>
        <v>55</v>
      </c>
      <c r="W37" s="269">
        <f t="shared" si="51"/>
        <v>55</v>
      </c>
      <c r="X37" s="269">
        <f t="shared" si="51"/>
        <v>55</v>
      </c>
      <c r="Y37" s="269">
        <f t="shared" si="51"/>
        <v>55</v>
      </c>
      <c r="Z37" s="269">
        <f t="shared" si="51"/>
        <v>55</v>
      </c>
      <c r="AA37" s="269">
        <f t="shared" si="51"/>
        <v>55</v>
      </c>
      <c r="AB37" s="269">
        <f t="shared" si="51"/>
        <v>55</v>
      </c>
      <c r="AC37" s="269">
        <f t="shared" si="51"/>
        <v>55</v>
      </c>
      <c r="AD37" s="269">
        <f t="shared" si="51"/>
        <v>62</v>
      </c>
      <c r="AE37" s="269">
        <f t="shared" si="51"/>
        <v>62</v>
      </c>
      <c r="AF37" s="269">
        <f t="shared" si="51"/>
        <v>62</v>
      </c>
      <c r="AG37" s="269">
        <f t="shared" si="51"/>
        <v>62</v>
      </c>
    </row>
    <row r="38" spans="1:33" s="130" customFormat="1" ht="17.25" customHeight="1" outlineLevel="2">
      <c r="A38" s="894"/>
      <c r="B38" s="241"/>
      <c r="C38" s="24" t="s">
        <v>210</v>
      </c>
      <c r="D38" s="8" t="str">
        <f>Currency_Label</f>
        <v>USD</v>
      </c>
      <c r="E38" s="287"/>
      <c r="F38" s="287"/>
      <c r="G38" s="287"/>
      <c r="H38" s="287"/>
      <c r="I38" s="287"/>
      <c r="J38" s="270">
        <v>150</v>
      </c>
      <c r="K38" s="270">
        <v>150</v>
      </c>
      <c r="L38" s="270">
        <v>150</v>
      </c>
      <c r="M38" s="270">
        <v>150</v>
      </c>
      <c r="N38" s="270">
        <v>150</v>
      </c>
      <c r="O38" s="270">
        <v>150</v>
      </c>
      <c r="P38" s="270">
        <v>150</v>
      </c>
      <c r="Q38" s="270">
        <v>150</v>
      </c>
      <c r="R38" s="270">
        <v>150</v>
      </c>
      <c r="S38" s="270">
        <v>150</v>
      </c>
      <c r="T38" s="270">
        <v>150</v>
      </c>
      <c r="U38" s="270">
        <v>150</v>
      </c>
      <c r="V38" s="270">
        <v>150</v>
      </c>
      <c r="W38" s="270">
        <v>150</v>
      </c>
      <c r="X38" s="270">
        <v>150</v>
      </c>
      <c r="Y38" s="270">
        <v>150</v>
      </c>
      <c r="Z38" s="270">
        <v>150</v>
      </c>
      <c r="AA38" s="270">
        <v>150</v>
      </c>
      <c r="AB38" s="270">
        <v>150</v>
      </c>
      <c r="AC38" s="270">
        <v>150</v>
      </c>
      <c r="AD38" s="270">
        <v>150</v>
      </c>
      <c r="AE38" s="270">
        <v>150</v>
      </c>
      <c r="AF38" s="270">
        <v>150</v>
      </c>
      <c r="AG38" s="270">
        <v>150</v>
      </c>
    </row>
    <row r="39" spans="1:33" s="130" customFormat="1" ht="17.25" customHeight="1" outlineLevel="2">
      <c r="A39" s="894"/>
      <c r="B39" s="241"/>
      <c r="C39" s="24" t="str">
        <f>"Sales "&amp;C36</f>
        <v>Sales Software Products</v>
      </c>
      <c r="D39" s="8" t="str">
        <f>Currency_Label</f>
        <v>USD</v>
      </c>
      <c r="E39" s="287"/>
      <c r="F39" s="287"/>
      <c r="G39" s="287"/>
      <c r="H39" s="287"/>
      <c r="I39" s="71">
        <f>SUMPRODUCT((J$6:AG$6),(J39:AG39))</f>
        <v>176100</v>
      </c>
      <c r="J39" s="182">
        <f>J37*J38</f>
        <v>8250</v>
      </c>
      <c r="K39" s="182">
        <f>K37*K38</f>
        <v>8550</v>
      </c>
      <c r="L39" s="182">
        <f t="shared" ref="L39" si="52">L37*L38</f>
        <v>8550</v>
      </c>
      <c r="M39" s="182">
        <f t="shared" ref="M39" si="53">M37*M38</f>
        <v>8550</v>
      </c>
      <c r="N39" s="182">
        <f t="shared" ref="N39" si="54">N37*N38</f>
        <v>8550</v>
      </c>
      <c r="O39" s="182">
        <f t="shared" ref="O39" si="55">O37*O38</f>
        <v>8550</v>
      </c>
      <c r="P39" s="182">
        <f t="shared" ref="P39" si="56">P37*P38</f>
        <v>8550</v>
      </c>
      <c r="Q39" s="182">
        <f t="shared" ref="Q39" si="57">Q37*Q38</f>
        <v>8250</v>
      </c>
      <c r="R39" s="182">
        <f t="shared" ref="R39" si="58">R37*R38</f>
        <v>8250</v>
      </c>
      <c r="S39" s="182">
        <f t="shared" ref="S39" si="59">S37*S38</f>
        <v>8250</v>
      </c>
      <c r="T39" s="182">
        <f t="shared" ref="T39" si="60">T37*T38</f>
        <v>8250</v>
      </c>
      <c r="U39" s="182">
        <f t="shared" ref="U39" si="61">U37*U38</f>
        <v>8250</v>
      </c>
      <c r="V39" s="182">
        <f t="shared" ref="V39" si="62">V37*V38</f>
        <v>8250</v>
      </c>
      <c r="W39" s="182">
        <f t="shared" ref="W39" si="63">W37*W38</f>
        <v>8250</v>
      </c>
      <c r="X39" s="182">
        <f t="shared" ref="X39" si="64">X37*X38</f>
        <v>8250</v>
      </c>
      <c r="Y39" s="182">
        <f t="shared" ref="Y39" si="65">Y37*Y38</f>
        <v>8250</v>
      </c>
      <c r="Z39" s="182">
        <f t="shared" ref="Z39" si="66">Z37*Z38</f>
        <v>8250</v>
      </c>
      <c r="AA39" s="182">
        <f t="shared" ref="AA39" si="67">AA37*AA38</f>
        <v>8250</v>
      </c>
      <c r="AB39" s="182">
        <f t="shared" ref="AB39" si="68">AB37*AB38</f>
        <v>8250</v>
      </c>
      <c r="AC39" s="182">
        <f t="shared" ref="AC39" si="69">AC37*AC38</f>
        <v>8250</v>
      </c>
      <c r="AD39" s="182">
        <f t="shared" ref="AD39" si="70">AD37*AD38</f>
        <v>9300</v>
      </c>
      <c r="AE39" s="182">
        <f t="shared" ref="AE39" si="71">AE37*AE38</f>
        <v>9300</v>
      </c>
      <c r="AF39" s="182">
        <f t="shared" ref="AF39" si="72">AF37*AF38</f>
        <v>9300</v>
      </c>
      <c r="AG39" s="182">
        <f t="shared" ref="AG39" si="73">AG37*AG38</f>
        <v>9300</v>
      </c>
    </row>
    <row r="40" spans="1:33" s="649" customFormat="1" ht="17.25" customHeight="1" outlineLevel="2">
      <c r="A40" s="894"/>
      <c r="B40" s="287"/>
      <c r="C40" s="273" t="str">
        <f>Product_05</f>
        <v>Net work infrastructure solutions</v>
      </c>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row>
    <row r="41" spans="1:33" s="649" customFormat="1" ht="17.25" customHeight="1" outlineLevel="2">
      <c r="A41" s="894"/>
      <c r="B41" s="287"/>
      <c r="C41" s="24" t="s">
        <v>209</v>
      </c>
      <c r="D41" s="8" t="s">
        <v>208</v>
      </c>
      <c r="E41" s="287"/>
      <c r="F41" s="287"/>
      <c r="G41" s="287"/>
      <c r="H41" s="287"/>
      <c r="I41" s="71">
        <f>SUMPRODUCT((J$6:AG$6),(J41:AG41))</f>
        <v>0</v>
      </c>
      <c r="J41" s="269"/>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row>
    <row r="42" spans="1:33" s="649" customFormat="1" ht="17.25" customHeight="1" outlineLevel="2">
      <c r="A42" s="894"/>
      <c r="B42" s="287"/>
      <c r="C42" s="24" t="s">
        <v>210</v>
      </c>
      <c r="D42" s="8" t="str">
        <f>Currency_Label</f>
        <v>USD</v>
      </c>
      <c r="E42" s="287"/>
      <c r="F42" s="287"/>
      <c r="G42" s="287"/>
      <c r="H42" s="287"/>
      <c r="I42" s="287"/>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270"/>
    </row>
    <row r="43" spans="1:33" s="649" customFormat="1" ht="17.25" customHeight="1" outlineLevel="2">
      <c r="A43" s="894"/>
      <c r="B43" s="287"/>
      <c r="C43" s="24" t="str">
        <f>"Sales "&amp;C40</f>
        <v>Sales Net work infrastructure solutions</v>
      </c>
      <c r="D43" s="8" t="str">
        <f>Currency_Label</f>
        <v>USD</v>
      </c>
      <c r="E43" s="287"/>
      <c r="F43" s="287"/>
      <c r="G43" s="287"/>
      <c r="H43" s="287"/>
      <c r="I43" s="71">
        <f>SUMPRODUCT((J$6:AG$6),(J43:AG43))</f>
        <v>0</v>
      </c>
      <c r="J43" s="182">
        <f>J41*J42</f>
        <v>0</v>
      </c>
      <c r="K43" s="182">
        <f>K41*K42</f>
        <v>0</v>
      </c>
      <c r="L43" s="182">
        <f t="shared" ref="L43:AG43" si="74">L41*L42</f>
        <v>0</v>
      </c>
      <c r="M43" s="182">
        <f t="shared" si="74"/>
        <v>0</v>
      </c>
      <c r="N43" s="182">
        <f t="shared" si="74"/>
        <v>0</v>
      </c>
      <c r="O43" s="182">
        <f t="shared" si="74"/>
        <v>0</v>
      </c>
      <c r="P43" s="182">
        <f t="shared" si="74"/>
        <v>0</v>
      </c>
      <c r="Q43" s="182">
        <f t="shared" si="74"/>
        <v>0</v>
      </c>
      <c r="R43" s="182">
        <f t="shared" si="74"/>
        <v>0</v>
      </c>
      <c r="S43" s="182">
        <f t="shared" si="74"/>
        <v>0</v>
      </c>
      <c r="T43" s="182">
        <f t="shared" si="74"/>
        <v>0</v>
      </c>
      <c r="U43" s="182">
        <f t="shared" si="74"/>
        <v>0</v>
      </c>
      <c r="V43" s="182">
        <f t="shared" si="74"/>
        <v>0</v>
      </c>
      <c r="W43" s="182">
        <f t="shared" si="74"/>
        <v>0</v>
      </c>
      <c r="X43" s="182">
        <f t="shared" si="74"/>
        <v>0</v>
      </c>
      <c r="Y43" s="182">
        <f t="shared" si="74"/>
        <v>0</v>
      </c>
      <c r="Z43" s="182">
        <f t="shared" si="74"/>
        <v>0</v>
      </c>
      <c r="AA43" s="182">
        <f t="shared" si="74"/>
        <v>0</v>
      </c>
      <c r="AB43" s="182">
        <f t="shared" si="74"/>
        <v>0</v>
      </c>
      <c r="AC43" s="182">
        <f t="shared" si="74"/>
        <v>0</v>
      </c>
      <c r="AD43" s="182">
        <f t="shared" si="74"/>
        <v>0</v>
      </c>
      <c r="AE43" s="182">
        <f t="shared" si="74"/>
        <v>0</v>
      </c>
      <c r="AF43" s="182">
        <f t="shared" si="74"/>
        <v>0</v>
      </c>
      <c r="AG43" s="182">
        <f t="shared" si="74"/>
        <v>0</v>
      </c>
    </row>
    <row r="44" spans="1:33" s="649" customFormat="1" ht="17.25" customHeight="1" outlineLevel="2">
      <c r="A44" s="894"/>
      <c r="B44" s="287"/>
      <c r="C44" s="273" t="str">
        <f>Product_06</f>
        <v>Repair Services</v>
      </c>
      <c r="D44" s="287"/>
      <c r="E44" s="287"/>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row>
    <row r="45" spans="1:33" s="649" customFormat="1" ht="17.25" customHeight="1" outlineLevel="2">
      <c r="A45" s="894"/>
      <c r="B45" s="287"/>
      <c r="C45" s="24" t="s">
        <v>209</v>
      </c>
      <c r="D45" s="8" t="s">
        <v>208</v>
      </c>
      <c r="E45" s="287"/>
      <c r="F45" s="287"/>
      <c r="G45" s="287"/>
      <c r="H45" s="287"/>
      <c r="I45" s="71">
        <f>SUMPRODUCT((J$6:AG$6),(J45:AG45))</f>
        <v>0</v>
      </c>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row>
    <row r="46" spans="1:33" s="649" customFormat="1" ht="17.25" customHeight="1" outlineLevel="2">
      <c r="A46" s="894"/>
      <c r="B46" s="287"/>
      <c r="C46" s="24" t="s">
        <v>210</v>
      </c>
      <c r="D46" s="8" t="str">
        <f>Currency_Label</f>
        <v>USD</v>
      </c>
      <c r="E46" s="287"/>
      <c r="F46" s="287"/>
      <c r="G46" s="287"/>
      <c r="H46" s="287"/>
      <c r="I46" s="287"/>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70"/>
      <c r="AG46" s="270"/>
    </row>
    <row r="47" spans="1:33" s="649" customFormat="1" ht="17.25" customHeight="1" outlineLevel="2">
      <c r="A47" s="894"/>
      <c r="B47" s="287"/>
      <c r="C47" s="24" t="str">
        <f>"Sales "&amp;C44</f>
        <v>Sales Repair Services</v>
      </c>
      <c r="D47" s="8" t="str">
        <f>Currency_Label</f>
        <v>USD</v>
      </c>
      <c r="E47" s="287"/>
      <c r="F47" s="287"/>
      <c r="G47" s="287"/>
      <c r="H47" s="287"/>
      <c r="I47" s="71">
        <f>SUMPRODUCT((J$6:AG$6),(J47:AG47))</f>
        <v>0</v>
      </c>
      <c r="J47" s="182">
        <f>J45*J46</f>
        <v>0</v>
      </c>
      <c r="K47" s="182">
        <f>K45*K46</f>
        <v>0</v>
      </c>
      <c r="L47" s="182">
        <f t="shared" ref="L47" si="75">L45*L46</f>
        <v>0</v>
      </c>
      <c r="M47" s="182">
        <f t="shared" ref="M47" si="76">M45*M46</f>
        <v>0</v>
      </c>
      <c r="N47" s="182">
        <f t="shared" ref="N47" si="77">N45*N46</f>
        <v>0</v>
      </c>
      <c r="O47" s="182">
        <f t="shared" ref="O47" si="78">O45*O46</f>
        <v>0</v>
      </c>
      <c r="P47" s="182">
        <f t="shared" ref="P47" si="79">P45*P46</f>
        <v>0</v>
      </c>
      <c r="Q47" s="182">
        <f t="shared" ref="Q47" si="80">Q45*Q46</f>
        <v>0</v>
      </c>
      <c r="R47" s="182">
        <f t="shared" ref="R47" si="81">R45*R46</f>
        <v>0</v>
      </c>
      <c r="S47" s="182">
        <f t="shared" ref="S47" si="82">S45*S46</f>
        <v>0</v>
      </c>
      <c r="T47" s="182">
        <f t="shared" ref="T47" si="83">T45*T46</f>
        <v>0</v>
      </c>
      <c r="U47" s="182">
        <f t="shared" ref="U47" si="84">U45*U46</f>
        <v>0</v>
      </c>
      <c r="V47" s="182">
        <f t="shared" ref="V47" si="85">V45*V46</f>
        <v>0</v>
      </c>
      <c r="W47" s="182">
        <f t="shared" ref="W47" si="86">W45*W46</f>
        <v>0</v>
      </c>
      <c r="X47" s="182">
        <f t="shared" ref="X47" si="87">X45*X46</f>
        <v>0</v>
      </c>
      <c r="Y47" s="182">
        <f t="shared" ref="Y47" si="88">Y45*Y46</f>
        <v>0</v>
      </c>
      <c r="Z47" s="182">
        <f t="shared" ref="Z47" si="89">Z45*Z46</f>
        <v>0</v>
      </c>
      <c r="AA47" s="182">
        <f t="shared" ref="AA47" si="90">AA45*AA46</f>
        <v>0</v>
      </c>
      <c r="AB47" s="182">
        <f t="shared" ref="AB47" si="91">AB45*AB46</f>
        <v>0</v>
      </c>
      <c r="AC47" s="182">
        <f t="shared" ref="AC47" si="92">AC45*AC46</f>
        <v>0</v>
      </c>
      <c r="AD47" s="182">
        <f t="shared" ref="AD47" si="93">AD45*AD46</f>
        <v>0</v>
      </c>
      <c r="AE47" s="182">
        <f t="shared" ref="AE47" si="94">AE45*AE46</f>
        <v>0</v>
      </c>
      <c r="AF47" s="182">
        <f t="shared" ref="AF47" si="95">AF45*AF46</f>
        <v>0</v>
      </c>
      <c r="AG47" s="182">
        <f t="shared" ref="AG47" si="96">AG45*AG46</f>
        <v>0</v>
      </c>
    </row>
    <row r="48" spans="1:33" s="649" customFormat="1" ht="17.25" customHeight="1" outlineLevel="2">
      <c r="A48" s="894"/>
      <c r="B48" s="287"/>
      <c r="C48" s="273" t="str">
        <f>Product_07</f>
        <v>Integration Services</v>
      </c>
      <c r="D48" s="287"/>
      <c r="E48" s="287"/>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E48" s="287"/>
      <c r="AF48" s="287"/>
      <c r="AG48" s="287"/>
    </row>
    <row r="49" spans="1:33" s="649" customFormat="1" ht="17.25" customHeight="1" outlineLevel="2">
      <c r="A49" s="894"/>
      <c r="B49" s="287"/>
      <c r="C49" s="24" t="s">
        <v>209</v>
      </c>
      <c r="D49" s="8" t="s">
        <v>208</v>
      </c>
      <c r="E49" s="287"/>
      <c r="F49" s="287"/>
      <c r="G49" s="287"/>
      <c r="H49" s="287"/>
      <c r="I49" s="71">
        <f>SUMPRODUCT((J$6:AG$6),(J49:AG49))</f>
        <v>0</v>
      </c>
      <c r="J49" s="269"/>
      <c r="K49" s="269"/>
      <c r="L49" s="269"/>
      <c r="M49" s="269"/>
      <c r="N49" s="269"/>
      <c r="O49" s="269"/>
      <c r="P49" s="269"/>
      <c r="Q49" s="269"/>
      <c r="R49" s="269"/>
      <c r="S49" s="269"/>
      <c r="T49" s="269"/>
      <c r="U49" s="269"/>
      <c r="V49" s="269"/>
      <c r="W49" s="269"/>
      <c r="X49" s="269"/>
      <c r="Y49" s="269"/>
      <c r="Z49" s="269"/>
      <c r="AA49" s="269"/>
      <c r="AB49" s="269"/>
      <c r="AC49" s="269"/>
      <c r="AD49" s="269"/>
      <c r="AE49" s="269"/>
      <c r="AF49" s="269"/>
      <c r="AG49" s="269"/>
    </row>
    <row r="50" spans="1:33" s="649" customFormat="1" ht="17.25" customHeight="1" outlineLevel="2">
      <c r="A50" s="894"/>
      <c r="B50" s="287"/>
      <c r="C50" s="24" t="s">
        <v>210</v>
      </c>
      <c r="D50" s="8" t="str">
        <f>Currency_Label</f>
        <v>USD</v>
      </c>
      <c r="E50" s="287"/>
      <c r="F50" s="287"/>
      <c r="G50" s="287"/>
      <c r="H50" s="287"/>
      <c r="I50" s="287"/>
      <c r="J50" s="270"/>
      <c r="K50" s="270"/>
      <c r="L50" s="270"/>
      <c r="M50" s="270"/>
      <c r="N50" s="270"/>
      <c r="O50" s="270"/>
      <c r="P50" s="270"/>
      <c r="Q50" s="270"/>
      <c r="R50" s="270"/>
      <c r="S50" s="270"/>
      <c r="T50" s="270"/>
      <c r="U50" s="270"/>
      <c r="V50" s="270"/>
      <c r="W50" s="270"/>
      <c r="X50" s="270"/>
      <c r="Y50" s="270"/>
      <c r="Z50" s="270"/>
      <c r="AA50" s="270"/>
      <c r="AB50" s="270"/>
      <c r="AC50" s="270"/>
      <c r="AD50" s="270"/>
      <c r="AE50" s="270"/>
      <c r="AF50" s="270"/>
      <c r="AG50" s="270"/>
    </row>
    <row r="51" spans="1:33" s="649" customFormat="1" ht="17.25" customHeight="1" outlineLevel="2">
      <c r="A51" s="894"/>
      <c r="B51" s="287"/>
      <c r="C51" s="24" t="str">
        <f>"Sales "&amp;C48</f>
        <v>Sales Integration Services</v>
      </c>
      <c r="D51" s="8" t="str">
        <f>Currency_Label</f>
        <v>USD</v>
      </c>
      <c r="E51" s="287"/>
      <c r="F51" s="287"/>
      <c r="G51" s="287"/>
      <c r="H51" s="287"/>
      <c r="I51" s="71">
        <f>SUMPRODUCT((J$6:AG$6),(J51:AG51))</f>
        <v>0</v>
      </c>
      <c r="J51" s="182">
        <f>J49*J50</f>
        <v>0</v>
      </c>
      <c r="K51" s="182">
        <f>K49*K50</f>
        <v>0</v>
      </c>
      <c r="L51" s="182">
        <f t="shared" ref="L51" si="97">L49*L50</f>
        <v>0</v>
      </c>
      <c r="M51" s="182">
        <f t="shared" ref="M51" si="98">M49*M50</f>
        <v>0</v>
      </c>
      <c r="N51" s="182">
        <f t="shared" ref="N51" si="99">N49*N50</f>
        <v>0</v>
      </c>
      <c r="O51" s="182">
        <f t="shared" ref="O51" si="100">O49*O50</f>
        <v>0</v>
      </c>
      <c r="P51" s="182">
        <f t="shared" ref="P51" si="101">P49*P50</f>
        <v>0</v>
      </c>
      <c r="Q51" s="182">
        <f t="shared" ref="Q51" si="102">Q49*Q50</f>
        <v>0</v>
      </c>
      <c r="R51" s="182">
        <f t="shared" ref="R51" si="103">R49*R50</f>
        <v>0</v>
      </c>
      <c r="S51" s="182">
        <f t="shared" ref="S51" si="104">S49*S50</f>
        <v>0</v>
      </c>
      <c r="T51" s="182">
        <f t="shared" ref="T51" si="105">T49*T50</f>
        <v>0</v>
      </c>
      <c r="U51" s="182">
        <f t="shared" ref="U51" si="106">U49*U50</f>
        <v>0</v>
      </c>
      <c r="V51" s="182">
        <f t="shared" ref="V51" si="107">V49*V50</f>
        <v>0</v>
      </c>
      <c r="W51" s="182">
        <f t="shared" ref="W51" si="108">W49*W50</f>
        <v>0</v>
      </c>
      <c r="X51" s="182">
        <f t="shared" ref="X51" si="109">X49*X50</f>
        <v>0</v>
      </c>
      <c r="Y51" s="182">
        <f t="shared" ref="Y51" si="110">Y49*Y50</f>
        <v>0</v>
      </c>
      <c r="Z51" s="182">
        <f t="shared" ref="Z51" si="111">Z49*Z50</f>
        <v>0</v>
      </c>
      <c r="AA51" s="182">
        <f t="shared" ref="AA51" si="112">AA49*AA50</f>
        <v>0</v>
      </c>
      <c r="AB51" s="182">
        <f t="shared" ref="AB51" si="113">AB49*AB50</f>
        <v>0</v>
      </c>
      <c r="AC51" s="182">
        <f t="shared" ref="AC51" si="114">AC49*AC50</f>
        <v>0</v>
      </c>
      <c r="AD51" s="182">
        <f t="shared" ref="AD51" si="115">AD49*AD50</f>
        <v>0</v>
      </c>
      <c r="AE51" s="182">
        <f t="shared" ref="AE51" si="116">AE49*AE50</f>
        <v>0</v>
      </c>
      <c r="AF51" s="182">
        <f t="shared" ref="AF51" si="117">AF49*AF50</f>
        <v>0</v>
      </c>
      <c r="AG51" s="182">
        <f t="shared" ref="AG51" si="118">AG49*AG50</f>
        <v>0</v>
      </c>
    </row>
    <row r="52" spans="1:33" s="649" customFormat="1" ht="17.25" customHeight="1" outlineLevel="2">
      <c r="A52" s="894"/>
      <c r="B52" s="287"/>
      <c r="C52" s="273" t="str">
        <f>Product_08</f>
        <v>Consulting Services</v>
      </c>
      <c r="D52" s="287"/>
      <c r="E52" s="287"/>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E52" s="287"/>
      <c r="AF52" s="287"/>
      <c r="AG52" s="287"/>
    </row>
    <row r="53" spans="1:33" s="649" customFormat="1" ht="17.25" customHeight="1" outlineLevel="2">
      <c r="A53" s="894"/>
      <c r="B53" s="287"/>
      <c r="C53" s="24" t="s">
        <v>209</v>
      </c>
      <c r="D53" s="8" t="s">
        <v>208</v>
      </c>
      <c r="E53" s="287"/>
      <c r="F53" s="287"/>
      <c r="G53" s="287"/>
      <c r="H53" s="287"/>
      <c r="I53" s="71">
        <f>SUMPRODUCT((J$6:AG$6),(J53:AG53))</f>
        <v>0</v>
      </c>
      <c r="J53" s="269"/>
      <c r="K53" s="269"/>
      <c r="L53" s="269"/>
      <c r="M53" s="269"/>
      <c r="N53" s="269"/>
      <c r="O53" s="269"/>
      <c r="P53" s="269"/>
      <c r="Q53" s="269"/>
      <c r="R53" s="269"/>
      <c r="S53" s="269"/>
      <c r="T53" s="269"/>
      <c r="U53" s="269"/>
      <c r="V53" s="269"/>
      <c r="W53" s="269"/>
      <c r="X53" s="269"/>
      <c r="Y53" s="269"/>
      <c r="Z53" s="269"/>
      <c r="AA53" s="269"/>
      <c r="AB53" s="269"/>
      <c r="AC53" s="269"/>
      <c r="AD53" s="269"/>
      <c r="AE53" s="269"/>
      <c r="AF53" s="269"/>
      <c r="AG53" s="269"/>
    </row>
    <row r="54" spans="1:33" s="649" customFormat="1" ht="17.25" customHeight="1" outlineLevel="2">
      <c r="A54" s="894"/>
      <c r="B54" s="287"/>
      <c r="C54" s="24" t="s">
        <v>210</v>
      </c>
      <c r="D54" s="8" t="str">
        <f>Currency_Label</f>
        <v>USD</v>
      </c>
      <c r="E54" s="287"/>
      <c r="F54" s="287"/>
      <c r="G54" s="287"/>
      <c r="H54" s="287"/>
      <c r="I54" s="287"/>
      <c r="J54" s="270"/>
      <c r="K54" s="270"/>
      <c r="L54" s="270"/>
      <c r="M54" s="270"/>
      <c r="N54" s="270"/>
      <c r="O54" s="270"/>
      <c r="P54" s="270"/>
      <c r="Q54" s="270"/>
      <c r="R54" s="270"/>
      <c r="S54" s="270"/>
      <c r="T54" s="270"/>
      <c r="U54" s="270"/>
      <c r="V54" s="270"/>
      <c r="W54" s="270"/>
      <c r="X54" s="270"/>
      <c r="Y54" s="270"/>
      <c r="Z54" s="270"/>
      <c r="AA54" s="270"/>
      <c r="AB54" s="270"/>
      <c r="AC54" s="270"/>
      <c r="AD54" s="270"/>
      <c r="AE54" s="270"/>
      <c r="AF54" s="270"/>
      <c r="AG54" s="270"/>
    </row>
    <row r="55" spans="1:33" s="649" customFormat="1" ht="17.25" customHeight="1" outlineLevel="2">
      <c r="A55" s="894"/>
      <c r="B55" s="287"/>
      <c r="C55" s="24" t="str">
        <f>"Sales "&amp;C52</f>
        <v>Sales Consulting Services</v>
      </c>
      <c r="D55" s="8" t="str">
        <f>Currency_Label</f>
        <v>USD</v>
      </c>
      <c r="E55" s="287"/>
      <c r="F55" s="287"/>
      <c r="G55" s="287"/>
      <c r="H55" s="287"/>
      <c r="I55" s="71">
        <f>SUMPRODUCT((J$6:AG$6),(J55:AG55))</f>
        <v>0</v>
      </c>
      <c r="J55" s="182">
        <f>J53*J54</f>
        <v>0</v>
      </c>
      <c r="K55" s="182">
        <f>K53*K54</f>
        <v>0</v>
      </c>
      <c r="L55" s="182">
        <f t="shared" ref="L55" si="119">L53*L54</f>
        <v>0</v>
      </c>
      <c r="M55" s="182">
        <f t="shared" ref="M55" si="120">M53*M54</f>
        <v>0</v>
      </c>
      <c r="N55" s="182">
        <f t="shared" ref="N55" si="121">N53*N54</f>
        <v>0</v>
      </c>
      <c r="O55" s="182">
        <f t="shared" ref="O55" si="122">O53*O54</f>
        <v>0</v>
      </c>
      <c r="P55" s="182">
        <f t="shared" ref="P55" si="123">P53*P54</f>
        <v>0</v>
      </c>
      <c r="Q55" s="182">
        <f t="shared" ref="Q55" si="124">Q53*Q54</f>
        <v>0</v>
      </c>
      <c r="R55" s="182">
        <f t="shared" ref="R55" si="125">R53*R54</f>
        <v>0</v>
      </c>
      <c r="S55" s="182">
        <f t="shared" ref="S55" si="126">S53*S54</f>
        <v>0</v>
      </c>
      <c r="T55" s="182">
        <f t="shared" ref="T55" si="127">T53*T54</f>
        <v>0</v>
      </c>
      <c r="U55" s="182">
        <f t="shared" ref="U55" si="128">U53*U54</f>
        <v>0</v>
      </c>
      <c r="V55" s="182">
        <f t="shared" ref="V55" si="129">V53*V54</f>
        <v>0</v>
      </c>
      <c r="W55" s="182">
        <f t="shared" ref="W55" si="130">W53*W54</f>
        <v>0</v>
      </c>
      <c r="X55" s="182">
        <f t="shared" ref="X55" si="131">X53*X54</f>
        <v>0</v>
      </c>
      <c r="Y55" s="182">
        <f t="shared" ref="Y55" si="132">Y53*Y54</f>
        <v>0</v>
      </c>
      <c r="Z55" s="182">
        <f t="shared" ref="Z55" si="133">Z53*Z54</f>
        <v>0</v>
      </c>
      <c r="AA55" s="182">
        <f t="shared" ref="AA55" si="134">AA53*AA54</f>
        <v>0</v>
      </c>
      <c r="AB55" s="182">
        <f t="shared" ref="AB55" si="135">AB53*AB54</f>
        <v>0</v>
      </c>
      <c r="AC55" s="182">
        <f t="shared" ref="AC55" si="136">AC53*AC54</f>
        <v>0</v>
      </c>
      <c r="AD55" s="182">
        <f t="shared" ref="AD55" si="137">AD53*AD54</f>
        <v>0</v>
      </c>
      <c r="AE55" s="182">
        <f t="shared" ref="AE55" si="138">AE53*AE54</f>
        <v>0</v>
      </c>
      <c r="AF55" s="182">
        <f t="shared" ref="AF55" si="139">AF53*AF54</f>
        <v>0</v>
      </c>
      <c r="AG55" s="182">
        <f t="shared" ref="AG55" si="140">AG53*AG54</f>
        <v>0</v>
      </c>
    </row>
    <row r="56" spans="1:33" s="649" customFormat="1" ht="17.25" customHeight="1" outlineLevel="2">
      <c r="A56" s="894"/>
      <c r="B56" s="287"/>
      <c r="C56" s="273" t="str">
        <f>Product_09</f>
        <v>Spare Parts</v>
      </c>
      <c r="D56" s="287"/>
      <c r="E56" s="287"/>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E56" s="287"/>
      <c r="AF56" s="287"/>
      <c r="AG56" s="287"/>
    </row>
    <row r="57" spans="1:33" s="649" customFormat="1" ht="17.25" customHeight="1" outlineLevel="2">
      <c r="A57" s="894"/>
      <c r="B57" s="287"/>
      <c r="C57" s="24" t="s">
        <v>209</v>
      </c>
      <c r="D57" s="8" t="s">
        <v>208</v>
      </c>
      <c r="E57" s="287"/>
      <c r="F57" s="287"/>
      <c r="G57" s="287"/>
      <c r="H57" s="287"/>
      <c r="I57" s="71">
        <f>SUMPRODUCT((J$6:AG$6),(J57:AG57))</f>
        <v>0</v>
      </c>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69"/>
    </row>
    <row r="58" spans="1:33" s="649" customFormat="1" ht="17.25" customHeight="1" outlineLevel="2">
      <c r="A58" s="894"/>
      <c r="B58" s="287"/>
      <c r="C58" s="24" t="s">
        <v>210</v>
      </c>
      <c r="D58" s="8" t="str">
        <f>Currency_Label</f>
        <v>USD</v>
      </c>
      <c r="E58" s="287"/>
      <c r="F58" s="287"/>
      <c r="G58" s="287"/>
      <c r="H58" s="287"/>
      <c r="I58" s="287"/>
      <c r="J58" s="270"/>
      <c r="K58" s="270"/>
      <c r="L58" s="270"/>
      <c r="M58" s="270"/>
      <c r="N58" s="270"/>
      <c r="O58" s="270"/>
      <c r="P58" s="270"/>
      <c r="Q58" s="270"/>
      <c r="R58" s="270"/>
      <c r="S58" s="270"/>
      <c r="T58" s="270"/>
      <c r="U58" s="270"/>
      <c r="V58" s="270"/>
      <c r="W58" s="270"/>
      <c r="X58" s="270"/>
      <c r="Y58" s="270"/>
      <c r="Z58" s="270"/>
      <c r="AA58" s="270"/>
      <c r="AB58" s="270"/>
      <c r="AC58" s="270"/>
      <c r="AD58" s="270"/>
      <c r="AE58" s="270"/>
      <c r="AF58" s="270"/>
      <c r="AG58" s="270"/>
    </row>
    <row r="59" spans="1:33" s="649" customFormat="1" ht="17.25" customHeight="1" outlineLevel="2">
      <c r="A59" s="894"/>
      <c r="B59" s="287"/>
      <c r="C59" s="24" t="str">
        <f>"Sales "&amp;C56</f>
        <v>Sales Spare Parts</v>
      </c>
      <c r="D59" s="8" t="str">
        <f>Currency_Label</f>
        <v>USD</v>
      </c>
      <c r="E59" s="287"/>
      <c r="F59" s="287"/>
      <c r="G59" s="287"/>
      <c r="H59" s="287"/>
      <c r="I59" s="71">
        <f>SUMPRODUCT((J$6:AG$6),(J59:AG59))</f>
        <v>0</v>
      </c>
      <c r="J59" s="182">
        <f>J57*J58</f>
        <v>0</v>
      </c>
      <c r="K59" s="182">
        <f>K57*K58</f>
        <v>0</v>
      </c>
      <c r="L59" s="182">
        <f t="shared" ref="L59" si="141">L57*L58</f>
        <v>0</v>
      </c>
      <c r="M59" s="182">
        <f t="shared" ref="M59" si="142">M57*M58</f>
        <v>0</v>
      </c>
      <c r="N59" s="182">
        <f t="shared" ref="N59" si="143">N57*N58</f>
        <v>0</v>
      </c>
      <c r="O59" s="182">
        <f t="shared" ref="O59" si="144">O57*O58</f>
        <v>0</v>
      </c>
      <c r="P59" s="182">
        <f t="shared" ref="P59" si="145">P57*P58</f>
        <v>0</v>
      </c>
      <c r="Q59" s="182">
        <f t="shared" ref="Q59" si="146">Q57*Q58</f>
        <v>0</v>
      </c>
      <c r="R59" s="182">
        <f t="shared" ref="R59" si="147">R57*R58</f>
        <v>0</v>
      </c>
      <c r="S59" s="182">
        <f t="shared" ref="S59" si="148">S57*S58</f>
        <v>0</v>
      </c>
      <c r="T59" s="182">
        <f t="shared" ref="T59" si="149">T57*T58</f>
        <v>0</v>
      </c>
      <c r="U59" s="182">
        <f t="shared" ref="U59" si="150">U57*U58</f>
        <v>0</v>
      </c>
      <c r="V59" s="182">
        <f t="shared" ref="V59" si="151">V57*V58</f>
        <v>0</v>
      </c>
      <c r="W59" s="182">
        <f t="shared" ref="W59" si="152">W57*W58</f>
        <v>0</v>
      </c>
      <c r="X59" s="182">
        <f t="shared" ref="X59" si="153">X57*X58</f>
        <v>0</v>
      </c>
      <c r="Y59" s="182">
        <f t="shared" ref="Y59" si="154">Y57*Y58</f>
        <v>0</v>
      </c>
      <c r="Z59" s="182">
        <f t="shared" ref="Z59" si="155">Z57*Z58</f>
        <v>0</v>
      </c>
      <c r="AA59" s="182">
        <f t="shared" ref="AA59" si="156">AA57*AA58</f>
        <v>0</v>
      </c>
      <c r="AB59" s="182">
        <f t="shared" ref="AB59" si="157">AB57*AB58</f>
        <v>0</v>
      </c>
      <c r="AC59" s="182">
        <f t="shared" ref="AC59" si="158">AC57*AC58</f>
        <v>0</v>
      </c>
      <c r="AD59" s="182">
        <f t="shared" ref="AD59" si="159">AD57*AD58</f>
        <v>0</v>
      </c>
      <c r="AE59" s="182">
        <f t="shared" ref="AE59" si="160">AE57*AE58</f>
        <v>0</v>
      </c>
      <c r="AF59" s="182">
        <f t="shared" ref="AF59" si="161">AF57*AF58</f>
        <v>0</v>
      </c>
      <c r="AG59" s="182">
        <f t="shared" ref="AG59" si="162">AG57*AG58</f>
        <v>0</v>
      </c>
    </row>
    <row r="60" spans="1:33" s="649" customFormat="1" ht="17.25" customHeight="1" outlineLevel="2">
      <c r="A60" s="894"/>
      <c r="B60" s="287"/>
      <c r="C60" s="273" t="str">
        <f>Product_10</f>
        <v>License Fees</v>
      </c>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row>
    <row r="61" spans="1:33" s="649" customFormat="1" ht="17.25" customHeight="1" outlineLevel="2">
      <c r="A61" s="894"/>
      <c r="B61" s="287"/>
      <c r="C61" s="24" t="s">
        <v>209</v>
      </c>
      <c r="D61" s="8" t="s">
        <v>208</v>
      </c>
      <c r="E61" s="287"/>
      <c r="F61" s="287"/>
      <c r="G61" s="287"/>
      <c r="H61" s="287"/>
      <c r="I61" s="71">
        <f>SUMPRODUCT((J$6:AG$6),(J61:AG61))</f>
        <v>0</v>
      </c>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row>
    <row r="62" spans="1:33" s="649" customFormat="1" ht="17.25" customHeight="1" outlineLevel="2">
      <c r="A62" s="894"/>
      <c r="B62" s="287"/>
      <c r="C62" s="24" t="s">
        <v>210</v>
      </c>
      <c r="D62" s="8" t="str">
        <f>Currency_Label</f>
        <v>USD</v>
      </c>
      <c r="E62" s="287"/>
      <c r="F62" s="287"/>
      <c r="G62" s="287"/>
      <c r="H62" s="287"/>
      <c r="I62" s="287"/>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row>
    <row r="63" spans="1:33" s="649" customFormat="1" ht="17.25" customHeight="1" outlineLevel="2">
      <c r="A63" s="894"/>
      <c r="B63" s="287"/>
      <c r="C63" s="24" t="str">
        <f>"Sales "&amp;C60</f>
        <v>Sales License Fees</v>
      </c>
      <c r="D63" s="8" t="str">
        <f>Currency_Label</f>
        <v>USD</v>
      </c>
      <c r="E63" s="287"/>
      <c r="F63" s="287"/>
      <c r="G63" s="287"/>
      <c r="H63" s="287"/>
      <c r="I63" s="71">
        <f>SUMPRODUCT((J$6:AG$6),(J63:AG63))</f>
        <v>0</v>
      </c>
      <c r="J63" s="182">
        <f>J61*J62</f>
        <v>0</v>
      </c>
      <c r="K63" s="182">
        <f>K61*K62</f>
        <v>0</v>
      </c>
      <c r="L63" s="182">
        <f t="shared" ref="L63" si="163">L61*L62</f>
        <v>0</v>
      </c>
      <c r="M63" s="182">
        <f t="shared" ref="M63" si="164">M61*M62</f>
        <v>0</v>
      </c>
      <c r="N63" s="182">
        <f t="shared" ref="N63" si="165">N61*N62</f>
        <v>0</v>
      </c>
      <c r="O63" s="182">
        <f t="shared" ref="O63" si="166">O61*O62</f>
        <v>0</v>
      </c>
      <c r="P63" s="182">
        <f t="shared" ref="P63" si="167">P61*P62</f>
        <v>0</v>
      </c>
      <c r="Q63" s="182">
        <f t="shared" ref="Q63" si="168">Q61*Q62</f>
        <v>0</v>
      </c>
      <c r="R63" s="182">
        <f t="shared" ref="R63" si="169">R61*R62</f>
        <v>0</v>
      </c>
      <c r="S63" s="182">
        <f t="shared" ref="S63" si="170">S61*S62</f>
        <v>0</v>
      </c>
      <c r="T63" s="182">
        <f t="shared" ref="T63" si="171">T61*T62</f>
        <v>0</v>
      </c>
      <c r="U63" s="182">
        <f t="shared" ref="U63" si="172">U61*U62</f>
        <v>0</v>
      </c>
      <c r="V63" s="182">
        <f t="shared" ref="V63" si="173">V61*V62</f>
        <v>0</v>
      </c>
      <c r="W63" s="182">
        <f t="shared" ref="W63" si="174">W61*W62</f>
        <v>0</v>
      </c>
      <c r="X63" s="182">
        <f t="shared" ref="X63" si="175">X61*X62</f>
        <v>0</v>
      </c>
      <c r="Y63" s="182">
        <f t="shared" ref="Y63" si="176">Y61*Y62</f>
        <v>0</v>
      </c>
      <c r="Z63" s="182">
        <f t="shared" ref="Z63" si="177">Z61*Z62</f>
        <v>0</v>
      </c>
      <c r="AA63" s="182">
        <f t="shared" ref="AA63" si="178">AA61*AA62</f>
        <v>0</v>
      </c>
      <c r="AB63" s="182">
        <f t="shared" ref="AB63" si="179">AB61*AB62</f>
        <v>0</v>
      </c>
      <c r="AC63" s="182">
        <f t="shared" ref="AC63" si="180">AC61*AC62</f>
        <v>0</v>
      </c>
      <c r="AD63" s="182">
        <f t="shared" ref="AD63" si="181">AD61*AD62</f>
        <v>0</v>
      </c>
      <c r="AE63" s="182">
        <f t="shared" ref="AE63" si="182">AE61*AE62</f>
        <v>0</v>
      </c>
      <c r="AF63" s="182">
        <f t="shared" ref="AF63" si="183">AF61*AF62</f>
        <v>0</v>
      </c>
      <c r="AG63" s="182">
        <f t="shared" ref="AG63" si="184">AG61*AG62</f>
        <v>0</v>
      </c>
    </row>
    <row r="64" spans="1:33" s="649" customFormat="1" ht="17.25" customHeight="1" outlineLevel="2">
      <c r="A64" s="894"/>
      <c r="B64" s="287"/>
      <c r="C64" s="287"/>
      <c r="D64" s="287"/>
      <c r="E64" s="287"/>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E64" s="287"/>
      <c r="AF64" s="287"/>
      <c r="AG64" s="287"/>
    </row>
    <row r="65" spans="1:33" s="130" customFormat="1" ht="17.25" customHeight="1" outlineLevel="2">
      <c r="A65" s="894"/>
      <c r="B65" s="241"/>
      <c r="C65" s="121" t="s">
        <v>212</v>
      </c>
      <c r="D65" s="8" t="str">
        <f>Currency_Label</f>
        <v>USD</v>
      </c>
      <c r="E65" s="241"/>
      <c r="F65" s="241"/>
      <c r="G65" s="241"/>
      <c r="H65" s="241"/>
      <c r="I65" s="71">
        <f>SUMPRODUCT((J$6:AG$6),(J65:AG65))</f>
        <v>1807160</v>
      </c>
      <c r="J65" s="690">
        <f t="shared" ref="J65:AG65" si="185">J27+J31+J35+J39+J43+J47+J51+J55+J59+J63</f>
        <v>78550</v>
      </c>
      <c r="K65" s="690">
        <f t="shared" si="185"/>
        <v>85650</v>
      </c>
      <c r="L65" s="690">
        <f t="shared" si="185"/>
        <v>85650</v>
      </c>
      <c r="M65" s="690">
        <f t="shared" si="185"/>
        <v>85650</v>
      </c>
      <c r="N65" s="690">
        <f t="shared" si="185"/>
        <v>85650</v>
      </c>
      <c r="O65" s="690">
        <f t="shared" si="185"/>
        <v>85650</v>
      </c>
      <c r="P65" s="690">
        <f t="shared" si="185"/>
        <v>85650</v>
      </c>
      <c r="Q65" s="690">
        <f t="shared" si="185"/>
        <v>82290</v>
      </c>
      <c r="R65" s="690">
        <f t="shared" si="185"/>
        <v>82290</v>
      </c>
      <c r="S65" s="690">
        <f t="shared" si="185"/>
        <v>86890</v>
      </c>
      <c r="T65" s="690">
        <f t="shared" si="185"/>
        <v>86890</v>
      </c>
      <c r="U65" s="690">
        <f t="shared" si="185"/>
        <v>86890</v>
      </c>
      <c r="V65" s="690">
        <f t="shared" si="185"/>
        <v>86890</v>
      </c>
      <c r="W65" s="690">
        <f t="shared" si="185"/>
        <v>86890</v>
      </c>
      <c r="X65" s="690">
        <f t="shared" si="185"/>
        <v>86890</v>
      </c>
      <c r="Y65" s="690">
        <f t="shared" si="185"/>
        <v>86890</v>
      </c>
      <c r="Z65" s="690">
        <f t="shared" si="185"/>
        <v>87550</v>
      </c>
      <c r="AA65" s="690">
        <f t="shared" si="185"/>
        <v>87550</v>
      </c>
      <c r="AB65" s="690">
        <f t="shared" si="185"/>
        <v>87550</v>
      </c>
      <c r="AC65" s="690">
        <f t="shared" si="185"/>
        <v>85250</v>
      </c>
      <c r="AD65" s="690">
        <f t="shared" si="185"/>
        <v>94000</v>
      </c>
      <c r="AE65" s="690">
        <f t="shared" si="185"/>
        <v>94000</v>
      </c>
      <c r="AF65" s="690">
        <f t="shared" si="185"/>
        <v>90000</v>
      </c>
      <c r="AG65" s="690">
        <f t="shared" si="185"/>
        <v>90000</v>
      </c>
    </row>
    <row r="66" spans="1:33" s="130" customFormat="1" ht="16.5" customHeight="1" outlineLevel="1">
      <c r="A66" s="894"/>
      <c r="B66" s="241"/>
      <c r="C66" s="326"/>
      <c r="D66" s="326"/>
      <c r="E66" s="326"/>
      <c r="F66" s="326"/>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c r="AE66" s="241"/>
      <c r="AF66" s="241"/>
      <c r="AG66" s="241"/>
    </row>
    <row r="67" spans="1:33" s="130" customFormat="1" ht="21.75" customHeight="1" thickBot="1">
      <c r="A67" s="323"/>
      <c r="B67" s="323"/>
      <c r="C67" s="323" t="str">
        <f>"Total Sales and " &amp;Name_VAT</f>
        <v>Total Sales and VAT</v>
      </c>
      <c r="D67" s="323"/>
      <c r="E67" s="323"/>
      <c r="F67" s="323"/>
      <c r="G67" s="323"/>
      <c r="H67" s="323"/>
      <c r="I67" s="323"/>
      <c r="J67" s="323"/>
      <c r="K67" s="323"/>
      <c r="L67" s="323"/>
      <c r="M67" s="323"/>
      <c r="N67" s="323"/>
      <c r="O67" s="323"/>
      <c r="P67" s="323"/>
      <c r="Q67" s="323"/>
      <c r="R67" s="323"/>
      <c r="S67" s="323"/>
      <c r="T67" s="323"/>
      <c r="U67" s="323"/>
      <c r="V67" s="323"/>
      <c r="W67" s="323"/>
      <c r="X67" s="323"/>
      <c r="Y67" s="323"/>
      <c r="Z67" s="323"/>
      <c r="AA67" s="323"/>
      <c r="AB67" s="323"/>
      <c r="AC67" s="323"/>
      <c r="AD67" s="323"/>
      <c r="AE67" s="323"/>
      <c r="AF67" s="323"/>
      <c r="AG67" s="323"/>
    </row>
    <row r="68" spans="1:33" s="130" customFormat="1" ht="13.5" customHeight="1" outlineLevel="1">
      <c r="A68" s="894"/>
      <c r="B68" s="241"/>
      <c r="C68" s="279"/>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row>
    <row r="69" spans="1:33" s="130" customFormat="1" ht="16.5" customHeight="1" outlineLevel="1">
      <c r="A69" s="894"/>
      <c r="B69" s="241"/>
      <c r="C69" s="279" t="s">
        <v>223</v>
      </c>
      <c r="D69" s="241"/>
      <c r="E69" s="241"/>
      <c r="F69" s="532" t="str">
        <f>Name_VAT &amp; " Rate"</f>
        <v>VAT Rate</v>
      </c>
      <c r="G69" s="241"/>
      <c r="H69" s="241"/>
      <c r="I69" s="241"/>
      <c r="J69" s="241"/>
      <c r="K69" s="241"/>
      <c r="L69" s="241"/>
      <c r="M69" s="241"/>
      <c r="N69" s="241"/>
      <c r="O69" s="241"/>
      <c r="P69" s="241"/>
      <c r="Q69" s="241"/>
      <c r="R69" s="241"/>
      <c r="S69" s="241"/>
      <c r="T69" s="241"/>
      <c r="U69" s="241"/>
      <c r="V69" s="241"/>
      <c r="W69" s="241"/>
      <c r="X69" s="241"/>
      <c r="Y69" s="241"/>
      <c r="Z69" s="241"/>
      <c r="AA69" s="241"/>
      <c r="AB69" s="241"/>
      <c r="AC69" s="241"/>
      <c r="AD69" s="241"/>
      <c r="AE69" s="241"/>
      <c r="AF69" s="241"/>
      <c r="AG69" s="241"/>
    </row>
    <row r="70" spans="1:33" s="130" customFormat="1" ht="16.5" customHeight="1" outlineLevel="2">
      <c r="A70" s="894"/>
      <c r="B70" s="287"/>
      <c r="C70" s="24" t="str">
        <f>Product_01</f>
        <v>Desktops</v>
      </c>
      <c r="D70" s="8" t="str">
        <f t="shared" ref="D70:D82" si="186">Currency_Label</f>
        <v>USD</v>
      </c>
      <c r="E70" s="327"/>
      <c r="F70" s="85">
        <f>Inputs!F28</f>
        <v>0.2</v>
      </c>
      <c r="G70" s="327"/>
      <c r="H70" s="327"/>
      <c r="I70" s="71">
        <f t="shared" ref="I70:I80" si="187">SUM(J70:AG70)</f>
        <v>798600</v>
      </c>
      <c r="J70" s="259">
        <f t="shared" ref="J70:AG70" si="188">(J11+J27)*J$6</f>
        <v>38500</v>
      </c>
      <c r="K70" s="259">
        <f t="shared" si="188"/>
        <v>40700</v>
      </c>
      <c r="L70" s="259">
        <f t="shared" si="188"/>
        <v>40700</v>
      </c>
      <c r="M70" s="259">
        <f t="shared" si="188"/>
        <v>40700</v>
      </c>
      <c r="N70" s="259">
        <f t="shared" si="188"/>
        <v>40700</v>
      </c>
      <c r="O70" s="259">
        <f t="shared" si="188"/>
        <v>40700</v>
      </c>
      <c r="P70" s="259">
        <f t="shared" si="188"/>
        <v>40700</v>
      </c>
      <c r="Q70" s="259">
        <f t="shared" si="188"/>
        <v>36300</v>
      </c>
      <c r="R70" s="259">
        <f t="shared" si="188"/>
        <v>36300</v>
      </c>
      <c r="S70" s="259">
        <f t="shared" si="188"/>
        <v>36300</v>
      </c>
      <c r="T70" s="259">
        <f t="shared" si="188"/>
        <v>36300</v>
      </c>
      <c r="U70" s="259">
        <f t="shared" si="188"/>
        <v>36300</v>
      </c>
      <c r="V70" s="259">
        <f t="shared" si="188"/>
        <v>36300</v>
      </c>
      <c r="W70" s="259">
        <f t="shared" si="188"/>
        <v>36300</v>
      </c>
      <c r="X70" s="259">
        <f t="shared" si="188"/>
        <v>36300</v>
      </c>
      <c r="Y70" s="259">
        <f t="shared" si="188"/>
        <v>36300</v>
      </c>
      <c r="Z70" s="259">
        <f t="shared" si="188"/>
        <v>36300</v>
      </c>
      <c r="AA70" s="259">
        <f t="shared" si="188"/>
        <v>36300</v>
      </c>
      <c r="AB70" s="259">
        <f t="shared" si="188"/>
        <v>36300</v>
      </c>
      <c r="AC70" s="259">
        <f t="shared" si="188"/>
        <v>36300</v>
      </c>
      <c r="AD70" s="259">
        <f t="shared" si="188"/>
        <v>44000</v>
      </c>
      <c r="AE70" s="259">
        <f t="shared" si="188"/>
        <v>0</v>
      </c>
      <c r="AF70" s="259">
        <f t="shared" si="188"/>
        <v>0</v>
      </c>
      <c r="AG70" s="259">
        <f t="shared" si="188"/>
        <v>0</v>
      </c>
    </row>
    <row r="71" spans="1:33" s="649" customFormat="1" ht="16.5" customHeight="1" outlineLevel="2">
      <c r="A71" s="894"/>
      <c r="B71" s="287"/>
      <c r="C71" s="24" t="str">
        <f>Product_02</f>
        <v>Workstations</v>
      </c>
      <c r="D71" s="8" t="str">
        <f t="shared" si="186"/>
        <v>USD</v>
      </c>
      <c r="E71" s="327"/>
      <c r="F71" s="85">
        <f>Inputs!F29</f>
        <v>0.1</v>
      </c>
      <c r="G71" s="327"/>
      <c r="H71" s="327"/>
      <c r="I71" s="71">
        <f t="shared" si="187"/>
        <v>529000</v>
      </c>
      <c r="J71" s="259">
        <f t="shared" ref="J71:AG71" si="189">(J12+J31)*J$6</f>
        <v>18400</v>
      </c>
      <c r="K71" s="259">
        <f t="shared" si="189"/>
        <v>23000</v>
      </c>
      <c r="L71" s="259">
        <f t="shared" si="189"/>
        <v>23000</v>
      </c>
      <c r="M71" s="259">
        <f t="shared" si="189"/>
        <v>23000</v>
      </c>
      <c r="N71" s="259">
        <f t="shared" si="189"/>
        <v>23000</v>
      </c>
      <c r="O71" s="259">
        <f t="shared" si="189"/>
        <v>23000</v>
      </c>
      <c r="P71" s="259">
        <f t="shared" si="189"/>
        <v>23000</v>
      </c>
      <c r="Q71" s="259">
        <f t="shared" si="189"/>
        <v>23000</v>
      </c>
      <c r="R71" s="259">
        <f t="shared" si="189"/>
        <v>23000</v>
      </c>
      <c r="S71" s="259">
        <f t="shared" si="189"/>
        <v>27600</v>
      </c>
      <c r="T71" s="259">
        <f t="shared" si="189"/>
        <v>27600</v>
      </c>
      <c r="U71" s="259">
        <f t="shared" si="189"/>
        <v>27600</v>
      </c>
      <c r="V71" s="259">
        <f t="shared" si="189"/>
        <v>27600</v>
      </c>
      <c r="W71" s="259">
        <f t="shared" si="189"/>
        <v>27600</v>
      </c>
      <c r="X71" s="259">
        <f t="shared" si="189"/>
        <v>27600</v>
      </c>
      <c r="Y71" s="259">
        <f t="shared" si="189"/>
        <v>27600</v>
      </c>
      <c r="Z71" s="259">
        <f t="shared" si="189"/>
        <v>27600</v>
      </c>
      <c r="AA71" s="259">
        <f t="shared" si="189"/>
        <v>27600</v>
      </c>
      <c r="AB71" s="259">
        <f t="shared" si="189"/>
        <v>27600</v>
      </c>
      <c r="AC71" s="259">
        <f t="shared" si="189"/>
        <v>25300</v>
      </c>
      <c r="AD71" s="259">
        <f t="shared" si="189"/>
        <v>25300</v>
      </c>
      <c r="AE71" s="259">
        <f t="shared" si="189"/>
        <v>0</v>
      </c>
      <c r="AF71" s="259">
        <f t="shared" si="189"/>
        <v>0</v>
      </c>
      <c r="AG71" s="259">
        <f t="shared" si="189"/>
        <v>0</v>
      </c>
    </row>
    <row r="72" spans="1:33" s="649" customFormat="1" ht="16.5" customHeight="1" outlineLevel="2">
      <c r="A72" s="894"/>
      <c r="B72" s="287"/>
      <c r="C72" s="24" t="str">
        <f>Product_03</f>
        <v>Notebooks</v>
      </c>
      <c r="D72" s="8" t="str">
        <f t="shared" si="186"/>
        <v>USD</v>
      </c>
      <c r="E72" s="327"/>
      <c r="F72" s="85">
        <f>Inputs!F30</f>
        <v>0.1</v>
      </c>
      <c r="G72" s="327"/>
      <c r="H72" s="327"/>
      <c r="I72" s="71">
        <f t="shared" si="187"/>
        <v>303460</v>
      </c>
      <c r="J72" s="259">
        <f t="shared" ref="J72:AG72" si="190">(J13+J35)*J$6</f>
        <v>13400</v>
      </c>
      <c r="K72" s="259">
        <f t="shared" si="190"/>
        <v>13400</v>
      </c>
      <c r="L72" s="259">
        <f t="shared" si="190"/>
        <v>13400</v>
      </c>
      <c r="M72" s="259">
        <f t="shared" si="190"/>
        <v>13400</v>
      </c>
      <c r="N72" s="259">
        <f t="shared" si="190"/>
        <v>13400</v>
      </c>
      <c r="O72" s="259">
        <f t="shared" si="190"/>
        <v>13400</v>
      </c>
      <c r="P72" s="259">
        <f t="shared" si="190"/>
        <v>13400</v>
      </c>
      <c r="Q72" s="259">
        <f t="shared" si="190"/>
        <v>14740</v>
      </c>
      <c r="R72" s="259">
        <f t="shared" si="190"/>
        <v>14740</v>
      </c>
      <c r="S72" s="259">
        <f t="shared" si="190"/>
        <v>14740</v>
      </c>
      <c r="T72" s="259">
        <f t="shared" si="190"/>
        <v>14740</v>
      </c>
      <c r="U72" s="259">
        <f t="shared" si="190"/>
        <v>14740</v>
      </c>
      <c r="V72" s="259">
        <f t="shared" si="190"/>
        <v>14740</v>
      </c>
      <c r="W72" s="259">
        <f t="shared" si="190"/>
        <v>14740</v>
      </c>
      <c r="X72" s="259">
        <f t="shared" si="190"/>
        <v>14740</v>
      </c>
      <c r="Y72" s="259">
        <f t="shared" si="190"/>
        <v>14740</v>
      </c>
      <c r="Z72" s="259">
        <f t="shared" si="190"/>
        <v>15400</v>
      </c>
      <c r="AA72" s="259">
        <f t="shared" si="190"/>
        <v>15400</v>
      </c>
      <c r="AB72" s="259">
        <f t="shared" si="190"/>
        <v>15400</v>
      </c>
      <c r="AC72" s="259">
        <f t="shared" si="190"/>
        <v>15400</v>
      </c>
      <c r="AD72" s="259">
        <f t="shared" si="190"/>
        <v>15400</v>
      </c>
      <c r="AE72" s="259">
        <f t="shared" si="190"/>
        <v>0</v>
      </c>
      <c r="AF72" s="259">
        <f t="shared" si="190"/>
        <v>0</v>
      </c>
      <c r="AG72" s="259">
        <f t="shared" si="190"/>
        <v>0</v>
      </c>
    </row>
    <row r="73" spans="1:33" s="649" customFormat="1" ht="16.5" customHeight="1" outlineLevel="2">
      <c r="A73" s="894"/>
      <c r="B73" s="325"/>
      <c r="C73" s="24" t="str">
        <f>Product_04</f>
        <v>Software Products</v>
      </c>
      <c r="D73" s="8" t="str">
        <f t="shared" si="186"/>
        <v>USD</v>
      </c>
      <c r="E73" s="327"/>
      <c r="F73" s="85">
        <f>Inputs!F31</f>
        <v>0.2</v>
      </c>
      <c r="G73" s="327"/>
      <c r="H73" s="327"/>
      <c r="I73" s="71">
        <f t="shared" si="187"/>
        <v>176100</v>
      </c>
      <c r="J73" s="259">
        <f t="shared" ref="J73:AG73" si="191">(J14+J39)*J$6</f>
        <v>8250</v>
      </c>
      <c r="K73" s="259">
        <f t="shared" si="191"/>
        <v>8550</v>
      </c>
      <c r="L73" s="259">
        <f t="shared" si="191"/>
        <v>8550</v>
      </c>
      <c r="M73" s="259">
        <f t="shared" si="191"/>
        <v>8550</v>
      </c>
      <c r="N73" s="259">
        <f t="shared" si="191"/>
        <v>8550</v>
      </c>
      <c r="O73" s="259">
        <f t="shared" si="191"/>
        <v>8550</v>
      </c>
      <c r="P73" s="259">
        <f t="shared" si="191"/>
        <v>8550</v>
      </c>
      <c r="Q73" s="259">
        <f t="shared" si="191"/>
        <v>8250</v>
      </c>
      <c r="R73" s="259">
        <f t="shared" si="191"/>
        <v>8250</v>
      </c>
      <c r="S73" s="259">
        <f t="shared" si="191"/>
        <v>8250</v>
      </c>
      <c r="T73" s="259">
        <f t="shared" si="191"/>
        <v>8250</v>
      </c>
      <c r="U73" s="259">
        <f t="shared" si="191"/>
        <v>8250</v>
      </c>
      <c r="V73" s="259">
        <f t="shared" si="191"/>
        <v>8250</v>
      </c>
      <c r="W73" s="259">
        <f t="shared" si="191"/>
        <v>8250</v>
      </c>
      <c r="X73" s="259">
        <f t="shared" si="191"/>
        <v>8250</v>
      </c>
      <c r="Y73" s="259">
        <f t="shared" si="191"/>
        <v>8250</v>
      </c>
      <c r="Z73" s="259">
        <f t="shared" si="191"/>
        <v>8250</v>
      </c>
      <c r="AA73" s="259">
        <f t="shared" si="191"/>
        <v>8250</v>
      </c>
      <c r="AB73" s="259">
        <f t="shared" si="191"/>
        <v>8250</v>
      </c>
      <c r="AC73" s="259">
        <f t="shared" si="191"/>
        <v>8250</v>
      </c>
      <c r="AD73" s="259">
        <f t="shared" si="191"/>
        <v>9300</v>
      </c>
      <c r="AE73" s="259">
        <f t="shared" si="191"/>
        <v>0</v>
      </c>
      <c r="AF73" s="259">
        <f t="shared" si="191"/>
        <v>0</v>
      </c>
      <c r="AG73" s="259">
        <f t="shared" si="191"/>
        <v>0</v>
      </c>
    </row>
    <row r="74" spans="1:33" s="649" customFormat="1" ht="16.5" customHeight="1" outlineLevel="2">
      <c r="A74" s="894"/>
      <c r="B74" s="287"/>
      <c r="C74" s="24" t="str">
        <f>Product_05</f>
        <v>Net work infrastructure solutions</v>
      </c>
      <c r="D74" s="8" t="str">
        <f t="shared" si="186"/>
        <v>USD</v>
      </c>
      <c r="E74" s="327"/>
      <c r="F74" s="85">
        <f>Inputs!F32</f>
        <v>0.08</v>
      </c>
      <c r="G74" s="327"/>
      <c r="H74" s="327"/>
      <c r="I74" s="71">
        <f t="shared" si="187"/>
        <v>104412.51506598486</v>
      </c>
      <c r="J74" s="259">
        <f t="shared" ref="J74:AG74" si="192">(J15+J44)*J$6</f>
        <v>4500</v>
      </c>
      <c r="K74" s="259">
        <f t="shared" si="192"/>
        <v>4500</v>
      </c>
      <c r="L74" s="259">
        <f t="shared" si="192"/>
        <v>4500</v>
      </c>
      <c r="M74" s="259">
        <f t="shared" si="192"/>
        <v>4500</v>
      </c>
      <c r="N74" s="259">
        <f t="shared" si="192"/>
        <v>4500</v>
      </c>
      <c r="O74" s="259">
        <f t="shared" si="192"/>
        <v>4500</v>
      </c>
      <c r="P74" s="259">
        <f t="shared" si="192"/>
        <v>4500</v>
      </c>
      <c r="Q74" s="259">
        <f t="shared" si="192"/>
        <v>4500</v>
      </c>
      <c r="R74" s="259">
        <f t="shared" si="192"/>
        <v>5000</v>
      </c>
      <c r="S74" s="259">
        <f t="shared" si="192"/>
        <v>5000</v>
      </c>
      <c r="T74" s="259">
        <f t="shared" si="192"/>
        <v>5050</v>
      </c>
      <c r="U74" s="259">
        <f t="shared" si="192"/>
        <v>5100.5</v>
      </c>
      <c r="V74" s="259">
        <f t="shared" si="192"/>
        <v>5151.5050000000001</v>
      </c>
      <c r="W74" s="259">
        <f t="shared" si="192"/>
        <v>5203.0200500000001</v>
      </c>
      <c r="X74" s="259">
        <f t="shared" si="192"/>
        <v>5255.0502505000004</v>
      </c>
      <c r="Y74" s="259">
        <f t="shared" si="192"/>
        <v>5307.6007530050001</v>
      </c>
      <c r="Z74" s="259">
        <f t="shared" si="192"/>
        <v>5360.6767605350506</v>
      </c>
      <c r="AA74" s="259">
        <f t="shared" si="192"/>
        <v>5414.2835281404014</v>
      </c>
      <c r="AB74" s="259">
        <f t="shared" si="192"/>
        <v>5468.426363421805</v>
      </c>
      <c r="AC74" s="259">
        <f t="shared" si="192"/>
        <v>5523.1106270560231</v>
      </c>
      <c r="AD74" s="259">
        <f t="shared" si="192"/>
        <v>5578.3417333265834</v>
      </c>
      <c r="AE74" s="259">
        <f t="shared" si="192"/>
        <v>0</v>
      </c>
      <c r="AF74" s="259">
        <f t="shared" si="192"/>
        <v>0</v>
      </c>
      <c r="AG74" s="259">
        <f t="shared" si="192"/>
        <v>0</v>
      </c>
    </row>
    <row r="75" spans="1:33" s="649" customFormat="1" ht="16.5" customHeight="1" outlineLevel="2">
      <c r="A75" s="894"/>
      <c r="B75" s="287"/>
      <c r="C75" s="24" t="str">
        <f>Product_06</f>
        <v>Repair Services</v>
      </c>
      <c r="D75" s="8" t="str">
        <f t="shared" si="186"/>
        <v>USD</v>
      </c>
      <c r="E75" s="327"/>
      <c r="F75" s="85">
        <f>Inputs!F33</f>
        <v>0.2</v>
      </c>
      <c r="G75" s="327"/>
      <c r="H75" s="327"/>
      <c r="I75" s="71">
        <f t="shared" si="187"/>
        <v>281112</v>
      </c>
      <c r="J75" s="259">
        <f t="shared" ref="J75:AG75" si="193">(J16+J47)*J$6</f>
        <v>13992</v>
      </c>
      <c r="K75" s="259">
        <f t="shared" si="193"/>
        <v>13992</v>
      </c>
      <c r="L75" s="259">
        <f t="shared" si="193"/>
        <v>13992</v>
      </c>
      <c r="M75" s="259">
        <f t="shared" si="193"/>
        <v>13992</v>
      </c>
      <c r="N75" s="259">
        <f t="shared" si="193"/>
        <v>13992</v>
      </c>
      <c r="O75" s="259">
        <f t="shared" si="193"/>
        <v>13992</v>
      </c>
      <c r="P75" s="259">
        <f t="shared" si="193"/>
        <v>13992</v>
      </c>
      <c r="Q75" s="259">
        <f t="shared" si="193"/>
        <v>13992</v>
      </c>
      <c r="R75" s="259">
        <f t="shared" si="193"/>
        <v>13992</v>
      </c>
      <c r="S75" s="259">
        <f t="shared" si="193"/>
        <v>13992</v>
      </c>
      <c r="T75" s="259">
        <f t="shared" si="193"/>
        <v>13992</v>
      </c>
      <c r="U75" s="259">
        <f t="shared" si="193"/>
        <v>12720</v>
      </c>
      <c r="V75" s="259">
        <f t="shared" si="193"/>
        <v>12720</v>
      </c>
      <c r="W75" s="259">
        <f t="shared" si="193"/>
        <v>12720</v>
      </c>
      <c r="X75" s="259">
        <f t="shared" si="193"/>
        <v>12720</v>
      </c>
      <c r="Y75" s="259">
        <f t="shared" si="193"/>
        <v>12720</v>
      </c>
      <c r="Z75" s="259">
        <f t="shared" si="193"/>
        <v>12720</v>
      </c>
      <c r="AA75" s="259">
        <f t="shared" si="193"/>
        <v>12720</v>
      </c>
      <c r="AB75" s="259">
        <f t="shared" si="193"/>
        <v>12720</v>
      </c>
      <c r="AC75" s="259">
        <f t="shared" si="193"/>
        <v>12720</v>
      </c>
      <c r="AD75" s="259">
        <f t="shared" si="193"/>
        <v>12720</v>
      </c>
      <c r="AE75" s="259">
        <f t="shared" si="193"/>
        <v>0</v>
      </c>
      <c r="AF75" s="259">
        <f t="shared" si="193"/>
        <v>0</v>
      </c>
      <c r="AG75" s="259">
        <f t="shared" si="193"/>
        <v>0</v>
      </c>
    </row>
    <row r="76" spans="1:33" s="649" customFormat="1" ht="16.5" customHeight="1" outlineLevel="2">
      <c r="A76" s="894"/>
      <c r="B76" s="287"/>
      <c r="C76" s="24" t="str">
        <f>Product_07</f>
        <v>Integration Services</v>
      </c>
      <c r="D76" s="8" t="str">
        <f t="shared" si="186"/>
        <v>USD</v>
      </c>
      <c r="E76" s="327"/>
      <c r="F76" s="85">
        <f>Inputs!F34</f>
        <v>0.2</v>
      </c>
      <c r="G76" s="327"/>
      <c r="H76" s="327"/>
      <c r="I76" s="71">
        <f t="shared" si="187"/>
        <v>404000</v>
      </c>
      <c r="J76" s="259">
        <f t="shared" ref="J76:AG76" si="194">(J17+J51)*J$6</f>
        <v>18000</v>
      </c>
      <c r="K76" s="259">
        <f t="shared" si="194"/>
        <v>18000</v>
      </c>
      <c r="L76" s="259">
        <f t="shared" si="194"/>
        <v>18000</v>
      </c>
      <c r="M76" s="259">
        <f t="shared" si="194"/>
        <v>18000</v>
      </c>
      <c r="N76" s="259">
        <f t="shared" si="194"/>
        <v>18000</v>
      </c>
      <c r="O76" s="259">
        <f t="shared" si="194"/>
        <v>18000</v>
      </c>
      <c r="P76" s="259">
        <f t="shared" si="194"/>
        <v>18000</v>
      </c>
      <c r="Q76" s="259">
        <f t="shared" si="194"/>
        <v>18000</v>
      </c>
      <c r="R76" s="259">
        <f t="shared" si="194"/>
        <v>20000</v>
      </c>
      <c r="S76" s="259">
        <f t="shared" si="194"/>
        <v>20000</v>
      </c>
      <c r="T76" s="259">
        <f t="shared" si="194"/>
        <v>20000</v>
      </c>
      <c r="U76" s="259">
        <f t="shared" si="194"/>
        <v>20000</v>
      </c>
      <c r="V76" s="259">
        <f t="shared" si="194"/>
        <v>20000</v>
      </c>
      <c r="W76" s="259">
        <f t="shared" si="194"/>
        <v>20000</v>
      </c>
      <c r="X76" s="259">
        <f t="shared" si="194"/>
        <v>20000</v>
      </c>
      <c r="Y76" s="259">
        <f t="shared" si="194"/>
        <v>20000</v>
      </c>
      <c r="Z76" s="259">
        <f t="shared" si="194"/>
        <v>20000</v>
      </c>
      <c r="AA76" s="259">
        <f t="shared" si="194"/>
        <v>20000</v>
      </c>
      <c r="AB76" s="259">
        <f t="shared" si="194"/>
        <v>20000</v>
      </c>
      <c r="AC76" s="259">
        <f t="shared" si="194"/>
        <v>20000</v>
      </c>
      <c r="AD76" s="259">
        <f t="shared" si="194"/>
        <v>20000</v>
      </c>
      <c r="AE76" s="259">
        <f t="shared" si="194"/>
        <v>0</v>
      </c>
      <c r="AF76" s="259">
        <f t="shared" si="194"/>
        <v>0</v>
      </c>
      <c r="AG76" s="259">
        <f t="shared" si="194"/>
        <v>0</v>
      </c>
    </row>
    <row r="77" spans="1:33" s="649" customFormat="1" ht="16.5" customHeight="1" outlineLevel="2">
      <c r="A77" s="894"/>
      <c r="B77" s="287"/>
      <c r="C77" s="24" t="str">
        <f>Product_08</f>
        <v>Consulting Services</v>
      </c>
      <c r="D77" s="8" t="str">
        <f t="shared" si="186"/>
        <v>USD</v>
      </c>
      <c r="E77" s="327"/>
      <c r="F77" s="85">
        <f>Inputs!F35</f>
        <v>0.2</v>
      </c>
      <c r="G77" s="327"/>
      <c r="H77" s="327"/>
      <c r="I77" s="71">
        <f t="shared" si="187"/>
        <v>440498.92292858503</v>
      </c>
      <c r="J77" s="259">
        <f t="shared" ref="J77:AG77" si="195">(J18+J55)*J$6</f>
        <v>18955</v>
      </c>
      <c r="K77" s="259">
        <f t="shared" si="195"/>
        <v>19144.55</v>
      </c>
      <c r="L77" s="259">
        <f t="shared" si="195"/>
        <v>19335.995500000001</v>
      </c>
      <c r="M77" s="259">
        <f t="shared" si="195"/>
        <v>19529.355455000001</v>
      </c>
      <c r="N77" s="259">
        <f t="shared" si="195"/>
        <v>19724.649009550001</v>
      </c>
      <c r="O77" s="259">
        <f t="shared" si="195"/>
        <v>19921.895499645503</v>
      </c>
      <c r="P77" s="259">
        <f t="shared" si="195"/>
        <v>20121.11445464196</v>
      </c>
      <c r="Q77" s="259">
        <f t="shared" si="195"/>
        <v>20322.325599188382</v>
      </c>
      <c r="R77" s="259">
        <f t="shared" si="195"/>
        <v>20525.548855180266</v>
      </c>
      <c r="S77" s="259">
        <f t="shared" si="195"/>
        <v>20730.80434373207</v>
      </c>
      <c r="T77" s="259">
        <f t="shared" si="195"/>
        <v>20938.112387169393</v>
      </c>
      <c r="U77" s="259">
        <f t="shared" si="195"/>
        <v>21147.493511041088</v>
      </c>
      <c r="V77" s="259">
        <f t="shared" si="195"/>
        <v>21358.968446151499</v>
      </c>
      <c r="W77" s="259">
        <f t="shared" si="195"/>
        <v>21572.558130613015</v>
      </c>
      <c r="X77" s="259">
        <f t="shared" si="195"/>
        <v>21788.283711919146</v>
      </c>
      <c r="Y77" s="259">
        <f t="shared" si="195"/>
        <v>22006.166549038338</v>
      </c>
      <c r="Z77" s="259">
        <f t="shared" si="195"/>
        <v>22226.228214528721</v>
      </c>
      <c r="AA77" s="259">
        <f t="shared" si="195"/>
        <v>22448.490496674007</v>
      </c>
      <c r="AB77" s="259">
        <f t="shared" si="195"/>
        <v>22672.975401640746</v>
      </c>
      <c r="AC77" s="259">
        <f t="shared" si="195"/>
        <v>22899.705155657153</v>
      </c>
      <c r="AD77" s="259">
        <f t="shared" si="195"/>
        <v>23128.702207213726</v>
      </c>
      <c r="AE77" s="259">
        <f t="shared" si="195"/>
        <v>0</v>
      </c>
      <c r="AF77" s="259">
        <f t="shared" si="195"/>
        <v>0</v>
      </c>
      <c r="AG77" s="259">
        <f t="shared" si="195"/>
        <v>0</v>
      </c>
    </row>
    <row r="78" spans="1:33" s="649" customFormat="1" ht="16.5" customHeight="1" outlineLevel="2">
      <c r="A78" s="894"/>
      <c r="B78" s="287"/>
      <c r="C78" s="24" t="str">
        <f>Product_09</f>
        <v>Spare Parts</v>
      </c>
      <c r="D78" s="8" t="str">
        <f t="shared" si="186"/>
        <v>USD</v>
      </c>
      <c r="E78" s="327"/>
      <c r="F78" s="85">
        <f>Inputs!F36</f>
        <v>0.2</v>
      </c>
      <c r="G78" s="327"/>
      <c r="H78" s="327"/>
      <c r="I78" s="71">
        <f t="shared" si="187"/>
        <v>199650</v>
      </c>
      <c r="J78" s="259">
        <f t="shared" ref="J78:AG78" si="196">(J19+J59)*J$6</f>
        <v>9625</v>
      </c>
      <c r="K78" s="259">
        <f t="shared" si="196"/>
        <v>10175</v>
      </c>
      <c r="L78" s="259">
        <f t="shared" si="196"/>
        <v>10175</v>
      </c>
      <c r="M78" s="259">
        <f t="shared" si="196"/>
        <v>10175</v>
      </c>
      <c r="N78" s="259">
        <f t="shared" si="196"/>
        <v>10175</v>
      </c>
      <c r="O78" s="259">
        <f t="shared" si="196"/>
        <v>10175</v>
      </c>
      <c r="P78" s="259">
        <f t="shared" si="196"/>
        <v>10175</v>
      </c>
      <c r="Q78" s="259">
        <f t="shared" si="196"/>
        <v>9075</v>
      </c>
      <c r="R78" s="259">
        <f t="shared" si="196"/>
        <v>9075</v>
      </c>
      <c r="S78" s="259">
        <f t="shared" si="196"/>
        <v>9075</v>
      </c>
      <c r="T78" s="259">
        <f t="shared" si="196"/>
        <v>9075</v>
      </c>
      <c r="U78" s="259">
        <f t="shared" si="196"/>
        <v>9075</v>
      </c>
      <c r="V78" s="259">
        <f t="shared" si="196"/>
        <v>9075</v>
      </c>
      <c r="W78" s="259">
        <f t="shared" si="196"/>
        <v>9075</v>
      </c>
      <c r="X78" s="259">
        <f t="shared" si="196"/>
        <v>9075</v>
      </c>
      <c r="Y78" s="259">
        <f t="shared" si="196"/>
        <v>9075</v>
      </c>
      <c r="Z78" s="259">
        <f t="shared" si="196"/>
        <v>9075</v>
      </c>
      <c r="AA78" s="259">
        <f t="shared" si="196"/>
        <v>9075</v>
      </c>
      <c r="AB78" s="259">
        <f t="shared" si="196"/>
        <v>9075</v>
      </c>
      <c r="AC78" s="259">
        <f t="shared" si="196"/>
        <v>9075</v>
      </c>
      <c r="AD78" s="259">
        <f t="shared" si="196"/>
        <v>11000</v>
      </c>
      <c r="AE78" s="259">
        <f t="shared" si="196"/>
        <v>0</v>
      </c>
      <c r="AF78" s="259">
        <f t="shared" si="196"/>
        <v>0</v>
      </c>
      <c r="AG78" s="259">
        <f t="shared" si="196"/>
        <v>0</v>
      </c>
    </row>
    <row r="79" spans="1:33" s="649" customFormat="1" ht="16.5" customHeight="1" outlineLevel="2">
      <c r="A79" s="894"/>
      <c r="B79" s="287"/>
      <c r="C79" s="24" t="str">
        <f>Product_10</f>
        <v>License Fees</v>
      </c>
      <c r="D79" s="8" t="str">
        <f t="shared" si="186"/>
        <v>USD</v>
      </c>
      <c r="E79" s="327"/>
      <c r="F79" s="85">
        <f>Inputs!F37</f>
        <v>0</v>
      </c>
      <c r="G79" s="327"/>
      <c r="H79" s="327"/>
      <c r="I79" s="71">
        <f t="shared" si="187"/>
        <v>500200</v>
      </c>
      <c r="J79" s="259">
        <f t="shared" ref="J79:AG79" si="197">(J20+J63)*J$6</f>
        <v>0</v>
      </c>
      <c r="K79" s="259">
        <f t="shared" si="197"/>
        <v>0</v>
      </c>
      <c r="L79" s="259">
        <f t="shared" si="197"/>
        <v>0</v>
      </c>
      <c r="M79" s="259">
        <f t="shared" si="197"/>
        <v>0</v>
      </c>
      <c r="N79" s="259">
        <f t="shared" si="197"/>
        <v>0</v>
      </c>
      <c r="O79" s="259">
        <f t="shared" si="197"/>
        <v>0</v>
      </c>
      <c r="P79" s="259">
        <f t="shared" si="197"/>
        <v>100020</v>
      </c>
      <c r="Q79" s="259">
        <f t="shared" si="197"/>
        <v>0</v>
      </c>
      <c r="R79" s="259">
        <f t="shared" si="197"/>
        <v>0</v>
      </c>
      <c r="S79" s="259">
        <f t="shared" si="197"/>
        <v>100030</v>
      </c>
      <c r="T79" s="259">
        <f t="shared" si="197"/>
        <v>0</v>
      </c>
      <c r="U79" s="259">
        <f t="shared" si="197"/>
        <v>0</v>
      </c>
      <c r="V79" s="259">
        <f t="shared" si="197"/>
        <v>100040</v>
      </c>
      <c r="W79" s="259">
        <f t="shared" si="197"/>
        <v>0</v>
      </c>
      <c r="X79" s="259">
        <f t="shared" si="197"/>
        <v>0</v>
      </c>
      <c r="Y79" s="259">
        <f t="shared" si="197"/>
        <v>100050</v>
      </c>
      <c r="Z79" s="259">
        <f t="shared" si="197"/>
        <v>0</v>
      </c>
      <c r="AA79" s="259">
        <f t="shared" si="197"/>
        <v>0</v>
      </c>
      <c r="AB79" s="259">
        <f t="shared" si="197"/>
        <v>100060</v>
      </c>
      <c r="AC79" s="259">
        <f t="shared" si="197"/>
        <v>0</v>
      </c>
      <c r="AD79" s="259">
        <f t="shared" si="197"/>
        <v>0</v>
      </c>
      <c r="AE79" s="259">
        <f t="shared" si="197"/>
        <v>0</v>
      </c>
      <c r="AF79" s="259">
        <f t="shared" si="197"/>
        <v>0</v>
      </c>
      <c r="AG79" s="259">
        <f t="shared" si="197"/>
        <v>0</v>
      </c>
    </row>
    <row r="80" spans="1:33" ht="16.5" customHeight="1" outlineLevel="2" thickBot="1">
      <c r="A80" s="894"/>
      <c r="B80" s="287"/>
      <c r="C80" s="121" t="s">
        <v>224</v>
      </c>
      <c r="D80" s="8" t="str">
        <f t="shared" si="186"/>
        <v>USD</v>
      </c>
      <c r="E80" s="327"/>
      <c r="F80" s="327"/>
      <c r="G80" s="357"/>
      <c r="H80" s="357"/>
      <c r="I80" s="71">
        <f t="shared" si="187"/>
        <v>3737033.4379945695</v>
      </c>
      <c r="J80" s="692">
        <f t="shared" ref="J80:AG80" si="198">SUM(J70:J79)</f>
        <v>143622</v>
      </c>
      <c r="K80" s="692">
        <f t="shared" si="198"/>
        <v>151461.54999999999</v>
      </c>
      <c r="L80" s="692">
        <f t="shared" si="198"/>
        <v>151652.99549999999</v>
      </c>
      <c r="M80" s="692">
        <f t="shared" si="198"/>
        <v>151846.35545500001</v>
      </c>
      <c r="N80" s="692">
        <f t="shared" si="198"/>
        <v>152041.64900954999</v>
      </c>
      <c r="O80" s="692">
        <f t="shared" si="198"/>
        <v>152238.8954996455</v>
      </c>
      <c r="P80" s="692">
        <f t="shared" si="198"/>
        <v>252458.11445464197</v>
      </c>
      <c r="Q80" s="692">
        <f t="shared" si="198"/>
        <v>148179.32559918839</v>
      </c>
      <c r="R80" s="692">
        <f t="shared" si="198"/>
        <v>150882.54885518027</v>
      </c>
      <c r="S80" s="692">
        <f t="shared" si="198"/>
        <v>255717.80434373207</v>
      </c>
      <c r="T80" s="692">
        <f t="shared" si="198"/>
        <v>155945.11238716939</v>
      </c>
      <c r="U80" s="692">
        <f t="shared" si="198"/>
        <v>154932.9935110411</v>
      </c>
      <c r="V80" s="692">
        <f t="shared" si="198"/>
        <v>255235.4734461515</v>
      </c>
      <c r="W80" s="692">
        <f t="shared" si="198"/>
        <v>155460.57818061303</v>
      </c>
      <c r="X80" s="692">
        <f t="shared" si="198"/>
        <v>155728.33396241916</v>
      </c>
      <c r="Y80" s="692">
        <f t="shared" si="198"/>
        <v>256048.76730204333</v>
      </c>
      <c r="Z80" s="692">
        <f t="shared" si="198"/>
        <v>156931.90497506378</v>
      </c>
      <c r="AA80" s="692">
        <f t="shared" si="198"/>
        <v>157207.7740248144</v>
      </c>
      <c r="AB80" s="692">
        <f t="shared" si="198"/>
        <v>257546.40176506256</v>
      </c>
      <c r="AC80" s="692">
        <f t="shared" si="198"/>
        <v>155467.81578271318</v>
      </c>
      <c r="AD80" s="692">
        <f t="shared" si="198"/>
        <v>166427.04394054032</v>
      </c>
      <c r="AE80" s="692">
        <f t="shared" si="198"/>
        <v>0</v>
      </c>
      <c r="AF80" s="692">
        <f t="shared" si="198"/>
        <v>0</v>
      </c>
      <c r="AG80" s="692">
        <f t="shared" si="198"/>
        <v>0</v>
      </c>
    </row>
    <row r="81" spans="1:33" s="130" customFormat="1" ht="16.5" customHeight="1" outlineLevel="2" thickTop="1">
      <c r="A81" s="894"/>
      <c r="B81" s="241"/>
      <c r="C81" s="241"/>
      <c r="D81" s="241"/>
      <c r="E81" s="241"/>
      <c r="F81" s="241"/>
      <c r="G81" s="241"/>
      <c r="H81" s="241"/>
      <c r="I81" s="241"/>
      <c r="J81" s="241"/>
      <c r="K81" s="241"/>
      <c r="L81" s="241"/>
      <c r="M81" s="241"/>
      <c r="N81" s="241"/>
      <c r="O81" s="241"/>
      <c r="P81" s="241"/>
      <c r="Q81" s="241"/>
      <c r="R81" s="241"/>
      <c r="S81" s="241"/>
      <c r="T81" s="241"/>
      <c r="U81" s="241"/>
      <c r="V81" s="241"/>
      <c r="W81" s="241"/>
      <c r="X81" s="241"/>
      <c r="Y81" s="241"/>
      <c r="Z81" s="241"/>
      <c r="AA81" s="241"/>
      <c r="AB81" s="241"/>
      <c r="AC81" s="241"/>
      <c r="AD81" s="241"/>
      <c r="AE81" s="241"/>
      <c r="AF81" s="241"/>
      <c r="AG81" s="241"/>
    </row>
    <row r="82" spans="1:33" s="649" customFormat="1" ht="16.5" customHeight="1" outlineLevel="2">
      <c r="A82" s="894"/>
      <c r="B82" s="287"/>
      <c r="C82" s="24" t="s">
        <v>231</v>
      </c>
      <c r="D82" s="8" t="str">
        <f t="shared" si="186"/>
        <v>USD</v>
      </c>
      <c r="E82" s="327"/>
      <c r="F82" s="694">
        <f>bad_debts</f>
        <v>1.4999999999999999E-2</v>
      </c>
      <c r="G82" s="327"/>
      <c r="H82" s="327"/>
      <c r="I82" s="71">
        <f>SUM(J82:AG82)</f>
        <v>56055.501569918553</v>
      </c>
      <c r="J82" s="259">
        <f>$F82*J80</f>
        <v>2154.33</v>
      </c>
      <c r="K82" s="259">
        <f t="shared" ref="K82:AG82" si="199">$F82*K80</f>
        <v>2271.9232499999998</v>
      </c>
      <c r="L82" s="259">
        <f t="shared" si="199"/>
        <v>2274.7949325</v>
      </c>
      <c r="M82" s="259">
        <f t="shared" si="199"/>
        <v>2277.6953318250003</v>
      </c>
      <c r="N82" s="259">
        <f t="shared" si="199"/>
        <v>2280.6247351432498</v>
      </c>
      <c r="O82" s="259">
        <f t="shared" si="199"/>
        <v>2283.5834324946823</v>
      </c>
      <c r="P82" s="259">
        <f t="shared" si="199"/>
        <v>3786.8717168196295</v>
      </c>
      <c r="Q82" s="259">
        <f t="shared" si="199"/>
        <v>2222.6898839878259</v>
      </c>
      <c r="R82" s="259">
        <f t="shared" si="199"/>
        <v>2263.238232827704</v>
      </c>
      <c r="S82" s="259">
        <f t="shared" si="199"/>
        <v>3835.7670651559811</v>
      </c>
      <c r="T82" s="259">
        <f t="shared" si="199"/>
        <v>2339.1766858075407</v>
      </c>
      <c r="U82" s="259">
        <f t="shared" si="199"/>
        <v>2323.9949026656163</v>
      </c>
      <c r="V82" s="259">
        <f t="shared" si="199"/>
        <v>3828.5321016922726</v>
      </c>
      <c r="W82" s="259">
        <f t="shared" si="199"/>
        <v>2331.9086727091953</v>
      </c>
      <c r="X82" s="259">
        <f t="shared" si="199"/>
        <v>2335.9250094362874</v>
      </c>
      <c r="Y82" s="259">
        <f t="shared" si="199"/>
        <v>3840.7315095306499</v>
      </c>
      <c r="Z82" s="259">
        <f t="shared" si="199"/>
        <v>2353.9785746259568</v>
      </c>
      <c r="AA82" s="259">
        <f t="shared" si="199"/>
        <v>2358.1166103722157</v>
      </c>
      <c r="AB82" s="259">
        <f t="shared" si="199"/>
        <v>3863.1960264759382</v>
      </c>
      <c r="AC82" s="259">
        <f t="shared" si="199"/>
        <v>2332.0172367406976</v>
      </c>
      <c r="AD82" s="259">
        <f t="shared" si="199"/>
        <v>2496.4056591081048</v>
      </c>
      <c r="AE82" s="259">
        <f t="shared" si="199"/>
        <v>0</v>
      </c>
      <c r="AF82" s="259">
        <f t="shared" si="199"/>
        <v>0</v>
      </c>
      <c r="AG82" s="259">
        <f t="shared" si="199"/>
        <v>0</v>
      </c>
    </row>
    <row r="83" spans="1:33" s="649" customFormat="1" ht="16.5" customHeight="1" outlineLevel="2">
      <c r="A83" s="894"/>
      <c r="B83" s="287"/>
      <c r="C83" s="287"/>
      <c r="D83" s="287"/>
      <c r="E83" s="287"/>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E83" s="287"/>
      <c r="AF83" s="287"/>
      <c r="AG83" s="287"/>
    </row>
    <row r="84" spans="1:33" s="130" customFormat="1" ht="18" customHeight="1" outlineLevel="1">
      <c r="A84" s="894"/>
      <c r="B84" s="241"/>
      <c r="C84" s="279" t="str">
        <f>"Total " &amp;Name_VAT &amp;" on Sales (net of bad debts)"</f>
        <v>Total VAT on Sales (net of bad debts)</v>
      </c>
      <c r="D84" s="241"/>
      <c r="E84" s="241"/>
      <c r="F84" s="724"/>
      <c r="G84" s="241"/>
      <c r="H84" s="241"/>
      <c r="I84" s="241"/>
      <c r="J84" s="241"/>
      <c r="K84" s="241"/>
      <c r="L84" s="241"/>
      <c r="M84" s="241"/>
      <c r="N84" s="241"/>
      <c r="O84" s="241"/>
      <c r="P84" s="241"/>
      <c r="Q84" s="241"/>
      <c r="R84" s="241"/>
      <c r="S84" s="241"/>
      <c r="T84" s="241"/>
      <c r="U84" s="241"/>
      <c r="V84" s="241"/>
      <c r="W84" s="241"/>
      <c r="X84" s="241"/>
      <c r="Y84" s="241"/>
      <c r="Z84" s="241"/>
      <c r="AA84" s="241"/>
      <c r="AB84" s="241"/>
      <c r="AC84" s="241"/>
      <c r="AD84" s="241"/>
      <c r="AE84" s="241"/>
      <c r="AF84" s="241"/>
      <c r="AG84" s="241"/>
    </row>
    <row r="85" spans="1:33" s="130" customFormat="1" ht="17.25" customHeight="1" outlineLevel="2">
      <c r="A85" s="894"/>
      <c r="B85" s="287"/>
      <c r="C85" s="24" t="str">
        <f>Product_01</f>
        <v>Desktops</v>
      </c>
      <c r="D85" s="8" t="str">
        <f t="shared" ref="D85:D95" si="200">Currency_Label</f>
        <v>USD</v>
      </c>
      <c r="E85" s="327"/>
      <c r="F85" s="327"/>
      <c r="G85" s="357"/>
      <c r="H85" s="327"/>
      <c r="I85" s="71">
        <f t="shared" ref="I85:I95" si="201">SUM(J85:AG85)</f>
        <v>157324.20000000007</v>
      </c>
      <c r="J85" s="327">
        <f t="shared" ref="J85:AG85" si="202">$F70*J70*(1-bad_debts)</f>
        <v>7584.5</v>
      </c>
      <c r="K85" s="327">
        <f t="shared" si="202"/>
        <v>8017.9</v>
      </c>
      <c r="L85" s="327">
        <f t="shared" si="202"/>
        <v>8017.9</v>
      </c>
      <c r="M85" s="327">
        <f t="shared" si="202"/>
        <v>8017.9</v>
      </c>
      <c r="N85" s="327">
        <f t="shared" si="202"/>
        <v>8017.9</v>
      </c>
      <c r="O85" s="327">
        <f t="shared" si="202"/>
        <v>8017.9</v>
      </c>
      <c r="P85" s="327">
        <f t="shared" si="202"/>
        <v>8017.9</v>
      </c>
      <c r="Q85" s="327">
        <f t="shared" si="202"/>
        <v>7151.0999999999995</v>
      </c>
      <c r="R85" s="327">
        <f t="shared" si="202"/>
        <v>7151.0999999999995</v>
      </c>
      <c r="S85" s="327">
        <f t="shared" si="202"/>
        <v>7151.0999999999995</v>
      </c>
      <c r="T85" s="327">
        <f t="shared" si="202"/>
        <v>7151.0999999999995</v>
      </c>
      <c r="U85" s="327">
        <f t="shared" si="202"/>
        <v>7151.0999999999995</v>
      </c>
      <c r="V85" s="327">
        <f t="shared" si="202"/>
        <v>7151.0999999999995</v>
      </c>
      <c r="W85" s="327">
        <f t="shared" si="202"/>
        <v>7151.0999999999995</v>
      </c>
      <c r="X85" s="327">
        <f t="shared" si="202"/>
        <v>7151.0999999999995</v>
      </c>
      <c r="Y85" s="327">
        <f t="shared" si="202"/>
        <v>7151.0999999999995</v>
      </c>
      <c r="Z85" s="327">
        <f t="shared" si="202"/>
        <v>7151.0999999999995</v>
      </c>
      <c r="AA85" s="327">
        <f t="shared" si="202"/>
        <v>7151.0999999999995</v>
      </c>
      <c r="AB85" s="327">
        <f t="shared" si="202"/>
        <v>7151.0999999999995</v>
      </c>
      <c r="AC85" s="327">
        <f t="shared" si="202"/>
        <v>7151.0999999999995</v>
      </c>
      <c r="AD85" s="327">
        <f t="shared" si="202"/>
        <v>8668</v>
      </c>
      <c r="AE85" s="327">
        <f t="shared" si="202"/>
        <v>0</v>
      </c>
      <c r="AF85" s="327">
        <f t="shared" si="202"/>
        <v>0</v>
      </c>
      <c r="AG85" s="327">
        <f t="shared" si="202"/>
        <v>0</v>
      </c>
    </row>
    <row r="86" spans="1:33" s="649" customFormat="1" ht="17.25" customHeight="1" outlineLevel="2">
      <c r="A86" s="894"/>
      <c r="B86" s="287"/>
      <c r="C86" s="24" t="str">
        <f>Product_02</f>
        <v>Workstations</v>
      </c>
      <c r="D86" s="8" t="str">
        <f t="shared" si="200"/>
        <v>USD</v>
      </c>
      <c r="E86" s="327"/>
      <c r="F86" s="327"/>
      <c r="G86" s="357"/>
      <c r="H86" s="327"/>
      <c r="I86" s="71">
        <f t="shared" si="201"/>
        <v>52106.499999999993</v>
      </c>
      <c r="J86" s="327">
        <f t="shared" ref="J86:AG86" si="203">$F71*J71*(1-bad_debts)</f>
        <v>1812.3999999999999</v>
      </c>
      <c r="K86" s="327">
        <f t="shared" si="203"/>
        <v>2265.5</v>
      </c>
      <c r="L86" s="327">
        <f t="shared" si="203"/>
        <v>2265.5</v>
      </c>
      <c r="M86" s="327">
        <f t="shared" si="203"/>
        <v>2265.5</v>
      </c>
      <c r="N86" s="327">
        <f t="shared" si="203"/>
        <v>2265.5</v>
      </c>
      <c r="O86" s="327">
        <f t="shared" si="203"/>
        <v>2265.5</v>
      </c>
      <c r="P86" s="327">
        <f t="shared" si="203"/>
        <v>2265.5</v>
      </c>
      <c r="Q86" s="327">
        <f t="shared" si="203"/>
        <v>2265.5</v>
      </c>
      <c r="R86" s="327">
        <f t="shared" si="203"/>
        <v>2265.5</v>
      </c>
      <c r="S86" s="327">
        <f t="shared" si="203"/>
        <v>2718.6</v>
      </c>
      <c r="T86" s="327">
        <f t="shared" si="203"/>
        <v>2718.6</v>
      </c>
      <c r="U86" s="327">
        <f t="shared" si="203"/>
        <v>2718.6</v>
      </c>
      <c r="V86" s="327">
        <f t="shared" si="203"/>
        <v>2718.6</v>
      </c>
      <c r="W86" s="327">
        <f t="shared" si="203"/>
        <v>2718.6</v>
      </c>
      <c r="X86" s="327">
        <f t="shared" si="203"/>
        <v>2718.6</v>
      </c>
      <c r="Y86" s="327">
        <f t="shared" si="203"/>
        <v>2718.6</v>
      </c>
      <c r="Z86" s="327">
        <f t="shared" si="203"/>
        <v>2718.6</v>
      </c>
      <c r="AA86" s="327">
        <f t="shared" si="203"/>
        <v>2718.6</v>
      </c>
      <c r="AB86" s="327">
        <f t="shared" si="203"/>
        <v>2718.6</v>
      </c>
      <c r="AC86" s="327">
        <f t="shared" si="203"/>
        <v>2492.0500000000002</v>
      </c>
      <c r="AD86" s="327">
        <f t="shared" si="203"/>
        <v>2492.0500000000002</v>
      </c>
      <c r="AE86" s="327">
        <f t="shared" si="203"/>
        <v>0</v>
      </c>
      <c r="AF86" s="327">
        <f t="shared" si="203"/>
        <v>0</v>
      </c>
      <c r="AG86" s="327">
        <f t="shared" si="203"/>
        <v>0</v>
      </c>
    </row>
    <row r="87" spans="1:33" s="649" customFormat="1" ht="17.25" customHeight="1" outlineLevel="2">
      <c r="A87" s="894"/>
      <c r="B87" s="287"/>
      <c r="C87" s="24" t="str">
        <f>Product_03</f>
        <v>Notebooks</v>
      </c>
      <c r="D87" s="8" t="str">
        <f t="shared" si="200"/>
        <v>USD</v>
      </c>
      <c r="E87" s="327"/>
      <c r="F87" s="327"/>
      <c r="G87" s="357"/>
      <c r="H87" s="327"/>
      <c r="I87" s="71">
        <f t="shared" si="201"/>
        <v>29890.81</v>
      </c>
      <c r="J87" s="327">
        <f t="shared" ref="J87:AG87" si="204">$F72*J72*(1-bad_debts)</f>
        <v>1319.9</v>
      </c>
      <c r="K87" s="327">
        <f t="shared" si="204"/>
        <v>1319.9</v>
      </c>
      <c r="L87" s="327">
        <f t="shared" si="204"/>
        <v>1319.9</v>
      </c>
      <c r="M87" s="327">
        <f t="shared" si="204"/>
        <v>1319.9</v>
      </c>
      <c r="N87" s="327">
        <f t="shared" si="204"/>
        <v>1319.9</v>
      </c>
      <c r="O87" s="327">
        <f t="shared" si="204"/>
        <v>1319.9</v>
      </c>
      <c r="P87" s="327">
        <f t="shared" si="204"/>
        <v>1319.9</v>
      </c>
      <c r="Q87" s="327">
        <f t="shared" si="204"/>
        <v>1451.8899999999999</v>
      </c>
      <c r="R87" s="327">
        <f t="shared" si="204"/>
        <v>1451.8899999999999</v>
      </c>
      <c r="S87" s="327">
        <f t="shared" si="204"/>
        <v>1451.8899999999999</v>
      </c>
      <c r="T87" s="327">
        <f t="shared" si="204"/>
        <v>1451.8899999999999</v>
      </c>
      <c r="U87" s="327">
        <f t="shared" si="204"/>
        <v>1451.8899999999999</v>
      </c>
      <c r="V87" s="327">
        <f t="shared" si="204"/>
        <v>1451.8899999999999</v>
      </c>
      <c r="W87" s="327">
        <f t="shared" si="204"/>
        <v>1451.8899999999999</v>
      </c>
      <c r="X87" s="327">
        <f t="shared" si="204"/>
        <v>1451.8899999999999</v>
      </c>
      <c r="Y87" s="327">
        <f t="shared" si="204"/>
        <v>1451.8899999999999</v>
      </c>
      <c r="Z87" s="327">
        <f t="shared" si="204"/>
        <v>1516.9</v>
      </c>
      <c r="AA87" s="327">
        <f t="shared" si="204"/>
        <v>1516.9</v>
      </c>
      <c r="AB87" s="327">
        <f t="shared" si="204"/>
        <v>1516.9</v>
      </c>
      <c r="AC87" s="327">
        <f t="shared" si="204"/>
        <v>1516.9</v>
      </c>
      <c r="AD87" s="327">
        <f t="shared" si="204"/>
        <v>1516.9</v>
      </c>
      <c r="AE87" s="327">
        <f t="shared" si="204"/>
        <v>0</v>
      </c>
      <c r="AF87" s="327">
        <f t="shared" si="204"/>
        <v>0</v>
      </c>
      <c r="AG87" s="327">
        <f t="shared" si="204"/>
        <v>0</v>
      </c>
    </row>
    <row r="88" spans="1:33" s="649" customFormat="1" ht="17.25" customHeight="1" outlineLevel="2">
      <c r="A88" s="894"/>
      <c r="B88" s="287"/>
      <c r="C88" s="24" t="str">
        <f>Product_04</f>
        <v>Software Products</v>
      </c>
      <c r="D88" s="8" t="str">
        <f t="shared" si="200"/>
        <v>USD</v>
      </c>
      <c r="E88" s="327"/>
      <c r="F88" s="327"/>
      <c r="G88" s="357"/>
      <c r="H88" s="327"/>
      <c r="I88" s="71">
        <f t="shared" si="201"/>
        <v>34691.699999999997</v>
      </c>
      <c r="J88" s="327">
        <f t="shared" ref="J88:AG88" si="205">$F73*J73*(1-bad_debts)</f>
        <v>1625.25</v>
      </c>
      <c r="K88" s="327">
        <f t="shared" si="205"/>
        <v>1684.35</v>
      </c>
      <c r="L88" s="327">
        <f t="shared" si="205"/>
        <v>1684.35</v>
      </c>
      <c r="M88" s="327">
        <f t="shared" si="205"/>
        <v>1684.35</v>
      </c>
      <c r="N88" s="327">
        <f t="shared" si="205"/>
        <v>1684.35</v>
      </c>
      <c r="O88" s="327">
        <f t="shared" si="205"/>
        <v>1684.35</v>
      </c>
      <c r="P88" s="327">
        <f t="shared" si="205"/>
        <v>1684.35</v>
      </c>
      <c r="Q88" s="327">
        <f t="shared" si="205"/>
        <v>1625.25</v>
      </c>
      <c r="R88" s="327">
        <f t="shared" si="205"/>
        <v>1625.25</v>
      </c>
      <c r="S88" s="327">
        <f t="shared" si="205"/>
        <v>1625.25</v>
      </c>
      <c r="T88" s="327">
        <f t="shared" si="205"/>
        <v>1625.25</v>
      </c>
      <c r="U88" s="327">
        <f t="shared" si="205"/>
        <v>1625.25</v>
      </c>
      <c r="V88" s="327">
        <f t="shared" si="205"/>
        <v>1625.25</v>
      </c>
      <c r="W88" s="327">
        <f t="shared" si="205"/>
        <v>1625.25</v>
      </c>
      <c r="X88" s="327">
        <f t="shared" si="205"/>
        <v>1625.25</v>
      </c>
      <c r="Y88" s="327">
        <f t="shared" si="205"/>
        <v>1625.25</v>
      </c>
      <c r="Z88" s="327">
        <f t="shared" si="205"/>
        <v>1625.25</v>
      </c>
      <c r="AA88" s="327">
        <f t="shared" si="205"/>
        <v>1625.25</v>
      </c>
      <c r="AB88" s="327">
        <f t="shared" si="205"/>
        <v>1625.25</v>
      </c>
      <c r="AC88" s="327">
        <f t="shared" si="205"/>
        <v>1625.25</v>
      </c>
      <c r="AD88" s="327">
        <f t="shared" si="205"/>
        <v>1832.1</v>
      </c>
      <c r="AE88" s="327">
        <f t="shared" si="205"/>
        <v>0</v>
      </c>
      <c r="AF88" s="327">
        <f t="shared" si="205"/>
        <v>0</v>
      </c>
      <c r="AG88" s="327">
        <f t="shared" si="205"/>
        <v>0</v>
      </c>
    </row>
    <row r="89" spans="1:33" s="649" customFormat="1" ht="17.25" customHeight="1" outlineLevel="2">
      <c r="A89" s="894"/>
      <c r="B89" s="287"/>
      <c r="C89" s="24" t="str">
        <f>Product_05</f>
        <v>Net work infrastructure solutions</v>
      </c>
      <c r="D89" s="8" t="str">
        <f t="shared" si="200"/>
        <v>USD</v>
      </c>
      <c r="E89" s="327"/>
      <c r="F89" s="327"/>
      <c r="G89" s="357"/>
      <c r="H89" s="327"/>
      <c r="I89" s="71">
        <f t="shared" si="201"/>
        <v>8227.7061871996066</v>
      </c>
      <c r="J89" s="327">
        <f t="shared" ref="J89:AG89" si="206">$F74*J74*(1-bad_debts)</f>
        <v>354.6</v>
      </c>
      <c r="K89" s="327">
        <f t="shared" si="206"/>
        <v>354.6</v>
      </c>
      <c r="L89" s="327">
        <f t="shared" si="206"/>
        <v>354.6</v>
      </c>
      <c r="M89" s="327">
        <f t="shared" si="206"/>
        <v>354.6</v>
      </c>
      <c r="N89" s="327">
        <f t="shared" si="206"/>
        <v>354.6</v>
      </c>
      <c r="O89" s="327">
        <f t="shared" si="206"/>
        <v>354.6</v>
      </c>
      <c r="P89" s="327">
        <f t="shared" si="206"/>
        <v>354.6</v>
      </c>
      <c r="Q89" s="327">
        <f t="shared" si="206"/>
        <v>354.6</v>
      </c>
      <c r="R89" s="327">
        <f t="shared" si="206"/>
        <v>394</v>
      </c>
      <c r="S89" s="327">
        <f t="shared" si="206"/>
        <v>394</v>
      </c>
      <c r="T89" s="327">
        <f t="shared" si="206"/>
        <v>397.94</v>
      </c>
      <c r="U89" s="327">
        <f t="shared" si="206"/>
        <v>401.9194</v>
      </c>
      <c r="V89" s="327">
        <f t="shared" si="206"/>
        <v>405.93859400000002</v>
      </c>
      <c r="W89" s="327">
        <f t="shared" si="206"/>
        <v>409.99797993999999</v>
      </c>
      <c r="X89" s="327">
        <f t="shared" si="206"/>
        <v>414.09795973940004</v>
      </c>
      <c r="Y89" s="327">
        <f t="shared" si="206"/>
        <v>418.23893933679398</v>
      </c>
      <c r="Z89" s="327">
        <f t="shared" si="206"/>
        <v>422.42132873016197</v>
      </c>
      <c r="AA89" s="327">
        <f t="shared" si="206"/>
        <v>426.64554201746364</v>
      </c>
      <c r="AB89" s="327">
        <f t="shared" si="206"/>
        <v>430.91199743763821</v>
      </c>
      <c r="AC89" s="327">
        <f t="shared" si="206"/>
        <v>435.22111741201462</v>
      </c>
      <c r="AD89" s="327">
        <f t="shared" si="206"/>
        <v>439.57332858613478</v>
      </c>
      <c r="AE89" s="327">
        <f t="shared" si="206"/>
        <v>0</v>
      </c>
      <c r="AF89" s="327">
        <f t="shared" si="206"/>
        <v>0</v>
      </c>
      <c r="AG89" s="327">
        <f t="shared" si="206"/>
        <v>0</v>
      </c>
    </row>
    <row r="90" spans="1:33" s="649" customFormat="1" ht="17.25" customHeight="1" outlineLevel="2">
      <c r="A90" s="894"/>
      <c r="B90" s="287"/>
      <c r="C90" s="24" t="str">
        <f>Product_06</f>
        <v>Repair Services</v>
      </c>
      <c r="D90" s="8" t="str">
        <f t="shared" si="200"/>
        <v>USD</v>
      </c>
      <c r="E90" s="327"/>
      <c r="F90" s="327"/>
      <c r="G90" s="357"/>
      <c r="H90" s="327"/>
      <c r="I90" s="71">
        <f t="shared" si="201"/>
        <v>55379.063999999969</v>
      </c>
      <c r="J90" s="327">
        <f t="shared" ref="J90:AG90" si="207">$F75*J75*(1-bad_debts)</f>
        <v>2756.424</v>
      </c>
      <c r="K90" s="327">
        <f t="shared" si="207"/>
        <v>2756.424</v>
      </c>
      <c r="L90" s="327">
        <f t="shared" si="207"/>
        <v>2756.424</v>
      </c>
      <c r="M90" s="327">
        <f t="shared" si="207"/>
        <v>2756.424</v>
      </c>
      <c r="N90" s="327">
        <f t="shared" si="207"/>
        <v>2756.424</v>
      </c>
      <c r="O90" s="327">
        <f t="shared" si="207"/>
        <v>2756.424</v>
      </c>
      <c r="P90" s="327">
        <f t="shared" si="207"/>
        <v>2756.424</v>
      </c>
      <c r="Q90" s="327">
        <f t="shared" si="207"/>
        <v>2756.424</v>
      </c>
      <c r="R90" s="327">
        <f t="shared" si="207"/>
        <v>2756.424</v>
      </c>
      <c r="S90" s="327">
        <f t="shared" si="207"/>
        <v>2756.424</v>
      </c>
      <c r="T90" s="327">
        <f t="shared" si="207"/>
        <v>2756.424</v>
      </c>
      <c r="U90" s="327">
        <f t="shared" si="207"/>
        <v>2505.84</v>
      </c>
      <c r="V90" s="327">
        <f t="shared" si="207"/>
        <v>2505.84</v>
      </c>
      <c r="W90" s="327">
        <f t="shared" si="207"/>
        <v>2505.84</v>
      </c>
      <c r="X90" s="327">
        <f t="shared" si="207"/>
        <v>2505.84</v>
      </c>
      <c r="Y90" s="327">
        <f t="shared" si="207"/>
        <v>2505.84</v>
      </c>
      <c r="Z90" s="327">
        <f t="shared" si="207"/>
        <v>2505.84</v>
      </c>
      <c r="AA90" s="327">
        <f t="shared" si="207"/>
        <v>2505.84</v>
      </c>
      <c r="AB90" s="327">
        <f t="shared" si="207"/>
        <v>2505.84</v>
      </c>
      <c r="AC90" s="327">
        <f t="shared" si="207"/>
        <v>2505.84</v>
      </c>
      <c r="AD90" s="327">
        <f t="shared" si="207"/>
        <v>2505.84</v>
      </c>
      <c r="AE90" s="327">
        <f t="shared" si="207"/>
        <v>0</v>
      </c>
      <c r="AF90" s="327">
        <f t="shared" si="207"/>
        <v>0</v>
      </c>
      <c r="AG90" s="327">
        <f t="shared" si="207"/>
        <v>0</v>
      </c>
    </row>
    <row r="91" spans="1:33" s="649" customFormat="1" ht="17.25" customHeight="1" outlineLevel="2">
      <c r="A91" s="894"/>
      <c r="B91" s="287"/>
      <c r="C91" s="24" t="str">
        <f>Product_07</f>
        <v>Integration Services</v>
      </c>
      <c r="D91" s="8" t="str">
        <f t="shared" si="200"/>
        <v>USD</v>
      </c>
      <c r="E91" s="327"/>
      <c r="F91" s="327"/>
      <c r="G91" s="357"/>
      <c r="H91" s="327"/>
      <c r="I91" s="71">
        <f t="shared" si="201"/>
        <v>79588</v>
      </c>
      <c r="J91" s="327">
        <f t="shared" ref="J91:AG91" si="208">$F76*J76*(1-bad_debts)</f>
        <v>3546</v>
      </c>
      <c r="K91" s="327">
        <f t="shared" si="208"/>
        <v>3546</v>
      </c>
      <c r="L91" s="327">
        <f t="shared" si="208"/>
        <v>3546</v>
      </c>
      <c r="M91" s="327">
        <f t="shared" si="208"/>
        <v>3546</v>
      </c>
      <c r="N91" s="327">
        <f t="shared" si="208"/>
        <v>3546</v>
      </c>
      <c r="O91" s="327">
        <f t="shared" si="208"/>
        <v>3546</v>
      </c>
      <c r="P91" s="327">
        <f t="shared" si="208"/>
        <v>3546</v>
      </c>
      <c r="Q91" s="327">
        <f t="shared" si="208"/>
        <v>3546</v>
      </c>
      <c r="R91" s="327">
        <f t="shared" si="208"/>
        <v>3940</v>
      </c>
      <c r="S91" s="327">
        <f t="shared" si="208"/>
        <v>3940</v>
      </c>
      <c r="T91" s="327">
        <f t="shared" si="208"/>
        <v>3940</v>
      </c>
      <c r="U91" s="327">
        <f t="shared" si="208"/>
        <v>3940</v>
      </c>
      <c r="V91" s="327">
        <f t="shared" si="208"/>
        <v>3940</v>
      </c>
      <c r="W91" s="327">
        <f t="shared" si="208"/>
        <v>3940</v>
      </c>
      <c r="X91" s="327">
        <f t="shared" si="208"/>
        <v>3940</v>
      </c>
      <c r="Y91" s="327">
        <f t="shared" si="208"/>
        <v>3940</v>
      </c>
      <c r="Z91" s="327">
        <f t="shared" si="208"/>
        <v>3940</v>
      </c>
      <c r="AA91" s="327">
        <f t="shared" si="208"/>
        <v>3940</v>
      </c>
      <c r="AB91" s="327">
        <f t="shared" si="208"/>
        <v>3940</v>
      </c>
      <c r="AC91" s="327">
        <f t="shared" si="208"/>
        <v>3940</v>
      </c>
      <c r="AD91" s="327">
        <f t="shared" si="208"/>
        <v>3940</v>
      </c>
      <c r="AE91" s="327">
        <f t="shared" si="208"/>
        <v>0</v>
      </c>
      <c r="AF91" s="327">
        <f t="shared" si="208"/>
        <v>0</v>
      </c>
      <c r="AG91" s="327">
        <f t="shared" si="208"/>
        <v>0</v>
      </c>
    </row>
    <row r="92" spans="1:33" s="649" customFormat="1" ht="17.25" customHeight="1" outlineLevel="2">
      <c r="A92" s="894"/>
      <c r="B92" s="287"/>
      <c r="C92" s="24" t="str">
        <f>Product_08</f>
        <v>Consulting Services</v>
      </c>
      <c r="D92" s="8" t="str">
        <f t="shared" si="200"/>
        <v>USD</v>
      </c>
      <c r="E92" s="327"/>
      <c r="F92" s="327"/>
      <c r="G92" s="357"/>
      <c r="H92" s="327"/>
      <c r="I92" s="71">
        <f t="shared" si="201"/>
        <v>86778.287816931246</v>
      </c>
      <c r="J92" s="327">
        <f t="shared" ref="J92:AG92" si="209">$F77*J77*(1-bad_debts)</f>
        <v>3734.1349999999998</v>
      </c>
      <c r="K92" s="327">
        <f t="shared" si="209"/>
        <v>3771.4763499999999</v>
      </c>
      <c r="L92" s="327">
        <f t="shared" si="209"/>
        <v>3809.1911135</v>
      </c>
      <c r="M92" s="327">
        <f t="shared" si="209"/>
        <v>3847.2830246350004</v>
      </c>
      <c r="N92" s="327">
        <f t="shared" si="209"/>
        <v>3885.7558548813504</v>
      </c>
      <c r="O92" s="327">
        <f t="shared" si="209"/>
        <v>3924.6134134301642</v>
      </c>
      <c r="P92" s="327">
        <f t="shared" si="209"/>
        <v>3963.8595475644661</v>
      </c>
      <c r="Q92" s="327">
        <f t="shared" si="209"/>
        <v>4003.4981430401112</v>
      </c>
      <c r="R92" s="327">
        <f t="shared" si="209"/>
        <v>4043.5331244705126</v>
      </c>
      <c r="S92" s="327">
        <f t="shared" si="209"/>
        <v>4083.9684557152177</v>
      </c>
      <c r="T92" s="327">
        <f t="shared" si="209"/>
        <v>4124.808140272371</v>
      </c>
      <c r="U92" s="327">
        <f t="shared" si="209"/>
        <v>4166.0562216750941</v>
      </c>
      <c r="V92" s="327">
        <f t="shared" si="209"/>
        <v>4207.7167838918449</v>
      </c>
      <c r="W92" s="327">
        <f t="shared" si="209"/>
        <v>4249.7939517307641</v>
      </c>
      <c r="X92" s="327">
        <f t="shared" si="209"/>
        <v>4292.2918912480718</v>
      </c>
      <c r="Y92" s="327">
        <f t="shared" si="209"/>
        <v>4335.2148101605526</v>
      </c>
      <c r="Z92" s="327">
        <f t="shared" si="209"/>
        <v>4378.5669582621586</v>
      </c>
      <c r="AA92" s="327">
        <f t="shared" si="209"/>
        <v>4422.3526278447798</v>
      </c>
      <c r="AB92" s="327">
        <f t="shared" si="209"/>
        <v>4466.5761541232268</v>
      </c>
      <c r="AC92" s="327">
        <f t="shared" si="209"/>
        <v>4511.2419156644592</v>
      </c>
      <c r="AD92" s="327">
        <f t="shared" si="209"/>
        <v>4556.3543348211042</v>
      </c>
      <c r="AE92" s="327">
        <f t="shared" si="209"/>
        <v>0</v>
      </c>
      <c r="AF92" s="327">
        <f t="shared" si="209"/>
        <v>0</v>
      </c>
      <c r="AG92" s="327">
        <f t="shared" si="209"/>
        <v>0</v>
      </c>
    </row>
    <row r="93" spans="1:33" s="649" customFormat="1" ht="17.25" customHeight="1" outlineLevel="2">
      <c r="A93" s="894"/>
      <c r="B93" s="287"/>
      <c r="C93" s="24" t="str">
        <f>Product_09</f>
        <v>Spare Parts</v>
      </c>
      <c r="D93" s="8" t="str">
        <f t="shared" si="200"/>
        <v>USD</v>
      </c>
      <c r="E93" s="327"/>
      <c r="F93" s="327"/>
      <c r="G93" s="357"/>
      <c r="H93" s="327"/>
      <c r="I93" s="71">
        <f t="shared" si="201"/>
        <v>39331.050000000017</v>
      </c>
      <c r="J93" s="327">
        <f t="shared" ref="J93:AG93" si="210">$F78*J78*(1-bad_debts)</f>
        <v>1896.125</v>
      </c>
      <c r="K93" s="327">
        <f t="shared" si="210"/>
        <v>2004.4749999999999</v>
      </c>
      <c r="L93" s="327">
        <f t="shared" si="210"/>
        <v>2004.4749999999999</v>
      </c>
      <c r="M93" s="327">
        <f t="shared" si="210"/>
        <v>2004.4749999999999</v>
      </c>
      <c r="N93" s="327">
        <f t="shared" si="210"/>
        <v>2004.4749999999999</v>
      </c>
      <c r="O93" s="327">
        <f t="shared" si="210"/>
        <v>2004.4749999999999</v>
      </c>
      <c r="P93" s="327">
        <f t="shared" si="210"/>
        <v>2004.4749999999999</v>
      </c>
      <c r="Q93" s="327">
        <f t="shared" si="210"/>
        <v>1787.7749999999999</v>
      </c>
      <c r="R93" s="327">
        <f t="shared" si="210"/>
        <v>1787.7749999999999</v>
      </c>
      <c r="S93" s="327">
        <f t="shared" si="210"/>
        <v>1787.7749999999999</v>
      </c>
      <c r="T93" s="327">
        <f t="shared" si="210"/>
        <v>1787.7749999999999</v>
      </c>
      <c r="U93" s="327">
        <f t="shared" si="210"/>
        <v>1787.7749999999999</v>
      </c>
      <c r="V93" s="327">
        <f t="shared" si="210"/>
        <v>1787.7749999999999</v>
      </c>
      <c r="W93" s="327">
        <f t="shared" si="210"/>
        <v>1787.7749999999999</v>
      </c>
      <c r="X93" s="327">
        <f t="shared" si="210"/>
        <v>1787.7749999999999</v>
      </c>
      <c r="Y93" s="327">
        <f t="shared" si="210"/>
        <v>1787.7749999999999</v>
      </c>
      <c r="Z93" s="327">
        <f t="shared" si="210"/>
        <v>1787.7749999999999</v>
      </c>
      <c r="AA93" s="327">
        <f t="shared" si="210"/>
        <v>1787.7749999999999</v>
      </c>
      <c r="AB93" s="327">
        <f t="shared" si="210"/>
        <v>1787.7749999999999</v>
      </c>
      <c r="AC93" s="327">
        <f t="shared" si="210"/>
        <v>1787.7749999999999</v>
      </c>
      <c r="AD93" s="327">
        <f t="shared" si="210"/>
        <v>2167</v>
      </c>
      <c r="AE93" s="327">
        <f t="shared" si="210"/>
        <v>0</v>
      </c>
      <c r="AF93" s="327">
        <f t="shared" si="210"/>
        <v>0</v>
      </c>
      <c r="AG93" s="327">
        <f t="shared" si="210"/>
        <v>0</v>
      </c>
    </row>
    <row r="94" spans="1:33" s="649" customFormat="1" ht="17.25" customHeight="1" outlineLevel="2">
      <c r="A94" s="894"/>
      <c r="B94" s="287"/>
      <c r="C94" s="24" t="str">
        <f>Product_10</f>
        <v>License Fees</v>
      </c>
      <c r="D94" s="8" t="str">
        <f t="shared" si="200"/>
        <v>USD</v>
      </c>
      <c r="E94" s="327"/>
      <c r="F94" s="327"/>
      <c r="G94" s="357"/>
      <c r="H94" s="327"/>
      <c r="I94" s="71">
        <f t="shared" si="201"/>
        <v>0</v>
      </c>
      <c r="J94" s="327">
        <f t="shared" ref="J94:AG94" si="211">$F79*J79*(1-bad_debts)</f>
        <v>0</v>
      </c>
      <c r="K94" s="327">
        <f t="shared" si="211"/>
        <v>0</v>
      </c>
      <c r="L94" s="327">
        <f t="shared" si="211"/>
        <v>0</v>
      </c>
      <c r="M94" s="327">
        <f t="shared" si="211"/>
        <v>0</v>
      </c>
      <c r="N94" s="327">
        <f t="shared" si="211"/>
        <v>0</v>
      </c>
      <c r="O94" s="327">
        <f t="shared" si="211"/>
        <v>0</v>
      </c>
      <c r="P94" s="327">
        <f t="shared" si="211"/>
        <v>0</v>
      </c>
      <c r="Q94" s="327">
        <f t="shared" si="211"/>
        <v>0</v>
      </c>
      <c r="R94" s="327">
        <f t="shared" si="211"/>
        <v>0</v>
      </c>
      <c r="S94" s="327">
        <f t="shared" si="211"/>
        <v>0</v>
      </c>
      <c r="T94" s="327">
        <f t="shared" si="211"/>
        <v>0</v>
      </c>
      <c r="U94" s="327">
        <f t="shared" si="211"/>
        <v>0</v>
      </c>
      <c r="V94" s="327">
        <f t="shared" si="211"/>
        <v>0</v>
      </c>
      <c r="W94" s="327">
        <f t="shared" si="211"/>
        <v>0</v>
      </c>
      <c r="X94" s="327">
        <f t="shared" si="211"/>
        <v>0</v>
      </c>
      <c r="Y94" s="327">
        <f t="shared" si="211"/>
        <v>0</v>
      </c>
      <c r="Z94" s="327">
        <f t="shared" si="211"/>
        <v>0</v>
      </c>
      <c r="AA94" s="327">
        <f t="shared" si="211"/>
        <v>0</v>
      </c>
      <c r="AB94" s="327">
        <f t="shared" si="211"/>
        <v>0</v>
      </c>
      <c r="AC94" s="327">
        <f t="shared" si="211"/>
        <v>0</v>
      </c>
      <c r="AD94" s="327">
        <f t="shared" si="211"/>
        <v>0</v>
      </c>
      <c r="AE94" s="327">
        <f t="shared" si="211"/>
        <v>0</v>
      </c>
      <c r="AF94" s="327">
        <f t="shared" si="211"/>
        <v>0</v>
      </c>
      <c r="AG94" s="327">
        <f t="shared" si="211"/>
        <v>0</v>
      </c>
    </row>
    <row r="95" spans="1:33" ht="17.25" customHeight="1" outlineLevel="2" thickBot="1">
      <c r="A95" s="894"/>
      <c r="B95" s="241"/>
      <c r="C95" s="268" t="str">
        <f>"Total " &amp;Name_VAT &amp;" on Sales"</f>
        <v>Total VAT on Sales</v>
      </c>
      <c r="D95" s="8" t="str">
        <f t="shared" si="200"/>
        <v>USD</v>
      </c>
      <c r="E95" s="327"/>
      <c r="F95" s="327"/>
      <c r="G95" s="357"/>
      <c r="H95" s="357"/>
      <c r="I95" s="71">
        <f t="shared" si="201"/>
        <v>543317.31800413085</v>
      </c>
      <c r="J95" s="692">
        <f t="shared" ref="J95" si="212">SUM(J85:J94)</f>
        <v>24629.333999999999</v>
      </c>
      <c r="K95" s="692">
        <f t="shared" ref="K95" si="213">SUM(K85:K94)</f>
        <v>25720.625349999998</v>
      </c>
      <c r="L95" s="692">
        <f t="shared" ref="L95" si="214">SUM(L85:L94)</f>
        <v>25758.340113499999</v>
      </c>
      <c r="M95" s="692">
        <f t="shared" ref="M95" si="215">SUM(M85:M94)</f>
        <v>25796.432024634996</v>
      </c>
      <c r="N95" s="692">
        <f t="shared" ref="N95" si="216">SUM(N85:N94)</f>
        <v>25834.904854881348</v>
      </c>
      <c r="O95" s="692">
        <f t="shared" ref="O95" si="217">SUM(O85:O94)</f>
        <v>25873.762413430162</v>
      </c>
      <c r="P95" s="692">
        <f t="shared" ref="P95" si="218">SUM(P85:P94)</f>
        <v>25913.008547564463</v>
      </c>
      <c r="Q95" s="692">
        <f t="shared" ref="Q95" si="219">SUM(Q85:Q94)</f>
        <v>24942.037143040114</v>
      </c>
      <c r="R95" s="692">
        <f t="shared" ref="R95" si="220">SUM(R85:R94)</f>
        <v>25415.472124470511</v>
      </c>
      <c r="S95" s="692">
        <f t="shared" ref="S95" si="221">SUM(S85:S94)</f>
        <v>25909.007455715218</v>
      </c>
      <c r="T95" s="692">
        <f t="shared" ref="T95" si="222">SUM(T85:T94)</f>
        <v>25953.787140272369</v>
      </c>
      <c r="U95" s="692">
        <f t="shared" ref="U95" si="223">SUM(U85:U94)</f>
        <v>25748.430621675096</v>
      </c>
      <c r="V95" s="692">
        <f t="shared" ref="V95" si="224">SUM(V85:V94)</f>
        <v>25794.110377891848</v>
      </c>
      <c r="W95" s="692">
        <f t="shared" ref="W95" si="225">SUM(W85:W94)</f>
        <v>25840.246931670765</v>
      </c>
      <c r="X95" s="692">
        <f t="shared" ref="X95" si="226">SUM(X85:X94)</f>
        <v>25886.844850987469</v>
      </c>
      <c r="Y95" s="692">
        <f t="shared" ref="Y95" si="227">SUM(Y85:Y94)</f>
        <v>25933.908749497346</v>
      </c>
      <c r="Z95" s="692">
        <f t="shared" ref="Z95" si="228">SUM(Z85:Z94)</f>
        <v>26046.453286992324</v>
      </c>
      <c r="AA95" s="692">
        <f t="shared" ref="AA95" si="229">SUM(AA85:AA94)</f>
        <v>26094.463169862243</v>
      </c>
      <c r="AB95" s="692">
        <f t="shared" ref="AB95" si="230">SUM(AB85:AB94)</f>
        <v>26142.953151560869</v>
      </c>
      <c r="AC95" s="692">
        <f t="shared" ref="AC95" si="231">SUM(AC85:AC94)</f>
        <v>25965.378033076478</v>
      </c>
      <c r="AD95" s="692">
        <f t="shared" ref="AD95" si="232">SUM(AD85:AD94)</f>
        <v>28117.817663407237</v>
      </c>
      <c r="AE95" s="692">
        <f t="shared" ref="AE95" si="233">SUM(AE85:AE94)</f>
        <v>0</v>
      </c>
      <c r="AF95" s="692">
        <f t="shared" ref="AF95" si="234">SUM(AF85:AF94)</f>
        <v>0</v>
      </c>
      <c r="AG95" s="692">
        <f t="shared" ref="AG95" si="235">SUM(AG85:AG94)</f>
        <v>0</v>
      </c>
    </row>
    <row r="96" spans="1:33" ht="17.25" customHeight="1" outlineLevel="2" thickTop="1">
      <c r="A96" s="894"/>
      <c r="B96" s="241"/>
      <c r="C96" s="241"/>
      <c r="D96" s="241"/>
      <c r="E96" s="241"/>
      <c r="F96" s="241"/>
      <c r="G96" s="241"/>
      <c r="H96" s="241"/>
      <c r="I96" s="241"/>
      <c r="J96" s="241"/>
      <c r="K96" s="241"/>
      <c r="L96" s="241"/>
      <c r="M96" s="241"/>
      <c r="N96" s="241"/>
      <c r="O96" s="241"/>
      <c r="P96" s="241"/>
      <c r="Q96" s="241"/>
      <c r="R96" s="241"/>
      <c r="S96" s="241"/>
      <c r="T96" s="241"/>
      <c r="U96" s="241"/>
      <c r="V96" s="241"/>
      <c r="W96" s="241"/>
      <c r="X96" s="241"/>
      <c r="Y96" s="241"/>
      <c r="Z96" s="241"/>
      <c r="AA96" s="241"/>
      <c r="AB96" s="241"/>
      <c r="AC96" s="241"/>
      <c r="AD96" s="241"/>
      <c r="AE96" s="241"/>
      <c r="AF96" s="241"/>
      <c r="AG96" s="241"/>
    </row>
    <row r="97" spans="1:33" ht="16.5" customHeight="1" outlineLevel="1">
      <c r="A97" s="894"/>
      <c r="B97" s="241"/>
      <c r="C97" s="241"/>
      <c r="D97" s="241"/>
      <c r="E97" s="241"/>
      <c r="F97" s="241"/>
      <c r="G97" s="241"/>
      <c r="H97" s="241"/>
      <c r="I97" s="241"/>
      <c r="J97" s="241"/>
      <c r="K97" s="241"/>
      <c r="L97" s="241"/>
      <c r="M97" s="241"/>
      <c r="N97" s="241"/>
      <c r="O97" s="241"/>
      <c r="P97" s="241"/>
      <c r="Q97" s="241"/>
      <c r="R97" s="241"/>
      <c r="S97" s="241"/>
      <c r="T97" s="241"/>
      <c r="U97" s="241"/>
      <c r="V97" s="241"/>
      <c r="W97" s="241"/>
      <c r="X97" s="241"/>
      <c r="Y97" s="241"/>
      <c r="Z97" s="241"/>
      <c r="AA97" s="241"/>
      <c r="AB97" s="241"/>
      <c r="AC97" s="241"/>
      <c r="AD97" s="241"/>
      <c r="AE97" s="241"/>
      <c r="AF97" s="241"/>
      <c r="AG97" s="241"/>
    </row>
    <row r="98" spans="1:33" s="241" customFormat="1" ht="17.25" customHeight="1">
      <c r="A98" s="894"/>
    </row>
    <row r="99" spans="1:33" s="241" customFormat="1" ht="17.25" customHeight="1">
      <c r="A99" s="894"/>
    </row>
    <row r="100" spans="1:33" s="241" customFormat="1" ht="17.25" customHeight="1"/>
    <row r="101" spans="1:33" s="241" customFormat="1" ht="17.25" customHeight="1"/>
    <row r="102" spans="1:33" s="894" customFormat="1" ht="17.25" customHeight="1"/>
    <row r="103" spans="1:33" s="894" customFormat="1" ht="17.25" customHeight="1"/>
    <row r="104" spans="1:33" s="894" customFormat="1" ht="17.25" customHeight="1"/>
    <row r="105" spans="1:33" s="894" customFormat="1" ht="17.25" customHeight="1"/>
    <row r="106" spans="1:33" s="894" customFormat="1" ht="17.25" customHeight="1"/>
    <row r="107" spans="1:33" s="894" customFormat="1" ht="17.25" customHeight="1"/>
    <row r="108" spans="1:33" s="894" customFormat="1" ht="17.25" customHeight="1"/>
    <row r="109" spans="1:33" s="894" customFormat="1" ht="17.25" customHeight="1"/>
    <row r="110" spans="1:33" s="894" customFormat="1" ht="17.25" customHeight="1"/>
    <row r="111" spans="1:33" s="894" customFormat="1" ht="17.25" customHeight="1"/>
    <row r="112" spans="1:33" s="241" customFormat="1" ht="17.25" customHeight="1"/>
    <row r="113" s="241" customFormat="1" ht="17.25" customHeight="1"/>
    <row r="114" s="241" customFormat="1" ht="17.25" customHeight="1"/>
    <row r="115" s="241" customFormat="1" ht="17.25" customHeight="1"/>
    <row r="116" s="241" customFormat="1" ht="17.25" customHeight="1"/>
    <row r="117" s="241" customFormat="1" ht="17.25" customHeight="1"/>
    <row r="118" s="241" customFormat="1" ht="17.25" customHeight="1"/>
    <row r="119" s="241" customFormat="1" ht="17.25" customHeight="1"/>
    <row r="120" s="241" customFormat="1" ht="17.25" customHeight="1"/>
    <row r="121" s="241" customFormat="1" ht="17.25" customHeight="1"/>
    <row r="122" s="241" customFormat="1" ht="17.25" customHeight="1"/>
    <row r="123" s="241" customFormat="1" ht="17.25" customHeight="1"/>
    <row r="124" s="241" customFormat="1" ht="17.25" customHeight="1"/>
    <row r="125" s="241" customFormat="1" ht="17.25" customHeight="1"/>
    <row r="126" s="241" customFormat="1" ht="17.25" customHeight="1"/>
    <row r="127" s="241" customFormat="1" ht="17.25" customHeight="1"/>
    <row r="128" s="241" customFormat="1" ht="17.25" customHeight="1"/>
    <row r="129" s="241" customFormat="1" ht="17.25" customHeight="1"/>
    <row r="130" s="241" customFormat="1" ht="17.25" customHeight="1"/>
  </sheetData>
  <sheetProtection password="F66A" sheet="1"/>
  <conditionalFormatting sqref="K29:AG29 J30:AG30 J33:AG34 J37:AG38 K41:AG42 K45:AG46 K49:AG50 K53:AG54 K57:AG58 K61:AG62 K26:AG26 L25:AG25 J80:AG80 J11:AG20 J95:AG95">
    <cfRule type="expression" dxfId="402" priority="244" stopIfTrue="1">
      <formula>J$6=0</formula>
    </cfRule>
  </conditionalFormatting>
  <conditionalFormatting sqref="E70 E85:E95">
    <cfRule type="expression" dxfId="401" priority="160">
      <formula>B70=1</formula>
    </cfRule>
  </conditionalFormatting>
  <conditionalFormatting sqref="J85:AG94 J82:AG82 J70:AG79">
    <cfRule type="expression" dxfId="400" priority="149" stopIfTrue="1">
      <formula>J$6=0</formula>
    </cfRule>
  </conditionalFormatting>
  <conditionalFormatting sqref="J26">
    <cfRule type="expression" dxfId="399" priority="110" stopIfTrue="1">
      <formula>J$6=0</formula>
    </cfRule>
  </conditionalFormatting>
  <conditionalFormatting sqref="J25:K25">
    <cfRule type="expression" dxfId="398" priority="109" stopIfTrue="1">
      <formula>J$6=0</formula>
    </cfRule>
  </conditionalFormatting>
  <conditionalFormatting sqref="J29">
    <cfRule type="expression" dxfId="397" priority="106" stopIfTrue="1">
      <formula>J$6=0</formula>
    </cfRule>
  </conditionalFormatting>
  <conditionalFormatting sqref="D3">
    <cfRule type="cellIs" dxfId="396" priority="86" operator="notEqual">
      <formula>0</formula>
    </cfRule>
  </conditionalFormatting>
  <conditionalFormatting sqref="J42">
    <cfRule type="expression" dxfId="395" priority="50" stopIfTrue="1">
      <formula>J$6=0</formula>
    </cfRule>
  </conditionalFormatting>
  <conditionalFormatting sqref="J41">
    <cfRule type="expression" dxfId="394" priority="49" stopIfTrue="1">
      <formula>J$6=0</formula>
    </cfRule>
  </conditionalFormatting>
  <conditionalFormatting sqref="E71:E80">
    <cfRule type="expression" dxfId="393" priority="51">
      <formula>B71=1</formula>
    </cfRule>
  </conditionalFormatting>
  <conditionalFormatting sqref="J46">
    <cfRule type="expression" dxfId="392" priority="46" stopIfTrue="1">
      <formula>J$6=0</formula>
    </cfRule>
  </conditionalFormatting>
  <conditionalFormatting sqref="J45">
    <cfRule type="expression" dxfId="391" priority="45" stopIfTrue="1">
      <formula>J$6=0</formula>
    </cfRule>
  </conditionalFormatting>
  <conditionalFormatting sqref="J50">
    <cfRule type="expression" dxfId="390" priority="42" stopIfTrue="1">
      <formula>J$6=0</formula>
    </cfRule>
  </conditionalFormatting>
  <conditionalFormatting sqref="J49">
    <cfRule type="expression" dxfId="389" priority="41" stopIfTrue="1">
      <formula>J$6=0</formula>
    </cfRule>
  </conditionalFormatting>
  <conditionalFormatting sqref="J54">
    <cfRule type="expression" dxfId="388" priority="38" stopIfTrue="1">
      <formula>J$6=0</formula>
    </cfRule>
  </conditionalFormatting>
  <conditionalFormatting sqref="J53">
    <cfRule type="expression" dxfId="387" priority="37" stopIfTrue="1">
      <formula>J$6=0</formula>
    </cfRule>
  </conditionalFormatting>
  <conditionalFormatting sqref="J58">
    <cfRule type="expression" dxfId="386" priority="34" stopIfTrue="1">
      <formula>J$6=0</formula>
    </cfRule>
  </conditionalFormatting>
  <conditionalFormatting sqref="J57">
    <cfRule type="expression" dxfId="385" priority="33" stopIfTrue="1">
      <formula>J$6=0</formula>
    </cfRule>
  </conditionalFormatting>
  <conditionalFormatting sqref="J62">
    <cfRule type="expression" dxfId="384" priority="30" stopIfTrue="1">
      <formula>J$6=0</formula>
    </cfRule>
  </conditionalFormatting>
  <conditionalFormatting sqref="J61">
    <cfRule type="expression" dxfId="383" priority="29" stopIfTrue="1">
      <formula>J$6=0</formula>
    </cfRule>
  </conditionalFormatting>
  <conditionalFormatting sqref="E82">
    <cfRule type="expression" dxfId="382" priority="16">
      <formula>B82=1</formula>
    </cfRule>
  </conditionalFormatting>
  <conditionalFormatting sqref="K6:L6">
    <cfRule type="cellIs" dxfId="381" priority="9" stopIfTrue="1" operator="equal">
      <formula>1</formula>
    </cfRule>
  </conditionalFormatting>
  <conditionalFormatting sqref="J4">
    <cfRule type="expression" dxfId="380" priority="8" stopIfTrue="1">
      <formula>J$6=1</formula>
    </cfRule>
  </conditionalFormatting>
  <conditionalFormatting sqref="M6:Q6">
    <cfRule type="cellIs" dxfId="379" priority="7" stopIfTrue="1" operator="equal">
      <formula>1</formula>
    </cfRule>
  </conditionalFormatting>
  <conditionalFormatting sqref="J5">
    <cfRule type="expression" dxfId="378" priority="6" stopIfTrue="1">
      <formula>J$6=1</formula>
    </cfRule>
  </conditionalFormatting>
  <conditionalFormatting sqref="R6:AG6">
    <cfRule type="cellIs" dxfId="377" priority="5" stopIfTrue="1" operator="equal">
      <formula>1</formula>
    </cfRule>
  </conditionalFormatting>
  <conditionalFormatting sqref="J6:AG6">
    <cfRule type="cellIs" dxfId="376" priority="4" stopIfTrue="1" operator="equal">
      <formula>1</formula>
    </cfRule>
  </conditionalFormatting>
  <conditionalFormatting sqref="K4:AG4">
    <cfRule type="expression" dxfId="375" priority="3" stopIfTrue="1">
      <formula>K$6=1</formula>
    </cfRule>
  </conditionalFormatting>
  <conditionalFormatting sqref="L5:AG5">
    <cfRule type="expression" dxfId="374" priority="2" stopIfTrue="1">
      <formula>L$6=1</formula>
    </cfRule>
  </conditionalFormatting>
  <conditionalFormatting sqref="K5:AG5">
    <cfRule type="expression" dxfId="373" priority="1" stopIfTrue="1">
      <formula>K$6=1</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fitToWidth="5" orientation="landscape" r:id="rId1"/>
  <headerFooter>
    <oddFooter>&amp;C&amp;A&amp;R&amp;P von &amp;N</oddFooter>
  </headerFooter>
  <colBreaks count="1" manualBreakCount="1">
    <brk id="21" max="52" man="1"/>
  </col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ersonal">
    <tabColor rgb="FFFFFF00"/>
    <pageSetUpPr autoPageBreaks="0"/>
  </sheetPr>
  <dimension ref="A1:NE194"/>
  <sheetViews>
    <sheetView showGridLines="0" zoomScaleNormal="100"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1"/>
  <cols>
    <col min="1" max="2" width="4.140625" style="117" customWidth="1"/>
    <col min="3" max="3" width="39.5703125" style="117" customWidth="1"/>
    <col min="4" max="4" width="13" style="117" customWidth="1"/>
    <col min="5" max="5" width="11.140625" style="117" customWidth="1"/>
    <col min="6" max="6" width="11.5703125" style="117" customWidth="1"/>
    <col min="7" max="8" width="5.140625" style="117" customWidth="1"/>
    <col min="9" max="33" width="11.42578125" style="117" customWidth="1"/>
    <col min="34" max="369" width="0" style="117" hidden="1" customWidth="1"/>
    <col min="370" max="16384" width="11.42578125" style="117" hidden="1"/>
  </cols>
  <sheetData>
    <row r="1" spans="1:33" ht="20.25">
      <c r="A1" s="41" t="s">
        <v>263</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ht="20.25">
      <c r="A7" s="894"/>
      <c r="B7" s="241"/>
      <c r="C7" s="279" t="str">
        <f>Timing!C8</f>
        <v>Flags &amp; Counters</v>
      </c>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8" spans="1:33">
      <c r="A8" s="894"/>
      <c r="B8" s="241"/>
      <c r="C8" s="241" t="str">
        <f>Timing!C10</f>
        <v>Calendar Year</v>
      </c>
      <c r="D8" s="275" t="str">
        <f>Timing!D10</f>
        <v>year</v>
      </c>
      <c r="E8" s="241"/>
      <c r="F8" s="241"/>
      <c r="G8" s="241"/>
      <c r="H8" s="241"/>
      <c r="I8" s="241"/>
      <c r="J8" s="241">
        <f>Timing!J10</f>
        <v>2019</v>
      </c>
      <c r="K8" s="241">
        <f>Timing!K10</f>
        <v>2019</v>
      </c>
      <c r="L8" s="241">
        <f>Timing!L10</f>
        <v>2019</v>
      </c>
      <c r="M8" s="241">
        <f>Timing!M10</f>
        <v>2019</v>
      </c>
      <c r="N8" s="241">
        <f>Timing!N10</f>
        <v>2019</v>
      </c>
      <c r="O8" s="241">
        <f>Timing!O10</f>
        <v>2019</v>
      </c>
      <c r="P8" s="241">
        <f>Timing!P10</f>
        <v>2019</v>
      </c>
      <c r="Q8" s="241">
        <f>Timing!Q10</f>
        <v>2019</v>
      </c>
      <c r="R8" s="241">
        <f>Timing!R10</f>
        <v>2019</v>
      </c>
      <c r="S8" s="241">
        <f>Timing!S10</f>
        <v>2019</v>
      </c>
      <c r="T8" s="241">
        <f>Timing!T10</f>
        <v>2020</v>
      </c>
      <c r="U8" s="241">
        <f>Timing!U10</f>
        <v>2020</v>
      </c>
      <c r="V8" s="241">
        <f>Timing!V10</f>
        <v>2020</v>
      </c>
      <c r="W8" s="241">
        <f>Timing!W10</f>
        <v>2020</v>
      </c>
      <c r="X8" s="241">
        <f>Timing!X10</f>
        <v>2020</v>
      </c>
      <c r="Y8" s="241">
        <f>Timing!Y10</f>
        <v>2020</v>
      </c>
      <c r="Z8" s="241">
        <f>Timing!Z10</f>
        <v>2020</v>
      </c>
      <c r="AA8" s="241">
        <f>Timing!AA10</f>
        <v>2020</v>
      </c>
      <c r="AB8" s="241">
        <f>Timing!AB10</f>
        <v>2020</v>
      </c>
      <c r="AC8" s="241">
        <f>Timing!AC10</f>
        <v>2020</v>
      </c>
      <c r="AD8" s="241">
        <f>Timing!AD10</f>
        <v>2020</v>
      </c>
      <c r="AE8" s="241">
        <f>Timing!AE10</f>
        <v>2020</v>
      </c>
      <c r="AF8" s="241">
        <f>Timing!AF10</f>
        <v>2021</v>
      </c>
      <c r="AG8" s="241">
        <f>Timing!AG10</f>
        <v>2021</v>
      </c>
    </row>
    <row r="9" spans="1:33" s="203" customFormat="1" ht="15.75" customHeight="1">
      <c r="A9" s="894"/>
      <c r="B9" s="241"/>
      <c r="C9" s="241"/>
      <c r="D9" s="241"/>
      <c r="E9" s="287"/>
      <c r="F9" s="287"/>
      <c r="G9" s="287"/>
      <c r="H9" s="287"/>
      <c r="I9" s="287"/>
      <c r="J9" s="287"/>
      <c r="K9" s="287"/>
      <c r="L9" s="241"/>
      <c r="M9" s="241"/>
      <c r="N9" s="241"/>
      <c r="O9" s="241"/>
      <c r="P9" s="241"/>
      <c r="Q9" s="241"/>
      <c r="R9" s="241"/>
      <c r="S9" s="241"/>
      <c r="T9" s="241"/>
      <c r="U9" s="241"/>
      <c r="V9" s="241"/>
      <c r="W9" s="241"/>
      <c r="X9" s="241"/>
      <c r="Y9" s="241"/>
      <c r="Z9" s="241"/>
      <c r="AA9" s="241"/>
      <c r="AB9" s="241"/>
      <c r="AC9" s="241"/>
      <c r="AD9" s="241"/>
      <c r="AE9" s="241"/>
      <c r="AF9" s="241"/>
      <c r="AG9" s="241"/>
    </row>
    <row r="10" spans="1:33" ht="21.75" customHeight="1" thickBot="1">
      <c r="A10" s="323"/>
      <c r="B10" s="323"/>
      <c r="C10" s="323" t="s">
        <v>281</v>
      </c>
      <c r="D10" s="323"/>
      <c r="E10" s="323"/>
      <c r="F10" s="323"/>
      <c r="G10" s="323"/>
      <c r="H10" s="323"/>
      <c r="I10" s="323"/>
      <c r="J10" s="323"/>
      <c r="K10" s="323"/>
      <c r="L10" s="323"/>
      <c r="M10" s="323"/>
      <c r="N10" s="323"/>
      <c r="O10" s="323"/>
      <c r="P10" s="323"/>
      <c r="Q10" s="323"/>
      <c r="R10" s="323"/>
      <c r="S10" s="323"/>
      <c r="T10" s="323"/>
      <c r="U10" s="323"/>
      <c r="V10" s="323"/>
      <c r="W10" s="323"/>
      <c r="X10" s="323"/>
      <c r="Y10" s="323"/>
      <c r="Z10" s="323"/>
      <c r="AA10" s="323"/>
      <c r="AB10" s="323"/>
      <c r="AC10" s="323"/>
      <c r="AD10" s="323"/>
      <c r="AE10" s="323"/>
      <c r="AF10" s="323"/>
      <c r="AG10" s="323"/>
    </row>
    <row r="11" spans="1:33" ht="17.25" customHeight="1" outlineLevel="1">
      <c r="A11" s="128"/>
      <c r="B11" s="128"/>
      <c r="C11" s="275" t="s">
        <v>279</v>
      </c>
      <c r="D11" s="275"/>
      <c r="E11" s="128"/>
      <c r="F11" s="128"/>
      <c r="G11" s="128"/>
      <c r="H11" s="128"/>
      <c r="I11" s="128"/>
      <c r="J11" s="128"/>
      <c r="K11" s="128"/>
      <c r="L11" s="128"/>
      <c r="M11" s="241"/>
      <c r="N11" s="241"/>
      <c r="O11" s="241"/>
      <c r="P11" s="241"/>
      <c r="Q11" s="241"/>
      <c r="R11" s="241"/>
      <c r="S11" s="241"/>
      <c r="T11" s="241"/>
      <c r="U11" s="241"/>
      <c r="V11" s="241"/>
      <c r="W11" s="241"/>
      <c r="X11" s="241"/>
      <c r="Y11" s="241"/>
      <c r="Z11" s="241"/>
      <c r="AA11" s="241"/>
      <c r="AB11" s="241"/>
      <c r="AC11" s="241"/>
      <c r="AD11" s="241"/>
      <c r="AE11" s="241"/>
      <c r="AF11" s="241"/>
      <c r="AG11" s="241"/>
    </row>
    <row r="12" spans="1:33" ht="16.5" customHeight="1" outlineLevel="1">
      <c r="A12" s="128"/>
      <c r="B12" s="430" t="str">
        <f>IF(Inputs!B48="","",Inputs!B48)</f>
        <v>1.</v>
      </c>
      <c r="C12" s="331" t="str">
        <f>IF(Inputs!C48="","",Inputs!C48)</f>
        <v>Direct Labor Staff</v>
      </c>
      <c r="D12" s="275"/>
      <c r="E12" s="287"/>
      <c r="F12" s="287"/>
      <c r="G12" s="287"/>
      <c r="H12" s="287"/>
      <c r="I12" s="287"/>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row>
    <row r="13" spans="1:33" ht="16.5" customHeight="1" outlineLevel="1">
      <c r="A13" s="128"/>
      <c r="B13" s="128"/>
      <c r="C13" s="40" t="s">
        <v>315</v>
      </c>
      <c r="D13" s="287"/>
      <c r="E13" s="287"/>
      <c r="F13" s="287"/>
      <c r="G13" s="287"/>
      <c r="H13" s="287"/>
      <c r="I13" s="287"/>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row>
    <row r="14" spans="1:33" ht="16.5" customHeight="1" outlineLevel="1">
      <c r="A14" s="128"/>
      <c r="B14" s="128"/>
      <c r="C14" s="75" t="s">
        <v>317</v>
      </c>
      <c r="D14" s="275" t="s">
        <v>498</v>
      </c>
      <c r="E14" s="287"/>
      <c r="F14" s="287"/>
      <c r="G14" s="287"/>
      <c r="H14" s="287"/>
      <c r="I14" s="287"/>
      <c r="J14" s="129">
        <f>'Costs 02'!J83</f>
        <v>2</v>
      </c>
      <c r="K14" s="129">
        <f>'Costs 02'!K83</f>
        <v>2</v>
      </c>
      <c r="L14" s="129">
        <f>'Costs 02'!L83</f>
        <v>2</v>
      </c>
      <c r="M14" s="129">
        <f>'Costs 02'!M83</f>
        <v>2</v>
      </c>
      <c r="N14" s="129">
        <f>'Costs 02'!N83</f>
        <v>2</v>
      </c>
      <c r="O14" s="129">
        <f>'Costs 02'!O83</f>
        <v>2</v>
      </c>
      <c r="P14" s="129">
        <f>'Costs 02'!P83</f>
        <v>3</v>
      </c>
      <c r="Q14" s="129">
        <f>'Costs 02'!Q83</f>
        <v>4</v>
      </c>
      <c r="R14" s="129">
        <f>'Costs 02'!R83</f>
        <v>4</v>
      </c>
      <c r="S14" s="129">
        <f>'Costs 02'!S83</f>
        <v>4</v>
      </c>
      <c r="T14" s="129">
        <f>'Costs 02'!T83</f>
        <v>4</v>
      </c>
      <c r="U14" s="129">
        <f>'Costs 02'!U83</f>
        <v>4</v>
      </c>
      <c r="V14" s="129">
        <f>'Costs 02'!V83</f>
        <v>4</v>
      </c>
      <c r="W14" s="129">
        <f>'Costs 02'!W83</f>
        <v>4</v>
      </c>
      <c r="X14" s="129">
        <f>'Costs 02'!X83</f>
        <v>4</v>
      </c>
      <c r="Y14" s="129">
        <f>'Costs 02'!Y83</f>
        <v>4</v>
      </c>
      <c r="Z14" s="129">
        <f>'Costs 02'!Z83</f>
        <v>4</v>
      </c>
      <c r="AA14" s="129">
        <f>'Costs 02'!AA83</f>
        <v>4</v>
      </c>
      <c r="AB14" s="129">
        <f>'Costs 02'!AB83</f>
        <v>4</v>
      </c>
      <c r="AC14" s="129">
        <f>'Costs 02'!AC83</f>
        <v>4</v>
      </c>
      <c r="AD14" s="129">
        <f>'Costs 02'!AD83</f>
        <v>4</v>
      </c>
      <c r="AE14" s="129">
        <f>'Costs 02'!AE83</f>
        <v>0</v>
      </c>
      <c r="AF14" s="129">
        <f>'Costs 02'!AF83</f>
        <v>0</v>
      </c>
      <c r="AG14" s="129">
        <f>'Costs 02'!AG83</f>
        <v>0</v>
      </c>
    </row>
    <row r="15" spans="1:33" ht="16.5" customHeight="1" outlineLevel="1">
      <c r="A15" s="128"/>
      <c r="B15" s="128"/>
      <c r="C15" s="331" t="str">
        <f>IF(Inputs!C53="","",Inputs!C53)</f>
        <v/>
      </c>
      <c r="D15" s="275"/>
      <c r="E15" s="894"/>
      <c r="F15" s="894"/>
      <c r="G15" s="241"/>
      <c r="H15" s="241"/>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1"/>
    </row>
    <row r="16" spans="1:33" ht="16.5" customHeight="1" outlineLevel="1">
      <c r="A16" s="128"/>
      <c r="B16" s="430" t="str">
        <f>IF(Inputs!B54="","",Inputs!B54)</f>
        <v>2.</v>
      </c>
      <c r="C16" s="331" t="str">
        <f>IF(Inputs!C54="","",Inputs!C54)</f>
        <v>Management &amp; Administration Staff</v>
      </c>
      <c r="D16" s="275"/>
      <c r="E16" s="411" t="s">
        <v>278</v>
      </c>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row>
    <row r="17" spans="1:33" ht="16.5" customHeight="1" outlineLevel="1">
      <c r="A17" s="128"/>
      <c r="B17" s="128"/>
      <c r="C17" s="40" t="str">
        <f>IF(Inputs!C55="","",Inputs!C55)</f>
        <v>Fill in name or positon here</v>
      </c>
      <c r="D17" s="73" t="s">
        <v>39</v>
      </c>
      <c r="E17" s="799">
        <v>1</v>
      </c>
      <c r="F17" s="287"/>
      <c r="G17" s="287"/>
      <c r="H17" s="278" t="str">
        <f>IF(AND(SUMPRODUCT((J$6:AG$6),(J17:AG17))&gt;0,Inputs!G55=0),"Check base salary","")</f>
        <v/>
      </c>
      <c r="I17" s="128"/>
      <c r="J17" s="269">
        <v>1</v>
      </c>
      <c r="K17" s="269">
        <v>1</v>
      </c>
      <c r="L17" s="269">
        <v>1</v>
      </c>
      <c r="M17" s="269">
        <v>1</v>
      </c>
      <c r="N17" s="269">
        <v>1</v>
      </c>
      <c r="O17" s="269">
        <v>1</v>
      </c>
      <c r="P17" s="269">
        <v>1</v>
      </c>
      <c r="Q17" s="269">
        <v>1</v>
      </c>
      <c r="R17" s="269">
        <v>1</v>
      </c>
      <c r="S17" s="269">
        <v>1</v>
      </c>
      <c r="T17" s="269">
        <v>1</v>
      </c>
      <c r="U17" s="269">
        <v>1</v>
      </c>
      <c r="V17" s="269">
        <v>1</v>
      </c>
      <c r="W17" s="269">
        <v>1</v>
      </c>
      <c r="X17" s="269">
        <v>1</v>
      </c>
      <c r="Y17" s="269">
        <v>1</v>
      </c>
      <c r="Z17" s="269">
        <v>1</v>
      </c>
      <c r="AA17" s="269">
        <v>1</v>
      </c>
      <c r="AB17" s="269">
        <v>1</v>
      </c>
      <c r="AC17" s="269">
        <v>1</v>
      </c>
      <c r="AD17" s="269">
        <v>1</v>
      </c>
      <c r="AE17" s="269">
        <v>1</v>
      </c>
      <c r="AF17" s="269">
        <v>1</v>
      </c>
      <c r="AG17" s="269">
        <v>1</v>
      </c>
    </row>
    <row r="18" spans="1:33" ht="16.5" customHeight="1" outlineLevel="1">
      <c r="A18" s="128"/>
      <c r="B18" s="128"/>
      <c r="C18" s="40" t="str">
        <f>IF(Inputs!C56="","",Inputs!C56)</f>
        <v>Fill in name or positon here</v>
      </c>
      <c r="D18" s="73" t="s">
        <v>39</v>
      </c>
      <c r="E18" s="799">
        <v>1</v>
      </c>
      <c r="F18" s="287"/>
      <c r="G18" s="287"/>
      <c r="H18" s="278" t="str">
        <f>IF(AND(SUMPRODUCT((J$6:AG$6),(J18:AG18))&gt;0,Inputs!G56=0),"Check base salary","")</f>
        <v/>
      </c>
      <c r="I18" s="128"/>
      <c r="J18" s="269"/>
      <c r="K18" s="269"/>
      <c r="L18" s="269"/>
      <c r="M18" s="269"/>
      <c r="N18" s="269"/>
      <c r="O18" s="269"/>
      <c r="P18" s="269"/>
      <c r="Q18" s="269"/>
      <c r="R18" s="269"/>
      <c r="S18" s="269"/>
      <c r="T18" s="269">
        <v>1</v>
      </c>
      <c r="U18" s="269">
        <v>1</v>
      </c>
      <c r="V18" s="269">
        <v>1</v>
      </c>
      <c r="W18" s="269">
        <v>1</v>
      </c>
      <c r="X18" s="269">
        <v>1</v>
      </c>
      <c r="Y18" s="269">
        <v>1</v>
      </c>
      <c r="Z18" s="269">
        <v>1</v>
      </c>
      <c r="AA18" s="269">
        <v>1</v>
      </c>
      <c r="AB18" s="269">
        <v>1</v>
      </c>
      <c r="AC18" s="269">
        <v>1</v>
      </c>
      <c r="AD18" s="269">
        <v>1</v>
      </c>
      <c r="AE18" s="269">
        <v>1</v>
      </c>
      <c r="AF18" s="269">
        <v>1</v>
      </c>
      <c r="AG18" s="269">
        <v>1</v>
      </c>
    </row>
    <row r="19" spans="1:33" s="203" customFormat="1" ht="16.5" customHeight="1" outlineLevel="1">
      <c r="A19" s="128"/>
      <c r="B19" s="128"/>
      <c r="C19" s="40" t="str">
        <f>IF(Inputs!C57="","",Inputs!C57)</f>
        <v>Fill in name or positon here</v>
      </c>
      <c r="D19" s="73" t="s">
        <v>39</v>
      </c>
      <c r="E19" s="799">
        <v>0</v>
      </c>
      <c r="F19" s="287"/>
      <c r="G19" s="287"/>
      <c r="H19" s="278" t="str">
        <f>IF(AND(SUMPRODUCT((J$6:AG$6),(J19:AG19))&gt;0,Inputs!G57=0),"Check base salary","")</f>
        <v/>
      </c>
      <c r="I19" s="128"/>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row>
    <row r="20" spans="1:33" ht="16.5" customHeight="1" outlineLevel="1">
      <c r="A20" s="128"/>
      <c r="B20" s="128"/>
      <c r="C20" s="40" t="str">
        <f>IF(Inputs!C58="","",Inputs!C58)</f>
        <v>Fill in name or positon here</v>
      </c>
      <c r="D20" s="73" t="s">
        <v>39</v>
      </c>
      <c r="E20" s="799">
        <v>1</v>
      </c>
      <c r="F20" s="287"/>
      <c r="G20" s="287"/>
      <c r="H20" s="278" t="str">
        <f>IF(AND(SUMPRODUCT((J$6:AG$6),(J20:AG20))&gt;0,Inputs!G58=0),"Check base salary","")</f>
        <v/>
      </c>
      <c r="I20" s="128"/>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row>
    <row r="21" spans="1:33" ht="16.5" customHeight="1" outlineLevel="1">
      <c r="A21" s="128"/>
      <c r="B21" s="128"/>
      <c r="C21" s="75" t="s">
        <v>280</v>
      </c>
      <c r="D21" s="8"/>
      <c r="E21" s="36"/>
      <c r="F21" s="36"/>
      <c r="G21" s="36"/>
      <c r="H21" s="36"/>
      <c r="I21" s="126"/>
      <c r="J21" s="129">
        <f>SUM(J17:J20)*J$6</f>
        <v>1</v>
      </c>
      <c r="K21" s="129">
        <f t="shared" ref="K21:AG21" si="0">SUM(K17:K20)*K$6</f>
        <v>1</v>
      </c>
      <c r="L21" s="129">
        <f t="shared" si="0"/>
        <v>1</v>
      </c>
      <c r="M21" s="129">
        <f t="shared" si="0"/>
        <v>1</v>
      </c>
      <c r="N21" s="129">
        <f t="shared" si="0"/>
        <v>1</v>
      </c>
      <c r="O21" s="129">
        <f t="shared" si="0"/>
        <v>1</v>
      </c>
      <c r="P21" s="129">
        <f t="shared" si="0"/>
        <v>1</v>
      </c>
      <c r="Q21" s="129">
        <f t="shared" si="0"/>
        <v>1</v>
      </c>
      <c r="R21" s="129">
        <f t="shared" si="0"/>
        <v>1</v>
      </c>
      <c r="S21" s="129">
        <f t="shared" si="0"/>
        <v>1</v>
      </c>
      <c r="T21" s="129">
        <f t="shared" si="0"/>
        <v>2</v>
      </c>
      <c r="U21" s="129">
        <f t="shared" si="0"/>
        <v>2</v>
      </c>
      <c r="V21" s="129">
        <f t="shared" si="0"/>
        <v>2</v>
      </c>
      <c r="W21" s="129">
        <f t="shared" si="0"/>
        <v>2</v>
      </c>
      <c r="X21" s="129">
        <f t="shared" si="0"/>
        <v>2</v>
      </c>
      <c r="Y21" s="129">
        <f t="shared" si="0"/>
        <v>2</v>
      </c>
      <c r="Z21" s="129">
        <f t="shared" si="0"/>
        <v>2</v>
      </c>
      <c r="AA21" s="129">
        <f t="shared" si="0"/>
        <v>2</v>
      </c>
      <c r="AB21" s="129">
        <f t="shared" si="0"/>
        <v>2</v>
      </c>
      <c r="AC21" s="129">
        <f t="shared" si="0"/>
        <v>2</v>
      </c>
      <c r="AD21" s="129">
        <f t="shared" si="0"/>
        <v>2</v>
      </c>
      <c r="AE21" s="129">
        <f t="shared" si="0"/>
        <v>0</v>
      </c>
      <c r="AF21" s="129">
        <f t="shared" si="0"/>
        <v>0</v>
      </c>
      <c r="AG21" s="129">
        <f t="shared" si="0"/>
        <v>0</v>
      </c>
    </row>
    <row r="22" spans="1:33" ht="16.5" customHeight="1" outlineLevel="1">
      <c r="A22" s="128"/>
      <c r="B22" s="128"/>
      <c r="C22" s="241"/>
      <c r="D22" s="275"/>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41"/>
      <c r="AC22" s="241"/>
      <c r="AD22" s="241"/>
      <c r="AE22" s="241"/>
      <c r="AF22" s="241"/>
      <c r="AG22" s="241"/>
    </row>
    <row r="23" spans="1:33" ht="16.5" customHeight="1" outlineLevel="1">
      <c r="A23" s="128"/>
      <c r="B23" s="430" t="str">
        <f>IF(Inputs!B60="","",Inputs!B60)</f>
        <v>3.</v>
      </c>
      <c r="C23" s="331" t="str">
        <f>IF(Inputs!C60="","",Inputs!C60)</f>
        <v>Operational Staff</v>
      </c>
      <c r="D23" s="275"/>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row>
    <row r="24" spans="1:33" ht="16.5" customHeight="1" outlineLevel="1">
      <c r="A24" s="128"/>
      <c r="B24" s="128"/>
      <c r="C24" s="40" t="str">
        <f>IF(Inputs!C61="","",Inputs!C61)</f>
        <v>Fill in name or positon here</v>
      </c>
      <c r="D24" s="73" t="s">
        <v>39</v>
      </c>
      <c r="E24" s="799">
        <v>1</v>
      </c>
      <c r="F24" s="287"/>
      <c r="G24" s="287"/>
      <c r="H24" s="278" t="str">
        <f>IF(AND(SUMPRODUCT((J$6:AG$6),(J24:AG24))&gt;0,Inputs!G61=0),"Check base salary","")</f>
        <v/>
      </c>
      <c r="I24" s="128"/>
      <c r="J24" s="269">
        <v>1</v>
      </c>
      <c r="K24" s="269">
        <v>1</v>
      </c>
      <c r="L24" s="269">
        <v>1</v>
      </c>
      <c r="M24" s="269">
        <v>1</v>
      </c>
      <c r="N24" s="269">
        <v>1</v>
      </c>
      <c r="O24" s="269">
        <v>1</v>
      </c>
      <c r="P24" s="269">
        <v>1</v>
      </c>
      <c r="Q24" s="269">
        <v>2</v>
      </c>
      <c r="R24" s="269">
        <v>2</v>
      </c>
      <c r="S24" s="269">
        <v>2</v>
      </c>
      <c r="T24" s="269">
        <v>2</v>
      </c>
      <c r="U24" s="269">
        <v>2</v>
      </c>
      <c r="V24" s="269">
        <v>2</v>
      </c>
      <c r="W24" s="269">
        <v>2</v>
      </c>
      <c r="X24" s="269">
        <v>2</v>
      </c>
      <c r="Y24" s="269">
        <v>2</v>
      </c>
      <c r="Z24" s="269">
        <v>2</v>
      </c>
      <c r="AA24" s="269">
        <v>2</v>
      </c>
      <c r="AB24" s="269">
        <v>3</v>
      </c>
      <c r="AC24" s="269">
        <v>3</v>
      </c>
      <c r="AD24" s="269">
        <v>3</v>
      </c>
      <c r="AE24" s="269">
        <v>3</v>
      </c>
      <c r="AF24" s="269">
        <v>3</v>
      </c>
      <c r="AG24" s="269">
        <v>3</v>
      </c>
    </row>
    <row r="25" spans="1:33" ht="16.5" customHeight="1" outlineLevel="1">
      <c r="A25" s="128"/>
      <c r="B25" s="128"/>
      <c r="C25" s="40" t="str">
        <f>IF(Inputs!C62="","",Inputs!C62)</f>
        <v>Fill in name or positon here</v>
      </c>
      <c r="D25" s="73" t="s">
        <v>39</v>
      </c>
      <c r="E25" s="799">
        <v>1</v>
      </c>
      <c r="F25" s="287"/>
      <c r="G25" s="287"/>
      <c r="H25" s="278" t="str">
        <f>IF(AND(SUMPRODUCT((J$6:AG$6),(J25:AG25))&gt;0,Inputs!G62=0),"Check base salary","")</f>
        <v/>
      </c>
      <c r="I25" s="128"/>
      <c r="J25" s="269"/>
      <c r="K25" s="269"/>
      <c r="L25" s="269"/>
      <c r="M25" s="269"/>
      <c r="N25" s="269"/>
      <c r="O25" s="269"/>
      <c r="P25" s="269"/>
      <c r="Q25" s="269">
        <v>1</v>
      </c>
      <c r="R25" s="269">
        <v>1</v>
      </c>
      <c r="S25" s="269">
        <v>1</v>
      </c>
      <c r="T25" s="269">
        <v>1</v>
      </c>
      <c r="U25" s="269">
        <v>1</v>
      </c>
      <c r="V25" s="269">
        <v>1</v>
      </c>
      <c r="W25" s="269">
        <v>1</v>
      </c>
      <c r="X25" s="269">
        <v>1</v>
      </c>
      <c r="Y25" s="269">
        <v>1</v>
      </c>
      <c r="Z25" s="269">
        <v>1</v>
      </c>
      <c r="AA25" s="269">
        <v>1</v>
      </c>
      <c r="AB25" s="269">
        <v>1</v>
      </c>
      <c r="AC25" s="269">
        <v>1</v>
      </c>
      <c r="AD25" s="269">
        <v>1</v>
      </c>
      <c r="AE25" s="269">
        <v>1</v>
      </c>
      <c r="AF25" s="269">
        <v>1</v>
      </c>
      <c r="AG25" s="269">
        <v>1</v>
      </c>
    </row>
    <row r="26" spans="1:33" s="203" customFormat="1" ht="16.5" customHeight="1" outlineLevel="1">
      <c r="A26" s="128"/>
      <c r="B26" s="128"/>
      <c r="C26" s="40" t="str">
        <f>IF(Inputs!C63="","",Inputs!C63)</f>
        <v>Fill in name or positon here</v>
      </c>
      <c r="D26" s="73" t="s">
        <v>39</v>
      </c>
      <c r="E26" s="799">
        <v>1</v>
      </c>
      <c r="F26" s="287"/>
      <c r="G26" s="287"/>
      <c r="H26" s="278" t="str">
        <f>IF(AND(SUMPRODUCT((J$6:AG$6),(J26:AG26))&gt;0,Inputs!G63=0),"Check base salary","")</f>
        <v/>
      </c>
      <c r="I26" s="128"/>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69"/>
      <c r="AG26" s="269"/>
    </row>
    <row r="27" spans="1:33" ht="16.5" customHeight="1" outlineLevel="1">
      <c r="A27" s="128"/>
      <c r="B27" s="128"/>
      <c r="C27" s="40" t="str">
        <f>IF(Inputs!C64="","",Inputs!C64)</f>
        <v>Fill in name or positon here</v>
      </c>
      <c r="D27" s="73" t="s">
        <v>39</v>
      </c>
      <c r="E27" s="799">
        <v>1</v>
      </c>
      <c r="F27" s="287"/>
      <c r="G27" s="287"/>
      <c r="H27" s="278" t="str">
        <f>IF(AND(SUMPRODUCT((J$6:AG$6),(J27:AG27))&gt;0,Inputs!G64=0),"Check base salary","")</f>
        <v/>
      </c>
      <c r="I27" s="128"/>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row>
    <row r="28" spans="1:33" ht="16.5" customHeight="1" outlineLevel="1">
      <c r="A28" s="128"/>
      <c r="B28" s="128"/>
      <c r="C28" s="75" t="s">
        <v>280</v>
      </c>
      <c r="D28" s="73"/>
      <c r="E28" s="36"/>
      <c r="F28" s="36"/>
      <c r="G28" s="36"/>
      <c r="H28" s="36"/>
      <c r="I28" s="126"/>
      <c r="J28" s="129">
        <f>SUM(J24:J27)*J$6</f>
        <v>1</v>
      </c>
      <c r="K28" s="129">
        <f t="shared" ref="K28:AG28" si="1">SUM(K24:K27)*K$6</f>
        <v>1</v>
      </c>
      <c r="L28" s="129">
        <f t="shared" si="1"/>
        <v>1</v>
      </c>
      <c r="M28" s="129">
        <f t="shared" si="1"/>
        <v>1</v>
      </c>
      <c r="N28" s="129">
        <f t="shared" si="1"/>
        <v>1</v>
      </c>
      <c r="O28" s="129">
        <f t="shared" si="1"/>
        <v>1</v>
      </c>
      <c r="P28" s="129">
        <f t="shared" si="1"/>
        <v>1</v>
      </c>
      <c r="Q28" s="129">
        <f t="shared" si="1"/>
        <v>3</v>
      </c>
      <c r="R28" s="129">
        <f t="shared" si="1"/>
        <v>3</v>
      </c>
      <c r="S28" s="129">
        <f t="shared" si="1"/>
        <v>3</v>
      </c>
      <c r="T28" s="129">
        <f t="shared" si="1"/>
        <v>3</v>
      </c>
      <c r="U28" s="129">
        <f t="shared" si="1"/>
        <v>3</v>
      </c>
      <c r="V28" s="129">
        <f t="shared" si="1"/>
        <v>3</v>
      </c>
      <c r="W28" s="129">
        <f t="shared" si="1"/>
        <v>3</v>
      </c>
      <c r="X28" s="129">
        <f t="shared" si="1"/>
        <v>3</v>
      </c>
      <c r="Y28" s="129">
        <f t="shared" si="1"/>
        <v>3</v>
      </c>
      <c r="Z28" s="129">
        <f t="shared" si="1"/>
        <v>3</v>
      </c>
      <c r="AA28" s="129">
        <f t="shared" si="1"/>
        <v>3</v>
      </c>
      <c r="AB28" s="129">
        <f t="shared" si="1"/>
        <v>4</v>
      </c>
      <c r="AC28" s="129">
        <f t="shared" si="1"/>
        <v>4</v>
      </c>
      <c r="AD28" s="129">
        <f t="shared" si="1"/>
        <v>4</v>
      </c>
      <c r="AE28" s="129">
        <f t="shared" si="1"/>
        <v>0</v>
      </c>
      <c r="AF28" s="129">
        <f t="shared" si="1"/>
        <v>0</v>
      </c>
      <c r="AG28" s="129">
        <f t="shared" si="1"/>
        <v>0</v>
      </c>
    </row>
    <row r="29" spans="1:33" ht="16.5" customHeight="1" outlineLevel="1">
      <c r="A29" s="128"/>
      <c r="B29" s="128"/>
      <c r="C29" s="241"/>
      <c r="D29" s="275"/>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row>
    <row r="30" spans="1:33" ht="16.5" customHeight="1" outlineLevel="1">
      <c r="A30" s="128"/>
      <c r="B30" s="430" t="str">
        <f>IF(Inputs!B66="","",Inputs!B66)</f>
        <v>4.</v>
      </c>
      <c r="C30" s="331" t="str">
        <f>IF(Inputs!C66="","",Inputs!C66)</f>
        <v>Sales, Marketing &amp; Distribution Staff</v>
      </c>
      <c r="D30" s="275"/>
      <c r="E30" s="241"/>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row>
    <row r="31" spans="1:33" ht="16.5" customHeight="1" outlineLevel="1">
      <c r="A31" s="128"/>
      <c r="B31" s="128"/>
      <c r="C31" s="40" t="str">
        <f>IF(Inputs!C67="","",Inputs!C67)</f>
        <v>Fill in name or positon here</v>
      </c>
      <c r="D31" s="73" t="s">
        <v>39</v>
      </c>
      <c r="E31" s="799">
        <v>1</v>
      </c>
      <c r="F31" s="287"/>
      <c r="G31" s="287"/>
      <c r="H31" s="278" t="str">
        <f>IF(AND(SUMPRODUCT((J$6:AG$6),(J31:AG31))&gt;0,Inputs!G67=0),"Check base salary","")</f>
        <v/>
      </c>
      <c r="I31" s="128"/>
      <c r="J31" s="269">
        <v>1</v>
      </c>
      <c r="K31" s="269">
        <v>1</v>
      </c>
      <c r="L31" s="269">
        <v>1</v>
      </c>
      <c r="M31" s="269">
        <v>1</v>
      </c>
      <c r="N31" s="269">
        <v>1</v>
      </c>
      <c r="O31" s="269">
        <v>2</v>
      </c>
      <c r="P31" s="269">
        <v>2</v>
      </c>
      <c r="Q31" s="269">
        <v>2</v>
      </c>
      <c r="R31" s="269">
        <v>2</v>
      </c>
      <c r="S31" s="269">
        <v>2</v>
      </c>
      <c r="T31" s="269">
        <v>2</v>
      </c>
      <c r="U31" s="269">
        <v>2</v>
      </c>
      <c r="V31" s="269">
        <v>2</v>
      </c>
      <c r="W31" s="269">
        <v>3</v>
      </c>
      <c r="X31" s="269">
        <v>3</v>
      </c>
      <c r="Y31" s="269">
        <v>3</v>
      </c>
      <c r="Z31" s="269">
        <v>3</v>
      </c>
      <c r="AA31" s="269">
        <v>3</v>
      </c>
      <c r="AB31" s="269">
        <v>3</v>
      </c>
      <c r="AC31" s="269">
        <v>3</v>
      </c>
      <c r="AD31" s="269">
        <v>3</v>
      </c>
      <c r="AE31" s="269">
        <v>4</v>
      </c>
      <c r="AF31" s="269">
        <v>4</v>
      </c>
      <c r="AG31" s="269">
        <v>4</v>
      </c>
    </row>
    <row r="32" spans="1:33" ht="16.5" customHeight="1" outlineLevel="1">
      <c r="A32" s="128"/>
      <c r="B32" s="128"/>
      <c r="C32" s="40" t="str">
        <f>IF(Inputs!C68="","",Inputs!C68)</f>
        <v>Fill in name or positon here</v>
      </c>
      <c r="D32" s="73" t="s">
        <v>39</v>
      </c>
      <c r="E32" s="799">
        <v>1</v>
      </c>
      <c r="F32" s="287"/>
      <c r="G32" s="287"/>
      <c r="H32" s="278" t="str">
        <f>IF(AND(SUMPRODUCT((J$6:AG$6),(J32:AG32))&gt;0,Inputs!G68=0),"Check base salary","")</f>
        <v/>
      </c>
      <c r="I32" s="128"/>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row>
    <row r="33" spans="1:33" s="203" customFormat="1" ht="16.5" customHeight="1" outlineLevel="1">
      <c r="A33" s="128"/>
      <c r="B33" s="128"/>
      <c r="C33" s="40" t="str">
        <f>IF(Inputs!C69="","",Inputs!C69)</f>
        <v>Fill in name or positon here</v>
      </c>
      <c r="D33" s="73" t="s">
        <v>39</v>
      </c>
      <c r="E33" s="799">
        <v>1</v>
      </c>
      <c r="F33" s="287"/>
      <c r="G33" s="287"/>
      <c r="H33" s="278" t="str">
        <f>IF(AND(SUMPRODUCT((J$6:AG$6),(J33:AG33))&gt;0,Inputs!G69=0),"Check base salary","")</f>
        <v/>
      </c>
      <c r="I33" s="128"/>
      <c r="J33" s="269"/>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row>
    <row r="34" spans="1:33" ht="16.5" customHeight="1" outlineLevel="1">
      <c r="A34" s="128"/>
      <c r="B34" s="128"/>
      <c r="C34" s="40" t="str">
        <f>IF(Inputs!C70="","",Inputs!C70)</f>
        <v>Fill in name or positon here</v>
      </c>
      <c r="D34" s="73" t="s">
        <v>39</v>
      </c>
      <c r="E34" s="799">
        <v>1</v>
      </c>
      <c r="F34" s="287"/>
      <c r="G34" s="287"/>
      <c r="H34" s="278" t="str">
        <f>IF(AND(SUMPRODUCT((J$6:AG$6),(J34:AG34))&gt;0,Inputs!G70=0),"Check base salary","")</f>
        <v/>
      </c>
      <c r="I34" s="128"/>
      <c r="J34" s="269"/>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row>
    <row r="35" spans="1:33" ht="16.5" customHeight="1" outlineLevel="1">
      <c r="A35" s="128"/>
      <c r="B35" s="128"/>
      <c r="C35" s="75" t="s">
        <v>280</v>
      </c>
      <c r="D35" s="73"/>
      <c r="E35" s="36"/>
      <c r="F35" s="36"/>
      <c r="G35" s="36"/>
      <c r="H35" s="36"/>
      <c r="I35" s="126"/>
      <c r="J35" s="129">
        <f>SUM(J31:J34)*J$6</f>
        <v>1</v>
      </c>
      <c r="K35" s="129">
        <f t="shared" ref="K35:AG35" si="2">SUM(K31:K34)*K$6</f>
        <v>1</v>
      </c>
      <c r="L35" s="129">
        <f t="shared" si="2"/>
        <v>1</v>
      </c>
      <c r="M35" s="129">
        <f t="shared" si="2"/>
        <v>1</v>
      </c>
      <c r="N35" s="129">
        <f t="shared" si="2"/>
        <v>1</v>
      </c>
      <c r="O35" s="129">
        <f t="shared" si="2"/>
        <v>2</v>
      </c>
      <c r="P35" s="129">
        <f t="shared" si="2"/>
        <v>2</v>
      </c>
      <c r="Q35" s="129">
        <f t="shared" si="2"/>
        <v>2</v>
      </c>
      <c r="R35" s="129">
        <f t="shared" si="2"/>
        <v>2</v>
      </c>
      <c r="S35" s="129">
        <f t="shared" si="2"/>
        <v>2</v>
      </c>
      <c r="T35" s="129">
        <f t="shared" si="2"/>
        <v>2</v>
      </c>
      <c r="U35" s="129">
        <f t="shared" si="2"/>
        <v>2</v>
      </c>
      <c r="V35" s="129">
        <f t="shared" si="2"/>
        <v>2</v>
      </c>
      <c r="W35" s="129">
        <f t="shared" si="2"/>
        <v>3</v>
      </c>
      <c r="X35" s="129">
        <f t="shared" si="2"/>
        <v>3</v>
      </c>
      <c r="Y35" s="129">
        <f t="shared" si="2"/>
        <v>3</v>
      </c>
      <c r="Z35" s="129">
        <f t="shared" si="2"/>
        <v>3</v>
      </c>
      <c r="AA35" s="129">
        <f t="shared" si="2"/>
        <v>3</v>
      </c>
      <c r="AB35" s="129">
        <f t="shared" si="2"/>
        <v>3</v>
      </c>
      <c r="AC35" s="129">
        <f t="shared" si="2"/>
        <v>3</v>
      </c>
      <c r="AD35" s="129">
        <f t="shared" si="2"/>
        <v>3</v>
      </c>
      <c r="AE35" s="129">
        <f t="shared" si="2"/>
        <v>0</v>
      </c>
      <c r="AF35" s="129">
        <f t="shared" si="2"/>
        <v>0</v>
      </c>
      <c r="AG35" s="129">
        <f t="shared" si="2"/>
        <v>0</v>
      </c>
    </row>
    <row r="36" spans="1:33" ht="16.5" customHeight="1" outlineLevel="1">
      <c r="A36" s="128"/>
      <c r="B36" s="128"/>
      <c r="C36" s="241"/>
      <c r="D36" s="275"/>
      <c r="E36" s="241"/>
      <c r="F36" s="241"/>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c r="AE36" s="241"/>
      <c r="AF36" s="241"/>
      <c r="AG36" s="241"/>
    </row>
    <row r="37" spans="1:33" ht="16.5" customHeight="1" outlineLevel="1">
      <c r="A37" s="128"/>
      <c r="B37" s="430" t="str">
        <f>IF(Inputs!B72="","",Inputs!B72)</f>
        <v>5.</v>
      </c>
      <c r="C37" s="331" t="str">
        <f>IF(Inputs!C72="","",Inputs!C72)</f>
        <v>Research &amp; Development</v>
      </c>
      <c r="D37" s="275"/>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row>
    <row r="38" spans="1:33" ht="16.5" customHeight="1" outlineLevel="1">
      <c r="A38" s="128"/>
      <c r="B38" s="128"/>
      <c r="C38" s="40" t="str">
        <f>IF(Inputs!C73="","",Inputs!C73)</f>
        <v>Fill in name or positon here</v>
      </c>
      <c r="D38" s="73" t="s">
        <v>39</v>
      </c>
      <c r="E38" s="799">
        <v>1</v>
      </c>
      <c r="F38" s="287"/>
      <c r="G38" s="287"/>
      <c r="H38" s="278" t="str">
        <f>IF(AND(SUMPRODUCT((J$6:AG$6),(J38:AG38))&gt;0,Inputs!G73=0),"Check base salary","")</f>
        <v/>
      </c>
      <c r="I38" s="128"/>
      <c r="J38" s="269"/>
      <c r="K38" s="269"/>
      <c r="L38" s="269"/>
      <c r="M38" s="269"/>
      <c r="N38" s="269"/>
      <c r="O38" s="269">
        <v>1</v>
      </c>
      <c r="P38" s="269">
        <v>1</v>
      </c>
      <c r="Q38" s="269">
        <v>1</v>
      </c>
      <c r="R38" s="269">
        <v>1</v>
      </c>
      <c r="S38" s="269">
        <v>1</v>
      </c>
      <c r="T38" s="269">
        <v>1</v>
      </c>
      <c r="U38" s="269">
        <v>1</v>
      </c>
      <c r="V38" s="269">
        <v>1</v>
      </c>
      <c r="W38" s="269">
        <v>1</v>
      </c>
      <c r="X38" s="269">
        <v>1</v>
      </c>
      <c r="Y38" s="269">
        <v>1</v>
      </c>
      <c r="Z38" s="269">
        <v>1</v>
      </c>
      <c r="AA38" s="269">
        <v>1</v>
      </c>
      <c r="AB38" s="269">
        <v>1</v>
      </c>
      <c r="AC38" s="269">
        <v>1</v>
      </c>
      <c r="AD38" s="269">
        <v>1</v>
      </c>
      <c r="AE38" s="269">
        <v>1</v>
      </c>
      <c r="AF38" s="269">
        <v>1</v>
      </c>
      <c r="AG38" s="269">
        <v>1</v>
      </c>
    </row>
    <row r="39" spans="1:33" ht="16.5" customHeight="1" outlineLevel="1">
      <c r="A39" s="128"/>
      <c r="B39" s="128"/>
      <c r="C39" s="40" t="str">
        <f>IF(Inputs!C74="","",Inputs!C74)</f>
        <v>Fill in name or positon here</v>
      </c>
      <c r="D39" s="73" t="s">
        <v>39</v>
      </c>
      <c r="E39" s="799">
        <v>1</v>
      </c>
      <c r="F39" s="287"/>
      <c r="G39" s="287"/>
      <c r="H39" s="278" t="str">
        <f>IF(AND(SUMPRODUCT((J$6:AG$6),(J39:AG39))&gt;0,Inputs!G74=0),"Check base salary","")</f>
        <v/>
      </c>
      <c r="I39" s="128"/>
      <c r="J39" s="269"/>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row>
    <row r="40" spans="1:33" s="203" customFormat="1" ht="16.5" customHeight="1" outlineLevel="1">
      <c r="A40" s="128"/>
      <c r="B40" s="128"/>
      <c r="C40" s="40" t="str">
        <f>IF(Inputs!C75="","",Inputs!C75)</f>
        <v>Fill in name or positon here</v>
      </c>
      <c r="D40" s="73" t="s">
        <v>39</v>
      </c>
      <c r="E40" s="799">
        <v>1</v>
      </c>
      <c r="F40" s="287"/>
      <c r="G40" s="287"/>
      <c r="H40" s="278" t="str">
        <f>IF(AND(SUMPRODUCT((J$6:AG$6),(J40:AG40))&gt;0,Inputs!G75=0),"Check base salary","")</f>
        <v/>
      </c>
      <c r="I40" s="128"/>
      <c r="J40" s="269"/>
      <c r="K40" s="269"/>
      <c r="L40" s="269"/>
      <c r="M40" s="269"/>
      <c r="N40" s="269"/>
      <c r="O40" s="269"/>
      <c r="P40" s="269"/>
      <c r="Q40" s="269"/>
      <c r="R40" s="269"/>
      <c r="S40" s="269"/>
      <c r="T40" s="269"/>
      <c r="U40" s="269"/>
      <c r="V40" s="269"/>
      <c r="W40" s="269"/>
      <c r="X40" s="269"/>
      <c r="Y40" s="269"/>
      <c r="Z40" s="269"/>
      <c r="AA40" s="269"/>
      <c r="AB40" s="269"/>
      <c r="AC40" s="269"/>
      <c r="AD40" s="269"/>
      <c r="AE40" s="269"/>
      <c r="AF40" s="269"/>
      <c r="AG40" s="269"/>
    </row>
    <row r="41" spans="1:33" ht="16.5" customHeight="1" outlineLevel="1">
      <c r="A41" s="128"/>
      <c r="B41" s="128"/>
      <c r="C41" s="40" t="str">
        <f>IF(Inputs!C76="","",Inputs!C76)</f>
        <v>Fill in name or positon here</v>
      </c>
      <c r="D41" s="73" t="s">
        <v>39</v>
      </c>
      <c r="E41" s="799">
        <v>1</v>
      </c>
      <c r="F41" s="287"/>
      <c r="G41" s="287"/>
      <c r="H41" s="278" t="str">
        <f>IF(AND(SUMPRODUCT((J$6:AG$6),(J41:AG41))&gt;0,Inputs!G76=0),"Check base salary","")</f>
        <v/>
      </c>
      <c r="I41" s="128"/>
      <c r="J41" s="269"/>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row>
    <row r="42" spans="1:33" ht="16.5" customHeight="1" outlineLevel="1">
      <c r="A42" s="128"/>
      <c r="B42" s="128"/>
      <c r="C42" s="75" t="s">
        <v>280</v>
      </c>
      <c r="D42" s="73"/>
      <c r="E42" s="36"/>
      <c r="F42" s="36"/>
      <c r="G42" s="36"/>
      <c r="H42" s="36"/>
      <c r="I42" s="126"/>
      <c r="J42" s="129">
        <f>SUM(J38:J41)*J$6</f>
        <v>0</v>
      </c>
      <c r="K42" s="129">
        <f t="shared" ref="K42:AG42" si="3">SUM(K38:K41)*K$6</f>
        <v>0</v>
      </c>
      <c r="L42" s="129">
        <f t="shared" si="3"/>
        <v>0</v>
      </c>
      <c r="M42" s="129">
        <f t="shared" si="3"/>
        <v>0</v>
      </c>
      <c r="N42" s="129">
        <f t="shared" si="3"/>
        <v>0</v>
      </c>
      <c r="O42" s="129">
        <f t="shared" si="3"/>
        <v>1</v>
      </c>
      <c r="P42" s="129">
        <f t="shared" si="3"/>
        <v>1</v>
      </c>
      <c r="Q42" s="129">
        <f t="shared" si="3"/>
        <v>1</v>
      </c>
      <c r="R42" s="129">
        <f t="shared" si="3"/>
        <v>1</v>
      </c>
      <c r="S42" s="129">
        <f t="shared" si="3"/>
        <v>1</v>
      </c>
      <c r="T42" s="129">
        <f t="shared" si="3"/>
        <v>1</v>
      </c>
      <c r="U42" s="129">
        <f t="shared" si="3"/>
        <v>1</v>
      </c>
      <c r="V42" s="129">
        <f t="shared" si="3"/>
        <v>1</v>
      </c>
      <c r="W42" s="129">
        <f t="shared" si="3"/>
        <v>1</v>
      </c>
      <c r="X42" s="129">
        <f t="shared" si="3"/>
        <v>1</v>
      </c>
      <c r="Y42" s="129">
        <f t="shared" si="3"/>
        <v>1</v>
      </c>
      <c r="Z42" s="129">
        <f t="shared" si="3"/>
        <v>1</v>
      </c>
      <c r="AA42" s="129">
        <f t="shared" si="3"/>
        <v>1</v>
      </c>
      <c r="AB42" s="129">
        <f t="shared" si="3"/>
        <v>1</v>
      </c>
      <c r="AC42" s="129">
        <f t="shared" si="3"/>
        <v>1</v>
      </c>
      <c r="AD42" s="129">
        <f t="shared" si="3"/>
        <v>1</v>
      </c>
      <c r="AE42" s="129">
        <f t="shared" si="3"/>
        <v>0</v>
      </c>
      <c r="AF42" s="129">
        <f t="shared" si="3"/>
        <v>0</v>
      </c>
      <c r="AG42" s="129">
        <f t="shared" si="3"/>
        <v>0</v>
      </c>
    </row>
    <row r="43" spans="1:33" outlineLevel="1">
      <c r="A43" s="128"/>
      <c r="B43" s="128"/>
      <c r="C43" s="241"/>
      <c r="D43" s="275"/>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row>
    <row r="44" spans="1:33" ht="16.5" customHeight="1" outlineLevel="1" thickBot="1">
      <c r="A44" s="128"/>
      <c r="B44" s="128"/>
      <c r="C44" s="75" t="s">
        <v>289</v>
      </c>
      <c r="D44" s="73" t="s">
        <v>39</v>
      </c>
      <c r="E44" s="36"/>
      <c r="F44" s="36"/>
      <c r="G44" s="36"/>
      <c r="H44" s="36"/>
      <c r="I44" s="126"/>
      <c r="J44" s="709">
        <f t="shared" ref="J44:AG44" si="4">(J14+J21+J28+J35+J42)*J6</f>
        <v>5</v>
      </c>
      <c r="K44" s="709">
        <f t="shared" si="4"/>
        <v>5</v>
      </c>
      <c r="L44" s="709">
        <f t="shared" si="4"/>
        <v>5</v>
      </c>
      <c r="M44" s="709">
        <f t="shared" si="4"/>
        <v>5</v>
      </c>
      <c r="N44" s="709">
        <f t="shared" si="4"/>
        <v>5</v>
      </c>
      <c r="O44" s="709">
        <f t="shared" si="4"/>
        <v>7</v>
      </c>
      <c r="P44" s="709">
        <f t="shared" si="4"/>
        <v>8</v>
      </c>
      <c r="Q44" s="709">
        <f t="shared" si="4"/>
        <v>11</v>
      </c>
      <c r="R44" s="709">
        <f t="shared" si="4"/>
        <v>11</v>
      </c>
      <c r="S44" s="709">
        <f t="shared" si="4"/>
        <v>11</v>
      </c>
      <c r="T44" s="709">
        <f t="shared" si="4"/>
        <v>12</v>
      </c>
      <c r="U44" s="709">
        <f t="shared" si="4"/>
        <v>12</v>
      </c>
      <c r="V44" s="709">
        <f t="shared" si="4"/>
        <v>12</v>
      </c>
      <c r="W44" s="709">
        <f t="shared" si="4"/>
        <v>13</v>
      </c>
      <c r="X44" s="709">
        <f t="shared" si="4"/>
        <v>13</v>
      </c>
      <c r="Y44" s="709">
        <f t="shared" si="4"/>
        <v>13</v>
      </c>
      <c r="Z44" s="709">
        <f t="shared" si="4"/>
        <v>13</v>
      </c>
      <c r="AA44" s="709">
        <f t="shared" si="4"/>
        <v>13</v>
      </c>
      <c r="AB44" s="709">
        <f t="shared" si="4"/>
        <v>14</v>
      </c>
      <c r="AC44" s="709">
        <f t="shared" si="4"/>
        <v>14</v>
      </c>
      <c r="AD44" s="709">
        <f t="shared" si="4"/>
        <v>14</v>
      </c>
      <c r="AE44" s="709">
        <f t="shared" si="4"/>
        <v>0</v>
      </c>
      <c r="AF44" s="709">
        <f t="shared" si="4"/>
        <v>0</v>
      </c>
      <c r="AG44" s="709">
        <f t="shared" si="4"/>
        <v>0</v>
      </c>
    </row>
    <row r="45" spans="1:33" ht="16.5" customHeight="1" outlineLevel="1" thickTop="1">
      <c r="A45" s="128"/>
      <c r="B45" s="128"/>
      <c r="C45" s="334" t="s">
        <v>290</v>
      </c>
      <c r="D45" s="276"/>
      <c r="E45" s="128"/>
      <c r="F45" s="128"/>
      <c r="G45" s="128"/>
      <c r="H45" s="128"/>
      <c r="I45" s="128"/>
      <c r="J45" s="710">
        <f t="shared" ref="J45:AG45" si="5">IF(J6=0,"",J44-I44)</f>
        <v>5</v>
      </c>
      <c r="K45" s="710">
        <f t="shared" si="5"/>
        <v>0</v>
      </c>
      <c r="L45" s="710">
        <f t="shared" si="5"/>
        <v>0</v>
      </c>
      <c r="M45" s="710">
        <f t="shared" si="5"/>
        <v>0</v>
      </c>
      <c r="N45" s="710">
        <f t="shared" si="5"/>
        <v>0</v>
      </c>
      <c r="O45" s="710">
        <f t="shared" si="5"/>
        <v>2</v>
      </c>
      <c r="P45" s="710">
        <f t="shared" si="5"/>
        <v>1</v>
      </c>
      <c r="Q45" s="710">
        <f t="shared" si="5"/>
        <v>3</v>
      </c>
      <c r="R45" s="710">
        <f t="shared" si="5"/>
        <v>0</v>
      </c>
      <c r="S45" s="710">
        <f t="shared" si="5"/>
        <v>0</v>
      </c>
      <c r="T45" s="710">
        <f t="shared" si="5"/>
        <v>1</v>
      </c>
      <c r="U45" s="710">
        <f t="shared" si="5"/>
        <v>0</v>
      </c>
      <c r="V45" s="710">
        <f t="shared" si="5"/>
        <v>0</v>
      </c>
      <c r="W45" s="710">
        <f t="shared" si="5"/>
        <v>1</v>
      </c>
      <c r="X45" s="710">
        <f t="shared" si="5"/>
        <v>0</v>
      </c>
      <c r="Y45" s="710">
        <f t="shared" si="5"/>
        <v>0</v>
      </c>
      <c r="Z45" s="710">
        <f t="shared" si="5"/>
        <v>0</v>
      </c>
      <c r="AA45" s="710">
        <f t="shared" si="5"/>
        <v>0</v>
      </c>
      <c r="AB45" s="710">
        <f t="shared" si="5"/>
        <v>1</v>
      </c>
      <c r="AC45" s="710">
        <f t="shared" si="5"/>
        <v>0</v>
      </c>
      <c r="AD45" s="710">
        <f t="shared" si="5"/>
        <v>0</v>
      </c>
      <c r="AE45" s="710" t="str">
        <f t="shared" si="5"/>
        <v/>
      </c>
      <c r="AF45" s="710" t="str">
        <f t="shared" si="5"/>
        <v/>
      </c>
      <c r="AG45" s="710" t="str">
        <f t="shared" si="5"/>
        <v/>
      </c>
    </row>
    <row r="46" spans="1:33" ht="10.5" customHeight="1" outlineLevel="1">
      <c r="A46" s="128"/>
      <c r="B46" s="128"/>
      <c r="C46" s="275"/>
      <c r="D46" s="241"/>
      <c r="E46" s="241"/>
      <c r="F46" s="275"/>
      <c r="G46" s="241"/>
      <c r="H46" s="241"/>
      <c r="I46" s="241"/>
      <c r="J46" s="241"/>
      <c r="K46" s="241"/>
      <c r="L46" s="241"/>
      <c r="M46" s="241"/>
      <c r="N46" s="241"/>
      <c r="O46" s="241"/>
      <c r="P46" s="241"/>
      <c r="Q46" s="241"/>
      <c r="R46" s="241"/>
      <c r="S46" s="241"/>
      <c r="T46" s="241"/>
      <c r="U46" s="241"/>
      <c r="V46" s="241"/>
      <c r="W46" s="241"/>
      <c r="X46" s="241"/>
      <c r="Y46" s="241"/>
      <c r="Z46" s="241"/>
      <c r="AA46" s="241"/>
      <c r="AB46" s="241"/>
      <c r="AC46" s="241"/>
      <c r="AD46" s="241"/>
      <c r="AE46" s="241"/>
      <c r="AF46" s="241"/>
      <c r="AG46" s="241"/>
    </row>
    <row r="47" spans="1:33">
      <c r="A47" s="128"/>
      <c r="B47" s="128"/>
      <c r="C47" s="275" t="s">
        <v>291</v>
      </c>
      <c r="D47" s="287"/>
      <c r="E47" s="287"/>
      <c r="F47" s="275" t="s">
        <v>291</v>
      </c>
      <c r="G47" s="287"/>
      <c r="H47" s="287"/>
      <c r="I47" s="287"/>
      <c r="J47" s="128"/>
      <c r="K47" s="275"/>
      <c r="L47" s="128"/>
      <c r="M47" s="241"/>
      <c r="N47" s="241"/>
      <c r="O47" s="241"/>
      <c r="P47" s="241"/>
      <c r="Q47" s="241"/>
      <c r="R47" s="241"/>
      <c r="S47" s="241"/>
      <c r="T47" s="241"/>
      <c r="U47" s="241"/>
      <c r="V47" s="241"/>
      <c r="W47" s="241"/>
      <c r="X47" s="241"/>
      <c r="Y47" s="241"/>
      <c r="Z47" s="241"/>
      <c r="AA47" s="241"/>
      <c r="AB47" s="241"/>
      <c r="AC47" s="241"/>
      <c r="AD47" s="241"/>
      <c r="AE47" s="241"/>
      <c r="AF47" s="241"/>
      <c r="AG47" s="241"/>
    </row>
    <row r="48" spans="1:33" ht="10.5" customHeight="1">
      <c r="A48" s="128"/>
      <c r="B48" s="128"/>
      <c r="C48" s="331"/>
      <c r="D48" s="275"/>
      <c r="E48" s="128"/>
      <c r="F48" s="128"/>
      <c r="G48" s="128"/>
      <c r="H48" s="128"/>
      <c r="I48" s="128"/>
      <c r="J48" s="128"/>
      <c r="K48" s="128"/>
      <c r="L48" s="128"/>
      <c r="M48" s="241"/>
      <c r="N48" s="241"/>
      <c r="O48" s="241"/>
      <c r="P48" s="241"/>
      <c r="Q48" s="241"/>
      <c r="R48" s="241"/>
      <c r="S48" s="241"/>
      <c r="T48" s="241"/>
      <c r="U48" s="241"/>
      <c r="V48" s="241"/>
      <c r="W48" s="241"/>
      <c r="X48" s="241"/>
      <c r="Y48" s="241"/>
      <c r="Z48" s="241"/>
      <c r="AA48" s="241"/>
      <c r="AB48" s="241"/>
      <c r="AC48" s="241"/>
      <c r="AD48" s="241"/>
      <c r="AE48" s="241"/>
      <c r="AF48" s="241"/>
      <c r="AG48" s="241"/>
    </row>
    <row r="49" spans="1:33" ht="21.75" customHeight="1" thickBot="1">
      <c r="A49" s="323"/>
      <c r="B49" s="323"/>
      <c r="C49" s="323" t="s">
        <v>262</v>
      </c>
      <c r="D49" s="323"/>
      <c r="E49" s="323"/>
      <c r="F49" s="323"/>
      <c r="G49" s="323"/>
      <c r="H49" s="323"/>
      <c r="I49" s="323"/>
      <c r="J49" s="323"/>
      <c r="K49" s="323"/>
      <c r="L49" s="323"/>
      <c r="M49" s="323"/>
      <c r="N49" s="323"/>
      <c r="O49" s="323"/>
      <c r="P49" s="323"/>
      <c r="Q49" s="323"/>
      <c r="R49" s="323"/>
      <c r="S49" s="323"/>
      <c r="T49" s="323"/>
      <c r="U49" s="323"/>
      <c r="V49" s="323"/>
      <c r="W49" s="323"/>
      <c r="X49" s="323"/>
      <c r="Y49" s="323"/>
      <c r="Z49" s="323"/>
      <c r="AA49" s="323"/>
      <c r="AB49" s="323"/>
      <c r="AC49" s="323"/>
      <c r="AD49" s="323"/>
      <c r="AE49" s="323"/>
      <c r="AF49" s="323"/>
      <c r="AG49" s="323"/>
    </row>
    <row r="50" spans="1:33" ht="16.5" customHeight="1" outlineLevel="1">
      <c r="A50" s="128"/>
      <c r="B50" s="430" t="str">
        <f>B12</f>
        <v>1.</v>
      </c>
      <c r="C50" s="331" t="str">
        <f>C12</f>
        <v>Direct Labor Staff</v>
      </c>
      <c r="D50" s="275" t="s">
        <v>316</v>
      </c>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row>
    <row r="51" spans="1:33" ht="16.5" customHeight="1" outlineLevel="1">
      <c r="A51" s="128"/>
      <c r="B51" s="128"/>
      <c r="C51" s="331" t="str">
        <f t="shared" ref="C51:C56" si="6">C15</f>
        <v/>
      </c>
      <c r="D51" s="275"/>
      <c r="E51" s="128"/>
      <c r="F51" s="128"/>
      <c r="G51" s="128"/>
      <c r="H51" s="128"/>
      <c r="I51" s="332"/>
      <c r="J51" s="332"/>
      <c r="K51" s="332"/>
      <c r="L51" s="332"/>
      <c r="M51" s="332"/>
      <c r="N51" s="332"/>
      <c r="O51" s="332"/>
      <c r="P51" s="332"/>
      <c r="Q51" s="332"/>
      <c r="R51" s="332"/>
      <c r="S51" s="332"/>
      <c r="T51" s="332"/>
      <c r="U51" s="332"/>
      <c r="V51" s="332"/>
      <c r="W51" s="332"/>
      <c r="X51" s="332"/>
      <c r="Y51" s="332"/>
      <c r="Z51" s="332"/>
      <c r="AA51" s="332"/>
      <c r="AB51" s="332"/>
      <c r="AC51" s="332"/>
      <c r="AD51" s="332"/>
      <c r="AE51" s="332"/>
      <c r="AF51" s="332"/>
      <c r="AG51" s="332"/>
    </row>
    <row r="52" spans="1:33" ht="16.5" customHeight="1" outlineLevel="1">
      <c r="A52" s="128"/>
      <c r="B52" s="430" t="str">
        <f>B16</f>
        <v>2.</v>
      </c>
      <c r="C52" s="331" t="str">
        <f t="shared" si="6"/>
        <v>Management &amp; Administration Staff</v>
      </c>
      <c r="D52" s="275"/>
      <c r="E52" s="128"/>
      <c r="F52" s="128"/>
      <c r="G52" s="128"/>
      <c r="H52" s="128"/>
      <c r="I52" s="332"/>
      <c r="J52" s="332"/>
      <c r="K52" s="332"/>
      <c r="L52" s="332"/>
      <c r="M52" s="332"/>
      <c r="N52" s="332"/>
      <c r="O52" s="332"/>
      <c r="P52" s="332"/>
      <c r="Q52" s="332"/>
      <c r="R52" s="332"/>
      <c r="S52" s="332"/>
      <c r="T52" s="332"/>
      <c r="U52" s="332"/>
      <c r="V52" s="332"/>
      <c r="W52" s="332"/>
      <c r="X52" s="332"/>
      <c r="Y52" s="332"/>
      <c r="Z52" s="332"/>
      <c r="AA52" s="332"/>
      <c r="AB52" s="332"/>
      <c r="AC52" s="332"/>
      <c r="AD52" s="332"/>
      <c r="AE52" s="332"/>
      <c r="AF52" s="332"/>
      <c r="AG52" s="332"/>
    </row>
    <row r="53" spans="1:33" ht="16.5" customHeight="1" outlineLevel="1">
      <c r="A53" s="128"/>
      <c r="B53" s="128"/>
      <c r="C53" s="40" t="str">
        <f t="shared" si="6"/>
        <v>Fill in name or positon here</v>
      </c>
      <c r="D53" s="8" t="str">
        <f>Currency_Label</f>
        <v>USD</v>
      </c>
      <c r="E53" s="128"/>
      <c r="F53" s="128"/>
      <c r="G53" s="128"/>
      <c r="H53" s="128"/>
      <c r="I53" s="71">
        <f>SUM(J53:AG53)</f>
        <v>88645.833333333314</v>
      </c>
      <c r="J53" s="233">
        <f>J17*LOOKUP(J$8,Inputs!$G$48:$K$48,Inputs!$G55:$K55)/months_yr*J$6</f>
        <v>4166.666666666667</v>
      </c>
      <c r="K53" s="233">
        <f>K17*LOOKUP(K$8,Inputs!$G$48:$K$48,Inputs!$G55:$K55)/months_yr*K$6</f>
        <v>4166.666666666667</v>
      </c>
      <c r="L53" s="233">
        <f>L17*LOOKUP(L$8,Inputs!$G$48:$K$48,Inputs!$G55:$K55)/months_yr*L$6</f>
        <v>4166.666666666667</v>
      </c>
      <c r="M53" s="233">
        <f>M17*LOOKUP(M$8,Inputs!$G$48:$K$48,Inputs!$G55:$K55)/months_yr*M$6</f>
        <v>4166.666666666667</v>
      </c>
      <c r="N53" s="233">
        <f>N17*LOOKUP(N$8,Inputs!$G$48:$K$48,Inputs!$G55:$K55)/months_yr*N$6</f>
        <v>4166.666666666667</v>
      </c>
      <c r="O53" s="233">
        <f>O17*LOOKUP(O$8,Inputs!$G$48:$K$48,Inputs!$G55:$K55)/months_yr*O$6</f>
        <v>4166.666666666667</v>
      </c>
      <c r="P53" s="233">
        <f>P17*LOOKUP(P$8,Inputs!$G$48:$K$48,Inputs!$G55:$K55)/months_yr*P$6</f>
        <v>4166.666666666667</v>
      </c>
      <c r="Q53" s="233">
        <f>Q17*LOOKUP(Q$8,Inputs!$G$48:$K$48,Inputs!$G55:$K55)/months_yr*Q$6</f>
        <v>4166.666666666667</v>
      </c>
      <c r="R53" s="233">
        <f>R17*LOOKUP(R$8,Inputs!$G$48:$K$48,Inputs!$G55:$K55)/months_yr*R$6</f>
        <v>4166.666666666667</v>
      </c>
      <c r="S53" s="233">
        <f>S17*LOOKUP(S$8,Inputs!$G$48:$K$48,Inputs!$G55:$K55)/months_yr*S$6</f>
        <v>4166.666666666667</v>
      </c>
      <c r="T53" s="233">
        <f>T17*LOOKUP(T$8,Inputs!$G$48:$K$48,Inputs!$G55:$K55)/months_yr*T$6</f>
        <v>4270.833333333333</v>
      </c>
      <c r="U53" s="233">
        <f>U17*LOOKUP(U$8,Inputs!$G$48:$K$48,Inputs!$G55:$K55)/months_yr*U$6</f>
        <v>4270.833333333333</v>
      </c>
      <c r="V53" s="233">
        <f>V17*LOOKUP(V$8,Inputs!$G$48:$K$48,Inputs!$G55:$K55)/months_yr*V$6</f>
        <v>4270.833333333333</v>
      </c>
      <c r="W53" s="233">
        <f>W17*LOOKUP(W$8,Inputs!$G$48:$K$48,Inputs!$G55:$K55)/months_yr*W$6</f>
        <v>4270.833333333333</v>
      </c>
      <c r="X53" s="233">
        <f>X17*LOOKUP(X$8,Inputs!$G$48:$K$48,Inputs!$G55:$K55)/months_yr*X$6</f>
        <v>4270.833333333333</v>
      </c>
      <c r="Y53" s="233">
        <f>Y17*LOOKUP(Y$8,Inputs!$G$48:$K$48,Inputs!$G55:$K55)/months_yr*Y$6</f>
        <v>4270.833333333333</v>
      </c>
      <c r="Z53" s="233">
        <f>Z17*LOOKUP(Z$8,Inputs!$G$48:$K$48,Inputs!$G55:$K55)/months_yr*Z$6</f>
        <v>4270.833333333333</v>
      </c>
      <c r="AA53" s="233">
        <f>AA17*LOOKUP(AA$8,Inputs!$G$48:$K$48,Inputs!$G55:$K55)/months_yr*AA$6</f>
        <v>4270.833333333333</v>
      </c>
      <c r="AB53" s="233">
        <f>AB17*LOOKUP(AB$8,Inputs!$G$48:$K$48,Inputs!$G55:$K55)/months_yr*AB$6</f>
        <v>4270.833333333333</v>
      </c>
      <c r="AC53" s="233">
        <f>AC17*LOOKUP(AC$8,Inputs!$G$48:$K$48,Inputs!$G55:$K55)/months_yr*AC$6</f>
        <v>4270.833333333333</v>
      </c>
      <c r="AD53" s="233">
        <f>AD17*LOOKUP(AD$8,Inputs!$G$48:$K$48,Inputs!$G55:$K55)/months_yr*AD$6</f>
        <v>4270.833333333333</v>
      </c>
      <c r="AE53" s="233">
        <f>AE17*LOOKUP(AE$8,Inputs!$G$48:$K$48,Inputs!$G55:$K55)/months_yr*AE$6</f>
        <v>0</v>
      </c>
      <c r="AF53" s="233">
        <f>AF17*LOOKUP(AF$8,Inputs!$G$48:$K$48,Inputs!$G55:$K55)/months_yr*AF$6</f>
        <v>0</v>
      </c>
      <c r="AG53" s="233">
        <f>AG17*LOOKUP(AG$8,Inputs!$G$48:$K$48,Inputs!$G55:$K55)/months_yr*AG$6</f>
        <v>0</v>
      </c>
    </row>
    <row r="54" spans="1:33" ht="16.5" customHeight="1" outlineLevel="1">
      <c r="A54" s="128"/>
      <c r="B54" s="128"/>
      <c r="C54" s="40" t="str">
        <f t="shared" si="6"/>
        <v>Fill in name or positon here</v>
      </c>
      <c r="D54" s="8" t="str">
        <f>Currency_Label</f>
        <v>USD</v>
      </c>
      <c r="E54" s="128"/>
      <c r="F54" s="128"/>
      <c r="G54" s="128"/>
      <c r="H54" s="128"/>
      <c r="I54" s="71">
        <f>SUM(J54:AG54)</f>
        <v>37583.333333333336</v>
      </c>
      <c r="J54" s="233">
        <f>J18*LOOKUP(J$8,Inputs!$G$48:$K$48,Inputs!$G56:$K56)/months_yr*J$6</f>
        <v>0</v>
      </c>
      <c r="K54" s="233">
        <f>K18*LOOKUP(K$8,Inputs!$G$48:$K$48,Inputs!$G56:$K56)/months_yr*K$6</f>
        <v>0</v>
      </c>
      <c r="L54" s="233">
        <f>L18*LOOKUP(L$8,Inputs!$G$48:$K$48,Inputs!$G56:$K56)/months_yr*L$6</f>
        <v>0</v>
      </c>
      <c r="M54" s="233">
        <f>M18*LOOKUP(M$8,Inputs!$G$48:$K$48,Inputs!$G56:$K56)/months_yr*M$6</f>
        <v>0</v>
      </c>
      <c r="N54" s="233">
        <f>N18*LOOKUP(N$8,Inputs!$G$48:$K$48,Inputs!$G56:$K56)/months_yr*N$6</f>
        <v>0</v>
      </c>
      <c r="O54" s="233">
        <f>O18*LOOKUP(O$8,Inputs!$G$48:$K$48,Inputs!$G56:$K56)/months_yr*O$6</f>
        <v>0</v>
      </c>
      <c r="P54" s="233">
        <f>P18*LOOKUP(P$8,Inputs!$G$48:$K$48,Inputs!$G56:$K56)/months_yr*P$6</f>
        <v>0</v>
      </c>
      <c r="Q54" s="233">
        <f>Q18*LOOKUP(Q$8,Inputs!$G$48:$K$48,Inputs!$G56:$K56)/months_yr*Q$6</f>
        <v>0</v>
      </c>
      <c r="R54" s="233">
        <f>R18*LOOKUP(R$8,Inputs!$G$48:$K$48,Inputs!$G56:$K56)/months_yr*R$6</f>
        <v>0</v>
      </c>
      <c r="S54" s="233">
        <f>S18*LOOKUP(S$8,Inputs!$G$48:$K$48,Inputs!$G56:$K56)/months_yr*S$6</f>
        <v>0</v>
      </c>
      <c r="T54" s="233">
        <f>T18*LOOKUP(T$8,Inputs!$G$48:$K$48,Inputs!$G56:$K56)/months_yr*T$6</f>
        <v>3416.6666666666665</v>
      </c>
      <c r="U54" s="233">
        <f>U18*LOOKUP(U$8,Inputs!$G$48:$K$48,Inputs!$G56:$K56)/months_yr*U$6</f>
        <v>3416.6666666666665</v>
      </c>
      <c r="V54" s="233">
        <f>V18*LOOKUP(V$8,Inputs!$G$48:$K$48,Inputs!$G56:$K56)/months_yr*V$6</f>
        <v>3416.6666666666665</v>
      </c>
      <c r="W54" s="233">
        <f>W18*LOOKUP(W$8,Inputs!$G$48:$K$48,Inputs!$G56:$K56)/months_yr*W$6</f>
        <v>3416.6666666666665</v>
      </c>
      <c r="X54" s="233">
        <f>X18*LOOKUP(X$8,Inputs!$G$48:$K$48,Inputs!$G56:$K56)/months_yr*X$6</f>
        <v>3416.6666666666665</v>
      </c>
      <c r="Y54" s="233">
        <f>Y18*LOOKUP(Y$8,Inputs!$G$48:$K$48,Inputs!$G56:$K56)/months_yr*Y$6</f>
        <v>3416.6666666666665</v>
      </c>
      <c r="Z54" s="233">
        <f>Z18*LOOKUP(Z$8,Inputs!$G$48:$K$48,Inputs!$G56:$K56)/months_yr*Z$6</f>
        <v>3416.6666666666665</v>
      </c>
      <c r="AA54" s="233">
        <f>AA18*LOOKUP(AA$8,Inputs!$G$48:$K$48,Inputs!$G56:$K56)/months_yr*AA$6</f>
        <v>3416.6666666666665</v>
      </c>
      <c r="AB54" s="233">
        <f>AB18*LOOKUP(AB$8,Inputs!$G$48:$K$48,Inputs!$G56:$K56)/months_yr*AB$6</f>
        <v>3416.6666666666665</v>
      </c>
      <c r="AC54" s="233">
        <f>AC18*LOOKUP(AC$8,Inputs!$G$48:$K$48,Inputs!$G56:$K56)/months_yr*AC$6</f>
        <v>3416.6666666666665</v>
      </c>
      <c r="AD54" s="233">
        <f>AD18*LOOKUP(AD$8,Inputs!$G$48:$K$48,Inputs!$G56:$K56)/months_yr*AD$6</f>
        <v>3416.6666666666665</v>
      </c>
      <c r="AE54" s="233">
        <f>AE18*LOOKUP(AE$8,Inputs!$G$48:$K$48,Inputs!$G56:$K56)/months_yr*AE$6</f>
        <v>0</v>
      </c>
      <c r="AF54" s="233">
        <f>AF18*LOOKUP(AF$8,Inputs!$G$48:$K$48,Inputs!$G56:$K56)/months_yr*AF$6</f>
        <v>0</v>
      </c>
      <c r="AG54" s="233">
        <f>AG18*LOOKUP(AG$8,Inputs!$G$48:$K$48,Inputs!$G56:$K56)/months_yr*AG$6</f>
        <v>0</v>
      </c>
    </row>
    <row r="55" spans="1:33" s="203" customFormat="1" ht="16.5" customHeight="1" outlineLevel="1">
      <c r="A55" s="128"/>
      <c r="B55" s="128"/>
      <c r="C55" s="40" t="str">
        <f t="shared" si="6"/>
        <v>Fill in name or positon here</v>
      </c>
      <c r="D55" s="8" t="str">
        <f>Currency_Label</f>
        <v>USD</v>
      </c>
      <c r="E55" s="128"/>
      <c r="F55" s="128"/>
      <c r="G55" s="128"/>
      <c r="H55" s="128"/>
      <c r="I55" s="71">
        <f>SUM(J55:AG55)</f>
        <v>0</v>
      </c>
      <c r="J55" s="233">
        <f>J19*LOOKUP(J$8,Inputs!$G$48:$K$48,Inputs!$G57:$K57)/months_yr*J$6</f>
        <v>0</v>
      </c>
      <c r="K55" s="233">
        <f>K19*LOOKUP(K$8,Inputs!$G$48:$K$48,Inputs!$G57:$K57)/months_yr*K$6</f>
        <v>0</v>
      </c>
      <c r="L55" s="233">
        <f>L19*LOOKUP(L$8,Inputs!$G$48:$K$48,Inputs!$G57:$K57)/months_yr*L$6</f>
        <v>0</v>
      </c>
      <c r="M55" s="233">
        <f>M19*LOOKUP(M$8,Inputs!$G$48:$K$48,Inputs!$G57:$K57)/months_yr*M$6</f>
        <v>0</v>
      </c>
      <c r="N55" s="233">
        <f>N19*LOOKUP(N$8,Inputs!$G$48:$K$48,Inputs!$G57:$K57)/months_yr*N$6</f>
        <v>0</v>
      </c>
      <c r="O55" s="233">
        <f>O19*LOOKUP(O$8,Inputs!$G$48:$K$48,Inputs!$G57:$K57)/months_yr*O$6</f>
        <v>0</v>
      </c>
      <c r="P55" s="233">
        <f>P19*LOOKUP(P$8,Inputs!$G$48:$K$48,Inputs!$G57:$K57)/months_yr*P$6</f>
        <v>0</v>
      </c>
      <c r="Q55" s="233">
        <f>Q19*LOOKUP(Q$8,Inputs!$G$48:$K$48,Inputs!$G57:$K57)/months_yr*Q$6</f>
        <v>0</v>
      </c>
      <c r="R55" s="233">
        <f>R19*LOOKUP(R$8,Inputs!$G$48:$K$48,Inputs!$G57:$K57)/months_yr*R$6</f>
        <v>0</v>
      </c>
      <c r="S55" s="233">
        <f>S19*LOOKUP(S$8,Inputs!$G$48:$K$48,Inputs!$G57:$K57)/months_yr*S$6</f>
        <v>0</v>
      </c>
      <c r="T55" s="233">
        <f>T19*LOOKUP(T$8,Inputs!$G$48:$K$48,Inputs!$G57:$K57)/months_yr*T$6</f>
        <v>0</v>
      </c>
      <c r="U55" s="233">
        <f>U19*LOOKUP(U$8,Inputs!$G$48:$K$48,Inputs!$G57:$K57)/months_yr*U$6</f>
        <v>0</v>
      </c>
      <c r="V55" s="233">
        <f>V19*LOOKUP(V$8,Inputs!$G$48:$K$48,Inputs!$G57:$K57)/months_yr*V$6</f>
        <v>0</v>
      </c>
      <c r="W55" s="233">
        <f>W19*LOOKUP(W$8,Inputs!$G$48:$K$48,Inputs!$G57:$K57)/months_yr*W$6</f>
        <v>0</v>
      </c>
      <c r="X55" s="233">
        <f>X19*LOOKUP(X$8,Inputs!$G$48:$K$48,Inputs!$G57:$K57)/months_yr*X$6</f>
        <v>0</v>
      </c>
      <c r="Y55" s="233">
        <f>Y19*LOOKUP(Y$8,Inputs!$G$48:$K$48,Inputs!$G57:$K57)/months_yr*Y$6</f>
        <v>0</v>
      </c>
      <c r="Z55" s="233">
        <f>Z19*LOOKUP(Z$8,Inputs!$G$48:$K$48,Inputs!$G57:$K57)/months_yr*Z$6</f>
        <v>0</v>
      </c>
      <c r="AA55" s="233">
        <f>AA19*LOOKUP(AA$8,Inputs!$G$48:$K$48,Inputs!$G57:$K57)/months_yr*AA$6</f>
        <v>0</v>
      </c>
      <c r="AB55" s="233">
        <f>AB19*LOOKUP(AB$8,Inputs!$G$48:$K$48,Inputs!$G57:$K57)/months_yr*AB$6</f>
        <v>0</v>
      </c>
      <c r="AC55" s="233">
        <f>AC19*LOOKUP(AC$8,Inputs!$G$48:$K$48,Inputs!$G57:$K57)/months_yr*AC$6</f>
        <v>0</v>
      </c>
      <c r="AD55" s="233">
        <f>AD19*LOOKUP(AD$8,Inputs!$G$48:$K$48,Inputs!$G57:$K57)/months_yr*AD$6</f>
        <v>0</v>
      </c>
      <c r="AE55" s="233">
        <f>AE19*LOOKUP(AE$8,Inputs!$G$48:$K$48,Inputs!$G57:$K57)/months_yr*AE$6</f>
        <v>0</v>
      </c>
      <c r="AF55" s="233">
        <f>AF19*LOOKUP(AF$8,Inputs!$G$48:$K$48,Inputs!$G57:$K57)/months_yr*AF$6</f>
        <v>0</v>
      </c>
      <c r="AG55" s="233">
        <f>AG19*LOOKUP(AG$8,Inputs!$G$48:$K$48,Inputs!$G57:$K57)/months_yr*AG$6</f>
        <v>0</v>
      </c>
    </row>
    <row r="56" spans="1:33" ht="16.5" customHeight="1" outlineLevel="1">
      <c r="A56" s="128"/>
      <c r="B56" s="128"/>
      <c r="C56" s="40" t="str">
        <f t="shared" si="6"/>
        <v>Fill in name or positon here</v>
      </c>
      <c r="D56" s="8" t="str">
        <f>Currency_Label</f>
        <v>USD</v>
      </c>
      <c r="E56" s="128"/>
      <c r="F56" s="128"/>
      <c r="G56" s="128"/>
      <c r="H56" s="128"/>
      <c r="I56" s="71">
        <f>SUM(J56:AG56)</f>
        <v>0</v>
      </c>
      <c r="J56" s="233">
        <f>J20*LOOKUP(J$8,Inputs!$G$48:$K$48,Inputs!$G58:$K58)/months_yr*J$6</f>
        <v>0</v>
      </c>
      <c r="K56" s="233">
        <f>K20*LOOKUP(K$8,Inputs!$G$48:$K$48,Inputs!$G58:$K58)/months_yr*K$6</f>
        <v>0</v>
      </c>
      <c r="L56" s="233">
        <f>L20*LOOKUP(L$8,Inputs!$G$48:$K$48,Inputs!$G58:$K58)/months_yr*L$6</f>
        <v>0</v>
      </c>
      <c r="M56" s="233">
        <f>M20*LOOKUP(M$8,Inputs!$G$48:$K$48,Inputs!$G58:$K58)/months_yr*M$6</f>
        <v>0</v>
      </c>
      <c r="N56" s="233">
        <f>N20*LOOKUP(N$8,Inputs!$G$48:$K$48,Inputs!$G58:$K58)/months_yr*N$6</f>
        <v>0</v>
      </c>
      <c r="O56" s="233">
        <f>O20*LOOKUP(O$8,Inputs!$G$48:$K$48,Inputs!$G58:$K58)/months_yr*O$6</f>
        <v>0</v>
      </c>
      <c r="P56" s="233">
        <f>P20*LOOKUP(P$8,Inputs!$G$48:$K$48,Inputs!$G58:$K58)/months_yr*P$6</f>
        <v>0</v>
      </c>
      <c r="Q56" s="233">
        <f>Q20*LOOKUP(Q$8,Inputs!$G$48:$K$48,Inputs!$G58:$K58)/months_yr*Q$6</f>
        <v>0</v>
      </c>
      <c r="R56" s="233">
        <f>R20*LOOKUP(R$8,Inputs!$G$48:$K$48,Inputs!$G58:$K58)/months_yr*R$6</f>
        <v>0</v>
      </c>
      <c r="S56" s="233">
        <f>S20*LOOKUP(S$8,Inputs!$G$48:$K$48,Inputs!$G58:$K58)/months_yr*S$6</f>
        <v>0</v>
      </c>
      <c r="T56" s="233">
        <f>T20*LOOKUP(T$8,Inputs!$G$48:$K$48,Inputs!$G58:$K58)/months_yr*T$6</f>
        <v>0</v>
      </c>
      <c r="U56" s="233">
        <f>U20*LOOKUP(U$8,Inputs!$G$48:$K$48,Inputs!$G58:$K58)/months_yr*U$6</f>
        <v>0</v>
      </c>
      <c r="V56" s="233">
        <f>V20*LOOKUP(V$8,Inputs!$G$48:$K$48,Inputs!$G58:$K58)/months_yr*V$6</f>
        <v>0</v>
      </c>
      <c r="W56" s="233">
        <f>W20*LOOKUP(W$8,Inputs!$G$48:$K$48,Inputs!$G58:$K58)/months_yr*W$6</f>
        <v>0</v>
      </c>
      <c r="X56" s="233">
        <f>X20*LOOKUP(X$8,Inputs!$G$48:$K$48,Inputs!$G58:$K58)/months_yr*X$6</f>
        <v>0</v>
      </c>
      <c r="Y56" s="233">
        <f>Y20*LOOKUP(Y$8,Inputs!$G$48:$K$48,Inputs!$G58:$K58)/months_yr*Y$6</f>
        <v>0</v>
      </c>
      <c r="Z56" s="233">
        <f>Z20*LOOKUP(Z$8,Inputs!$G$48:$K$48,Inputs!$G58:$K58)/months_yr*Z$6</f>
        <v>0</v>
      </c>
      <c r="AA56" s="233">
        <f>AA20*LOOKUP(AA$8,Inputs!$G$48:$K$48,Inputs!$G58:$K58)/months_yr*AA$6</f>
        <v>0</v>
      </c>
      <c r="AB56" s="233">
        <f>AB20*LOOKUP(AB$8,Inputs!$G$48:$K$48,Inputs!$G58:$K58)/months_yr*AB$6</f>
        <v>0</v>
      </c>
      <c r="AC56" s="233">
        <f>AC20*LOOKUP(AC$8,Inputs!$G$48:$K$48,Inputs!$G58:$K58)/months_yr*AC$6</f>
        <v>0</v>
      </c>
      <c r="AD56" s="233">
        <f>AD20*LOOKUP(AD$8,Inputs!$G$48:$K$48,Inputs!$G58:$K58)/months_yr*AD$6</f>
        <v>0</v>
      </c>
      <c r="AE56" s="233">
        <f>AE20*LOOKUP(AE$8,Inputs!$G$48:$K$48,Inputs!$G58:$K58)/months_yr*AE$6</f>
        <v>0</v>
      </c>
      <c r="AF56" s="233">
        <f>AF20*LOOKUP(AF$8,Inputs!$G$48:$K$48,Inputs!$G58:$K58)/months_yr*AF$6</f>
        <v>0</v>
      </c>
      <c r="AG56" s="233">
        <f>AG20*LOOKUP(AG$8,Inputs!$G$48:$K$48,Inputs!$G58:$K58)/months_yr*AG$6</f>
        <v>0</v>
      </c>
    </row>
    <row r="57" spans="1:33" ht="16.5" customHeight="1" outlineLevel="1">
      <c r="A57" s="128"/>
      <c r="B57" s="128"/>
      <c r="C57" s="75" t="s">
        <v>280</v>
      </c>
      <c r="D57" s="8" t="str">
        <f>Currency_Label</f>
        <v>USD</v>
      </c>
      <c r="E57" s="36"/>
      <c r="F57" s="36"/>
      <c r="G57" s="36"/>
      <c r="H57" s="36"/>
      <c r="I57" s="71">
        <f>SUM(J57:AG57)</f>
        <v>126229.16666666666</v>
      </c>
      <c r="J57" s="129">
        <f>SUM(J53:J56)</f>
        <v>4166.666666666667</v>
      </c>
      <c r="K57" s="129">
        <f t="shared" ref="K57:AG57" si="7">SUM(K53:K56)</f>
        <v>4166.666666666667</v>
      </c>
      <c r="L57" s="129">
        <f t="shared" si="7"/>
        <v>4166.666666666667</v>
      </c>
      <c r="M57" s="129">
        <f t="shared" si="7"/>
        <v>4166.666666666667</v>
      </c>
      <c r="N57" s="129">
        <f t="shared" si="7"/>
        <v>4166.666666666667</v>
      </c>
      <c r="O57" s="129">
        <f t="shared" si="7"/>
        <v>4166.666666666667</v>
      </c>
      <c r="P57" s="129">
        <f t="shared" si="7"/>
        <v>4166.666666666667</v>
      </c>
      <c r="Q57" s="129">
        <f t="shared" si="7"/>
        <v>4166.666666666667</v>
      </c>
      <c r="R57" s="129">
        <f t="shared" si="7"/>
        <v>4166.666666666667</v>
      </c>
      <c r="S57" s="129">
        <f t="shared" si="7"/>
        <v>4166.666666666667</v>
      </c>
      <c r="T57" s="129">
        <f t="shared" si="7"/>
        <v>7687.5</v>
      </c>
      <c r="U57" s="129">
        <f t="shared" si="7"/>
        <v>7687.5</v>
      </c>
      <c r="V57" s="129">
        <f t="shared" si="7"/>
        <v>7687.5</v>
      </c>
      <c r="W57" s="129">
        <f t="shared" si="7"/>
        <v>7687.5</v>
      </c>
      <c r="X57" s="129">
        <f t="shared" si="7"/>
        <v>7687.5</v>
      </c>
      <c r="Y57" s="129">
        <f t="shared" si="7"/>
        <v>7687.5</v>
      </c>
      <c r="Z57" s="129">
        <f t="shared" si="7"/>
        <v>7687.5</v>
      </c>
      <c r="AA57" s="129">
        <f t="shared" si="7"/>
        <v>7687.5</v>
      </c>
      <c r="AB57" s="129">
        <f t="shared" si="7"/>
        <v>7687.5</v>
      </c>
      <c r="AC57" s="129">
        <f t="shared" si="7"/>
        <v>7687.5</v>
      </c>
      <c r="AD57" s="129">
        <f t="shared" si="7"/>
        <v>7687.5</v>
      </c>
      <c r="AE57" s="129">
        <f t="shared" si="7"/>
        <v>0</v>
      </c>
      <c r="AF57" s="129">
        <f t="shared" si="7"/>
        <v>0</v>
      </c>
      <c r="AG57" s="129">
        <f t="shared" si="7"/>
        <v>0</v>
      </c>
    </row>
    <row r="58" spans="1:33" ht="16.5" customHeight="1" outlineLevel="1">
      <c r="A58" s="128"/>
      <c r="B58" s="430"/>
      <c r="C58" s="128"/>
      <c r="D58" s="275"/>
      <c r="E58" s="128"/>
      <c r="F58" s="128"/>
      <c r="G58" s="128"/>
      <c r="H58" s="128"/>
      <c r="I58" s="332"/>
      <c r="J58" s="332"/>
      <c r="K58" s="332"/>
      <c r="L58" s="332"/>
      <c r="M58" s="332"/>
      <c r="N58" s="332"/>
      <c r="O58" s="332"/>
      <c r="P58" s="332"/>
      <c r="Q58" s="332"/>
      <c r="R58" s="332"/>
      <c r="S58" s="332"/>
      <c r="T58" s="332"/>
      <c r="U58" s="332"/>
      <c r="V58" s="332"/>
      <c r="W58" s="332"/>
      <c r="X58" s="332"/>
      <c r="Y58" s="332"/>
      <c r="Z58" s="332"/>
      <c r="AA58" s="332"/>
      <c r="AB58" s="332"/>
      <c r="AC58" s="332"/>
      <c r="AD58" s="332"/>
      <c r="AE58" s="332"/>
      <c r="AF58" s="332"/>
      <c r="AG58" s="332"/>
    </row>
    <row r="59" spans="1:33" ht="16.5" customHeight="1" outlineLevel="1">
      <c r="A59" s="128"/>
      <c r="B59" s="430" t="str">
        <f>B23</f>
        <v>3.</v>
      </c>
      <c r="C59" s="331" t="str">
        <f>C23</f>
        <v>Operational Staff</v>
      </c>
      <c r="D59" s="275"/>
      <c r="E59" s="128"/>
      <c r="F59" s="128"/>
      <c r="G59" s="128"/>
      <c r="H59" s="128"/>
      <c r="I59" s="332"/>
      <c r="J59" s="332"/>
      <c r="K59" s="332"/>
      <c r="L59" s="332"/>
      <c r="M59" s="332"/>
      <c r="N59" s="332"/>
      <c r="O59" s="332"/>
      <c r="P59" s="332"/>
      <c r="Q59" s="332"/>
      <c r="R59" s="332"/>
      <c r="S59" s="332"/>
      <c r="T59" s="332"/>
      <c r="U59" s="332"/>
      <c r="V59" s="332"/>
      <c r="W59" s="332"/>
      <c r="X59" s="332"/>
      <c r="Y59" s="332"/>
      <c r="Z59" s="332"/>
      <c r="AA59" s="332"/>
      <c r="AB59" s="332"/>
      <c r="AC59" s="332"/>
      <c r="AD59" s="332"/>
      <c r="AE59" s="332"/>
      <c r="AF59" s="332"/>
      <c r="AG59" s="332"/>
    </row>
    <row r="60" spans="1:33" ht="16.5" customHeight="1" outlineLevel="1">
      <c r="A60" s="128"/>
      <c r="B60" s="128"/>
      <c r="C60" s="40" t="str">
        <f>C24</f>
        <v>Fill in name or positon here</v>
      </c>
      <c r="D60" s="8" t="str">
        <f>Currency_Label</f>
        <v>USD</v>
      </c>
      <c r="E60" s="128"/>
      <c r="F60" s="128"/>
      <c r="G60" s="128"/>
      <c r="H60" s="128"/>
      <c r="I60" s="71">
        <f>SUM(J60:AG60)</f>
        <v>112656.25</v>
      </c>
      <c r="J60" s="233">
        <f>J24*LOOKUP(J$8,Inputs!$G$48:$K$48,Inputs!$G61:$K61)/months_yr*J$6</f>
        <v>2916.6666666666665</v>
      </c>
      <c r="K60" s="233">
        <f>K24*LOOKUP(K$8,Inputs!$G$48:$K$48,Inputs!$G61:$K61)/months_yr*K$6</f>
        <v>2916.6666666666665</v>
      </c>
      <c r="L60" s="233">
        <f>L24*LOOKUP(L$8,Inputs!$G$48:$K$48,Inputs!$G61:$K61)/months_yr*L$6</f>
        <v>2916.6666666666665</v>
      </c>
      <c r="M60" s="233">
        <f>M24*LOOKUP(M$8,Inputs!$G$48:$K$48,Inputs!$G61:$K61)/months_yr*M$6</f>
        <v>2916.6666666666665</v>
      </c>
      <c r="N60" s="233">
        <f>N24*LOOKUP(N$8,Inputs!$G$48:$K$48,Inputs!$G61:$K61)/months_yr*N$6</f>
        <v>2916.6666666666665</v>
      </c>
      <c r="O60" s="233">
        <f>O24*LOOKUP(O$8,Inputs!$G$48:$K$48,Inputs!$G61:$K61)/months_yr*O$6</f>
        <v>2916.6666666666665</v>
      </c>
      <c r="P60" s="233">
        <f>P24*LOOKUP(P$8,Inputs!$G$48:$K$48,Inputs!$G61:$K61)/months_yr*P$6</f>
        <v>2916.6666666666665</v>
      </c>
      <c r="Q60" s="233">
        <f>Q24*LOOKUP(Q$8,Inputs!$G$48:$K$48,Inputs!$G61:$K61)/months_yr*Q$6</f>
        <v>5833.333333333333</v>
      </c>
      <c r="R60" s="233">
        <f>R24*LOOKUP(R$8,Inputs!$G$48:$K$48,Inputs!$G61:$K61)/months_yr*R$6</f>
        <v>5833.333333333333</v>
      </c>
      <c r="S60" s="233">
        <f>S24*LOOKUP(S$8,Inputs!$G$48:$K$48,Inputs!$G61:$K61)/months_yr*S$6</f>
        <v>5833.333333333333</v>
      </c>
      <c r="T60" s="233">
        <f>T24*LOOKUP(T$8,Inputs!$G$48:$K$48,Inputs!$G61:$K61)/months_yr*T$6</f>
        <v>5979.166666666667</v>
      </c>
      <c r="U60" s="233">
        <f>U24*LOOKUP(U$8,Inputs!$G$48:$K$48,Inputs!$G61:$K61)/months_yr*U$6</f>
        <v>5979.166666666667</v>
      </c>
      <c r="V60" s="233">
        <f>V24*LOOKUP(V$8,Inputs!$G$48:$K$48,Inputs!$G61:$K61)/months_yr*V$6</f>
        <v>5979.166666666667</v>
      </c>
      <c r="W60" s="233">
        <f>W24*LOOKUP(W$8,Inputs!$G$48:$K$48,Inputs!$G61:$K61)/months_yr*W$6</f>
        <v>5979.166666666667</v>
      </c>
      <c r="X60" s="233">
        <f>X24*LOOKUP(X$8,Inputs!$G$48:$K$48,Inputs!$G61:$K61)/months_yr*X$6</f>
        <v>5979.166666666667</v>
      </c>
      <c r="Y60" s="233">
        <f>Y24*LOOKUP(Y$8,Inputs!$G$48:$K$48,Inputs!$G61:$K61)/months_yr*Y$6</f>
        <v>5979.166666666667</v>
      </c>
      <c r="Z60" s="233">
        <f>Z24*LOOKUP(Z$8,Inputs!$G$48:$K$48,Inputs!$G61:$K61)/months_yr*Z$6</f>
        <v>5979.166666666667</v>
      </c>
      <c r="AA60" s="233">
        <f>AA24*LOOKUP(AA$8,Inputs!$G$48:$K$48,Inputs!$G61:$K61)/months_yr*AA$6</f>
        <v>5979.166666666667</v>
      </c>
      <c r="AB60" s="233">
        <f>AB24*LOOKUP(AB$8,Inputs!$G$48:$K$48,Inputs!$G61:$K61)/months_yr*AB$6</f>
        <v>8968.75</v>
      </c>
      <c r="AC60" s="233">
        <f>AC24*LOOKUP(AC$8,Inputs!$G$48:$K$48,Inputs!$G61:$K61)/months_yr*AC$6</f>
        <v>8968.75</v>
      </c>
      <c r="AD60" s="233">
        <f>AD24*LOOKUP(AD$8,Inputs!$G$48:$K$48,Inputs!$G61:$K61)/months_yr*AD$6</f>
        <v>8968.75</v>
      </c>
      <c r="AE60" s="233">
        <f>AE24*LOOKUP(AE$8,Inputs!$G$48:$K$48,Inputs!$G61:$K61)/months_yr*AE$6</f>
        <v>0</v>
      </c>
      <c r="AF60" s="233">
        <f>AF24*LOOKUP(AF$8,Inputs!$G$48:$K$48,Inputs!$G61:$K61)/months_yr*AF$6</f>
        <v>0</v>
      </c>
      <c r="AG60" s="233">
        <f>AG24*LOOKUP(AG$8,Inputs!$G$48:$K$48,Inputs!$G61:$K61)/months_yr*AG$6</f>
        <v>0</v>
      </c>
    </row>
    <row r="61" spans="1:33" ht="16.5" customHeight="1" outlineLevel="1">
      <c r="A61" s="128"/>
      <c r="B61" s="128"/>
      <c r="C61" s="40" t="str">
        <f>C25</f>
        <v>Fill in name or positon here</v>
      </c>
      <c r="D61" s="8" t="str">
        <f>Currency_Label</f>
        <v>USD</v>
      </c>
      <c r="E61" s="128"/>
      <c r="F61" s="128"/>
      <c r="G61" s="128"/>
      <c r="H61" s="128"/>
      <c r="I61" s="71">
        <f>SUM(J61:AG61)</f>
        <v>47583.333333333328</v>
      </c>
      <c r="J61" s="233">
        <f>J25*LOOKUP(J$8,Inputs!$G$48:$K$48,Inputs!$G62:$K62)/months_yr*J$6</f>
        <v>0</v>
      </c>
      <c r="K61" s="233">
        <f>K25*LOOKUP(K$8,Inputs!$G$48:$K$48,Inputs!$G62:$K62)/months_yr*K$6</f>
        <v>0</v>
      </c>
      <c r="L61" s="233">
        <f>L25*LOOKUP(L$8,Inputs!$G$48:$K$48,Inputs!$G62:$K62)/months_yr*L$6</f>
        <v>0</v>
      </c>
      <c r="M61" s="233">
        <f>M25*LOOKUP(M$8,Inputs!$G$48:$K$48,Inputs!$G62:$K62)/months_yr*M$6</f>
        <v>0</v>
      </c>
      <c r="N61" s="233">
        <f>N25*LOOKUP(N$8,Inputs!$G$48:$K$48,Inputs!$G62:$K62)/months_yr*N$6</f>
        <v>0</v>
      </c>
      <c r="O61" s="233">
        <f>O25*LOOKUP(O$8,Inputs!$G$48:$K$48,Inputs!$G62:$K62)/months_yr*O$6</f>
        <v>0</v>
      </c>
      <c r="P61" s="233">
        <f>P25*LOOKUP(P$8,Inputs!$G$48:$K$48,Inputs!$G62:$K62)/months_yr*P$6</f>
        <v>0</v>
      </c>
      <c r="Q61" s="233">
        <f>Q25*LOOKUP(Q$8,Inputs!$G$48:$K$48,Inputs!$G62:$K62)/months_yr*Q$6</f>
        <v>3333.3333333333335</v>
      </c>
      <c r="R61" s="233">
        <f>R25*LOOKUP(R$8,Inputs!$G$48:$K$48,Inputs!$G62:$K62)/months_yr*R$6</f>
        <v>3333.3333333333335</v>
      </c>
      <c r="S61" s="233">
        <f>S25*LOOKUP(S$8,Inputs!$G$48:$K$48,Inputs!$G62:$K62)/months_yr*S$6</f>
        <v>3333.3333333333335</v>
      </c>
      <c r="T61" s="233">
        <f>T25*LOOKUP(T$8,Inputs!$G$48:$K$48,Inputs!$G62:$K62)/months_yr*T$6</f>
        <v>3416.6666666666665</v>
      </c>
      <c r="U61" s="233">
        <f>U25*LOOKUP(U$8,Inputs!$G$48:$K$48,Inputs!$G62:$K62)/months_yr*U$6</f>
        <v>3416.6666666666665</v>
      </c>
      <c r="V61" s="233">
        <f>V25*LOOKUP(V$8,Inputs!$G$48:$K$48,Inputs!$G62:$K62)/months_yr*V$6</f>
        <v>3416.6666666666665</v>
      </c>
      <c r="W61" s="233">
        <f>W25*LOOKUP(W$8,Inputs!$G$48:$K$48,Inputs!$G62:$K62)/months_yr*W$6</f>
        <v>3416.6666666666665</v>
      </c>
      <c r="X61" s="233">
        <f>X25*LOOKUP(X$8,Inputs!$G$48:$K$48,Inputs!$G62:$K62)/months_yr*X$6</f>
        <v>3416.6666666666665</v>
      </c>
      <c r="Y61" s="233">
        <f>Y25*LOOKUP(Y$8,Inputs!$G$48:$K$48,Inputs!$G62:$K62)/months_yr*Y$6</f>
        <v>3416.6666666666665</v>
      </c>
      <c r="Z61" s="233">
        <f>Z25*LOOKUP(Z$8,Inputs!$G$48:$K$48,Inputs!$G62:$K62)/months_yr*Z$6</f>
        <v>3416.6666666666665</v>
      </c>
      <c r="AA61" s="233">
        <f>AA25*LOOKUP(AA$8,Inputs!$G$48:$K$48,Inputs!$G62:$K62)/months_yr*AA$6</f>
        <v>3416.6666666666665</v>
      </c>
      <c r="AB61" s="233">
        <f>AB25*LOOKUP(AB$8,Inputs!$G$48:$K$48,Inputs!$G62:$K62)/months_yr*AB$6</f>
        <v>3416.6666666666665</v>
      </c>
      <c r="AC61" s="233">
        <f>AC25*LOOKUP(AC$8,Inputs!$G$48:$K$48,Inputs!$G62:$K62)/months_yr*AC$6</f>
        <v>3416.6666666666665</v>
      </c>
      <c r="AD61" s="233">
        <f>AD25*LOOKUP(AD$8,Inputs!$G$48:$K$48,Inputs!$G62:$K62)/months_yr*AD$6</f>
        <v>3416.6666666666665</v>
      </c>
      <c r="AE61" s="233">
        <f>AE25*LOOKUP(AE$8,Inputs!$G$48:$K$48,Inputs!$G62:$K62)/months_yr*AE$6</f>
        <v>0</v>
      </c>
      <c r="AF61" s="233">
        <f>AF25*LOOKUP(AF$8,Inputs!$G$48:$K$48,Inputs!$G62:$K62)/months_yr*AF$6</f>
        <v>0</v>
      </c>
      <c r="AG61" s="233">
        <f>AG25*LOOKUP(AG$8,Inputs!$G$48:$K$48,Inputs!$G62:$K62)/months_yr*AG$6</f>
        <v>0</v>
      </c>
    </row>
    <row r="62" spans="1:33" s="203" customFormat="1" ht="16.5" customHeight="1" outlineLevel="1">
      <c r="A62" s="128"/>
      <c r="B62" s="128"/>
      <c r="C62" s="40" t="str">
        <f>C26</f>
        <v>Fill in name or positon here</v>
      </c>
      <c r="D62" s="8" t="str">
        <f>Currency_Label</f>
        <v>USD</v>
      </c>
      <c r="E62" s="128"/>
      <c r="F62" s="128"/>
      <c r="G62" s="128"/>
      <c r="H62" s="128"/>
      <c r="I62" s="71">
        <f>SUM(J62:AG62)</f>
        <v>0</v>
      </c>
      <c r="J62" s="233">
        <f>J26*LOOKUP(J$8,Inputs!$G$48:$K$48,Inputs!$G63:$K63)/months_yr*J$6</f>
        <v>0</v>
      </c>
      <c r="K62" s="233">
        <f>K26*LOOKUP(K$8,Inputs!$G$48:$K$48,Inputs!$G63:$K63)/months_yr*K$6</f>
        <v>0</v>
      </c>
      <c r="L62" s="233">
        <f>L26*LOOKUP(L$8,Inputs!$G$48:$K$48,Inputs!$G63:$K63)/months_yr*L$6</f>
        <v>0</v>
      </c>
      <c r="M62" s="233">
        <f>M26*LOOKUP(M$8,Inputs!$G$48:$K$48,Inputs!$G63:$K63)/months_yr*M$6</f>
        <v>0</v>
      </c>
      <c r="N62" s="233">
        <f>N26*LOOKUP(N$8,Inputs!$G$48:$K$48,Inputs!$G63:$K63)/months_yr*N$6</f>
        <v>0</v>
      </c>
      <c r="O62" s="233">
        <f>O26*LOOKUP(O$8,Inputs!$G$48:$K$48,Inputs!$G63:$K63)/months_yr*O$6</f>
        <v>0</v>
      </c>
      <c r="P62" s="233">
        <f>P26*LOOKUP(P$8,Inputs!$G$48:$K$48,Inputs!$G63:$K63)/months_yr*P$6</f>
        <v>0</v>
      </c>
      <c r="Q62" s="233">
        <f>Q26*LOOKUP(Q$8,Inputs!$G$48:$K$48,Inputs!$G63:$K63)/months_yr*Q$6</f>
        <v>0</v>
      </c>
      <c r="R62" s="233">
        <f>R26*LOOKUP(R$8,Inputs!$G$48:$K$48,Inputs!$G63:$K63)/months_yr*R$6</f>
        <v>0</v>
      </c>
      <c r="S62" s="233">
        <f>S26*LOOKUP(S$8,Inputs!$G$48:$K$48,Inputs!$G63:$K63)/months_yr*S$6</f>
        <v>0</v>
      </c>
      <c r="T62" s="233">
        <f>T26*LOOKUP(T$8,Inputs!$G$48:$K$48,Inputs!$G63:$K63)/months_yr*T$6</f>
        <v>0</v>
      </c>
      <c r="U62" s="233">
        <f>U26*LOOKUP(U$8,Inputs!$G$48:$K$48,Inputs!$G63:$K63)/months_yr*U$6</f>
        <v>0</v>
      </c>
      <c r="V62" s="233">
        <f>V26*LOOKUP(V$8,Inputs!$G$48:$K$48,Inputs!$G63:$K63)/months_yr*V$6</f>
        <v>0</v>
      </c>
      <c r="W62" s="233">
        <f>W26*LOOKUP(W$8,Inputs!$G$48:$K$48,Inputs!$G63:$K63)/months_yr*W$6</f>
        <v>0</v>
      </c>
      <c r="X62" s="233">
        <f>X26*LOOKUP(X$8,Inputs!$G$48:$K$48,Inputs!$G63:$K63)/months_yr*X$6</f>
        <v>0</v>
      </c>
      <c r="Y62" s="233">
        <f>Y26*LOOKUP(Y$8,Inputs!$G$48:$K$48,Inputs!$G63:$K63)/months_yr*Y$6</f>
        <v>0</v>
      </c>
      <c r="Z62" s="233">
        <f>Z26*LOOKUP(Z$8,Inputs!$G$48:$K$48,Inputs!$G63:$K63)/months_yr*Z$6</f>
        <v>0</v>
      </c>
      <c r="AA62" s="233">
        <f>AA26*LOOKUP(AA$8,Inputs!$G$48:$K$48,Inputs!$G63:$K63)/months_yr*AA$6</f>
        <v>0</v>
      </c>
      <c r="AB62" s="233">
        <f>AB26*LOOKUP(AB$8,Inputs!$G$48:$K$48,Inputs!$G63:$K63)/months_yr*AB$6</f>
        <v>0</v>
      </c>
      <c r="AC62" s="233">
        <f>AC26*LOOKUP(AC$8,Inputs!$G$48:$K$48,Inputs!$G63:$K63)/months_yr*AC$6</f>
        <v>0</v>
      </c>
      <c r="AD62" s="233">
        <f>AD26*LOOKUP(AD$8,Inputs!$G$48:$K$48,Inputs!$G63:$K63)/months_yr*AD$6</f>
        <v>0</v>
      </c>
      <c r="AE62" s="233">
        <f>AE26*LOOKUP(AE$8,Inputs!$G$48:$K$48,Inputs!$G63:$K63)/months_yr*AE$6</f>
        <v>0</v>
      </c>
      <c r="AF62" s="233">
        <f>AF26*LOOKUP(AF$8,Inputs!$G$48:$K$48,Inputs!$G63:$K63)/months_yr*AF$6</f>
        <v>0</v>
      </c>
      <c r="AG62" s="233">
        <f>AG26*LOOKUP(AG$8,Inputs!$G$48:$K$48,Inputs!$G63:$K63)/months_yr*AG$6</f>
        <v>0</v>
      </c>
    </row>
    <row r="63" spans="1:33" ht="16.5" customHeight="1" outlineLevel="1">
      <c r="A63" s="128"/>
      <c r="B63" s="128"/>
      <c r="C63" s="40" t="str">
        <f>C27</f>
        <v>Fill in name or positon here</v>
      </c>
      <c r="D63" s="8" t="str">
        <f>Currency_Label</f>
        <v>USD</v>
      </c>
      <c r="E63" s="128"/>
      <c r="F63" s="128"/>
      <c r="G63" s="128"/>
      <c r="H63" s="128"/>
      <c r="I63" s="71">
        <f>SUM(J63:AG63)</f>
        <v>0</v>
      </c>
      <c r="J63" s="233">
        <f>J27*LOOKUP(J$8,Inputs!$G$48:$K$48,Inputs!$G64:$K64)/months_yr*J$6</f>
        <v>0</v>
      </c>
      <c r="K63" s="233">
        <f>K27*LOOKUP(K$8,Inputs!$G$48:$K$48,Inputs!$G64:$K64)/months_yr*K$6</f>
        <v>0</v>
      </c>
      <c r="L63" s="233">
        <f>L27*LOOKUP(L$8,Inputs!$G$48:$K$48,Inputs!$G64:$K64)/months_yr*L$6</f>
        <v>0</v>
      </c>
      <c r="M63" s="233">
        <f>M27*LOOKUP(M$8,Inputs!$G$48:$K$48,Inputs!$G64:$K64)/months_yr*M$6</f>
        <v>0</v>
      </c>
      <c r="N63" s="233">
        <f>N27*LOOKUP(N$8,Inputs!$G$48:$K$48,Inputs!$G64:$K64)/months_yr*N$6</f>
        <v>0</v>
      </c>
      <c r="O63" s="233">
        <f>O27*LOOKUP(O$8,Inputs!$G$48:$K$48,Inputs!$G64:$K64)/months_yr*O$6</f>
        <v>0</v>
      </c>
      <c r="P63" s="233">
        <f>P27*LOOKUP(P$8,Inputs!$G$48:$K$48,Inputs!$G64:$K64)/months_yr*P$6</f>
        <v>0</v>
      </c>
      <c r="Q63" s="233">
        <f>Q27*LOOKUP(Q$8,Inputs!$G$48:$K$48,Inputs!$G64:$K64)/months_yr*Q$6</f>
        <v>0</v>
      </c>
      <c r="R63" s="233">
        <f>R27*LOOKUP(R$8,Inputs!$G$48:$K$48,Inputs!$G64:$K64)/months_yr*R$6</f>
        <v>0</v>
      </c>
      <c r="S63" s="233">
        <f>S27*LOOKUP(S$8,Inputs!$G$48:$K$48,Inputs!$G64:$K64)/months_yr*S$6</f>
        <v>0</v>
      </c>
      <c r="T63" s="233">
        <f>T27*LOOKUP(T$8,Inputs!$G$48:$K$48,Inputs!$G64:$K64)/months_yr*T$6</f>
        <v>0</v>
      </c>
      <c r="U63" s="233">
        <f>U27*LOOKUP(U$8,Inputs!$G$48:$K$48,Inputs!$G64:$K64)/months_yr*U$6</f>
        <v>0</v>
      </c>
      <c r="V63" s="233">
        <f>V27*LOOKUP(V$8,Inputs!$G$48:$K$48,Inputs!$G64:$K64)/months_yr*V$6</f>
        <v>0</v>
      </c>
      <c r="W63" s="233">
        <f>W27*LOOKUP(W$8,Inputs!$G$48:$K$48,Inputs!$G64:$K64)/months_yr*W$6</f>
        <v>0</v>
      </c>
      <c r="X63" s="233">
        <f>X27*LOOKUP(X$8,Inputs!$G$48:$K$48,Inputs!$G64:$K64)/months_yr*X$6</f>
        <v>0</v>
      </c>
      <c r="Y63" s="233">
        <f>Y27*LOOKUP(Y$8,Inputs!$G$48:$K$48,Inputs!$G64:$K64)/months_yr*Y$6</f>
        <v>0</v>
      </c>
      <c r="Z63" s="233">
        <f>Z27*LOOKUP(Z$8,Inputs!$G$48:$K$48,Inputs!$G64:$K64)/months_yr*Z$6</f>
        <v>0</v>
      </c>
      <c r="AA63" s="233">
        <f>AA27*LOOKUP(AA$8,Inputs!$G$48:$K$48,Inputs!$G64:$K64)/months_yr*AA$6</f>
        <v>0</v>
      </c>
      <c r="AB63" s="233">
        <f>AB27*LOOKUP(AB$8,Inputs!$G$48:$K$48,Inputs!$G64:$K64)/months_yr*AB$6</f>
        <v>0</v>
      </c>
      <c r="AC63" s="233">
        <f>AC27*LOOKUP(AC$8,Inputs!$G$48:$K$48,Inputs!$G64:$K64)/months_yr*AC$6</f>
        <v>0</v>
      </c>
      <c r="AD63" s="233">
        <f>AD27*LOOKUP(AD$8,Inputs!$G$48:$K$48,Inputs!$G64:$K64)/months_yr*AD$6</f>
        <v>0</v>
      </c>
      <c r="AE63" s="233">
        <f>AE27*LOOKUP(AE$8,Inputs!$G$48:$K$48,Inputs!$G64:$K64)/months_yr*AE$6</f>
        <v>0</v>
      </c>
      <c r="AF63" s="233">
        <f>AF27*LOOKUP(AF$8,Inputs!$G$48:$K$48,Inputs!$G64:$K64)/months_yr*AF$6</f>
        <v>0</v>
      </c>
      <c r="AG63" s="233">
        <f>AG27*LOOKUP(AG$8,Inputs!$G$48:$K$48,Inputs!$G64:$K64)/months_yr*AG$6</f>
        <v>0</v>
      </c>
    </row>
    <row r="64" spans="1:33" ht="16.5" customHeight="1" outlineLevel="1">
      <c r="A64" s="128"/>
      <c r="B64" s="430"/>
      <c r="C64" s="75" t="s">
        <v>280</v>
      </c>
      <c r="D64" s="8" t="str">
        <f>Currency_Label</f>
        <v>USD</v>
      </c>
      <c r="E64" s="36"/>
      <c r="F64" s="36"/>
      <c r="G64" s="36"/>
      <c r="H64" s="36"/>
      <c r="I64" s="71">
        <f>SUM(J64:AG64)</f>
        <v>160239.58333333328</v>
      </c>
      <c r="J64" s="129">
        <f>SUM(J60:J63)</f>
        <v>2916.6666666666665</v>
      </c>
      <c r="K64" s="129">
        <f t="shared" ref="K64:AG64" si="8">SUM(K60:K63)</f>
        <v>2916.6666666666665</v>
      </c>
      <c r="L64" s="129">
        <f t="shared" si="8"/>
        <v>2916.6666666666665</v>
      </c>
      <c r="M64" s="129">
        <f t="shared" si="8"/>
        <v>2916.6666666666665</v>
      </c>
      <c r="N64" s="129">
        <f t="shared" si="8"/>
        <v>2916.6666666666665</v>
      </c>
      <c r="O64" s="129">
        <f t="shared" si="8"/>
        <v>2916.6666666666665</v>
      </c>
      <c r="P64" s="129">
        <f t="shared" si="8"/>
        <v>2916.6666666666665</v>
      </c>
      <c r="Q64" s="129">
        <f t="shared" si="8"/>
        <v>9166.6666666666661</v>
      </c>
      <c r="R64" s="129">
        <f t="shared" si="8"/>
        <v>9166.6666666666661</v>
      </c>
      <c r="S64" s="129">
        <f t="shared" si="8"/>
        <v>9166.6666666666661</v>
      </c>
      <c r="T64" s="129">
        <f t="shared" si="8"/>
        <v>9395.8333333333339</v>
      </c>
      <c r="U64" s="129">
        <f t="shared" si="8"/>
        <v>9395.8333333333339</v>
      </c>
      <c r="V64" s="129">
        <f t="shared" si="8"/>
        <v>9395.8333333333339</v>
      </c>
      <c r="W64" s="129">
        <f t="shared" si="8"/>
        <v>9395.8333333333339</v>
      </c>
      <c r="X64" s="129">
        <f t="shared" si="8"/>
        <v>9395.8333333333339</v>
      </c>
      <c r="Y64" s="129">
        <f t="shared" si="8"/>
        <v>9395.8333333333339</v>
      </c>
      <c r="Z64" s="129">
        <f t="shared" si="8"/>
        <v>9395.8333333333339</v>
      </c>
      <c r="AA64" s="129">
        <f t="shared" si="8"/>
        <v>9395.8333333333339</v>
      </c>
      <c r="AB64" s="129">
        <f t="shared" si="8"/>
        <v>12385.416666666666</v>
      </c>
      <c r="AC64" s="129">
        <f t="shared" si="8"/>
        <v>12385.416666666666</v>
      </c>
      <c r="AD64" s="129">
        <f t="shared" si="8"/>
        <v>12385.416666666666</v>
      </c>
      <c r="AE64" s="129">
        <f t="shared" si="8"/>
        <v>0</v>
      </c>
      <c r="AF64" s="129">
        <f t="shared" si="8"/>
        <v>0</v>
      </c>
      <c r="AG64" s="129">
        <f t="shared" si="8"/>
        <v>0</v>
      </c>
    </row>
    <row r="65" spans="1:33" ht="16.5" customHeight="1" outlineLevel="1">
      <c r="A65" s="128"/>
      <c r="B65" s="128"/>
      <c r="C65" s="128"/>
      <c r="D65" s="275"/>
      <c r="E65" s="128"/>
      <c r="F65" s="128"/>
      <c r="G65" s="128"/>
      <c r="H65" s="128"/>
      <c r="I65" s="332"/>
      <c r="J65" s="332"/>
      <c r="K65" s="332"/>
      <c r="L65" s="332"/>
      <c r="M65" s="332"/>
      <c r="N65" s="332"/>
      <c r="O65" s="332"/>
      <c r="P65" s="332"/>
      <c r="Q65" s="332"/>
      <c r="R65" s="332"/>
      <c r="S65" s="332"/>
      <c r="T65" s="332"/>
      <c r="U65" s="332"/>
      <c r="V65" s="332"/>
      <c r="W65" s="332"/>
      <c r="X65" s="332"/>
      <c r="Y65" s="332"/>
      <c r="Z65" s="332"/>
      <c r="AA65" s="332"/>
      <c r="AB65" s="332"/>
      <c r="AC65" s="332"/>
      <c r="AD65" s="332"/>
      <c r="AE65" s="332"/>
      <c r="AF65" s="332"/>
      <c r="AG65" s="332"/>
    </row>
    <row r="66" spans="1:33" ht="16.5" customHeight="1" outlineLevel="1">
      <c r="A66" s="128"/>
      <c r="B66" s="430" t="str">
        <f>B30</f>
        <v>4.</v>
      </c>
      <c r="C66" s="331" t="str">
        <f>C30</f>
        <v>Sales, Marketing &amp; Distribution Staff</v>
      </c>
      <c r="D66" s="275"/>
      <c r="E66" s="128"/>
      <c r="F66" s="128"/>
      <c r="G66" s="128"/>
      <c r="H66" s="128"/>
      <c r="I66" s="332"/>
      <c r="J66" s="332"/>
      <c r="K66" s="332"/>
      <c r="L66" s="332"/>
      <c r="M66" s="332"/>
      <c r="N66" s="332"/>
      <c r="O66" s="332"/>
      <c r="P66" s="332"/>
      <c r="Q66" s="332"/>
      <c r="R66" s="332"/>
      <c r="S66" s="332"/>
      <c r="T66" s="332"/>
      <c r="U66" s="332"/>
      <c r="V66" s="332"/>
      <c r="W66" s="332"/>
      <c r="X66" s="332"/>
      <c r="Y66" s="332"/>
      <c r="Z66" s="332"/>
      <c r="AA66" s="332"/>
      <c r="AB66" s="332"/>
      <c r="AC66" s="332"/>
      <c r="AD66" s="332"/>
      <c r="AE66" s="332"/>
      <c r="AF66" s="332"/>
      <c r="AG66" s="332"/>
    </row>
    <row r="67" spans="1:33" ht="16.5" customHeight="1" outlineLevel="1">
      <c r="A67" s="128"/>
      <c r="B67" s="128"/>
      <c r="C67" s="40" t="str">
        <f>C31</f>
        <v>Fill in name or positon here</v>
      </c>
      <c r="D67" s="8" t="str">
        <f>Currency_Label</f>
        <v>USD</v>
      </c>
      <c r="E67" s="128"/>
      <c r="F67" s="128"/>
      <c r="G67" s="128"/>
      <c r="H67" s="128"/>
      <c r="I67" s="71">
        <f>SUM(J67:AG67)</f>
        <v>152500</v>
      </c>
      <c r="J67" s="233">
        <f>J31*LOOKUP(J$8,Inputs!$G$48:$K$48,Inputs!$G67:$K67)/months_yr*J$6</f>
        <v>3333.3333333333335</v>
      </c>
      <c r="K67" s="233">
        <f>K31*LOOKUP(K$8,Inputs!$G$48:$K$48,Inputs!$G67:$K67)/months_yr*K$6</f>
        <v>3333.3333333333335</v>
      </c>
      <c r="L67" s="233">
        <f>L31*LOOKUP(L$8,Inputs!$G$48:$K$48,Inputs!$G67:$K67)/months_yr*L$6</f>
        <v>3333.3333333333335</v>
      </c>
      <c r="M67" s="233">
        <f>M31*LOOKUP(M$8,Inputs!$G$48:$K$48,Inputs!$G67:$K67)/months_yr*M$6</f>
        <v>3333.3333333333335</v>
      </c>
      <c r="N67" s="233">
        <f>N31*LOOKUP(N$8,Inputs!$G$48:$K$48,Inputs!$G67:$K67)/months_yr*N$6</f>
        <v>3333.3333333333335</v>
      </c>
      <c r="O67" s="233">
        <f>O31*LOOKUP(O$8,Inputs!$G$48:$K$48,Inputs!$G67:$K67)/months_yr*O$6</f>
        <v>6666.666666666667</v>
      </c>
      <c r="P67" s="233">
        <f>P31*LOOKUP(P$8,Inputs!$G$48:$K$48,Inputs!$G67:$K67)/months_yr*P$6</f>
        <v>6666.666666666667</v>
      </c>
      <c r="Q67" s="233">
        <f>Q31*LOOKUP(Q$8,Inputs!$G$48:$K$48,Inputs!$G67:$K67)/months_yr*Q$6</f>
        <v>6666.666666666667</v>
      </c>
      <c r="R67" s="233">
        <f>R31*LOOKUP(R$8,Inputs!$G$48:$K$48,Inputs!$G67:$K67)/months_yr*R$6</f>
        <v>6666.666666666667</v>
      </c>
      <c r="S67" s="233">
        <f>S31*LOOKUP(S$8,Inputs!$G$48:$K$48,Inputs!$G67:$K67)/months_yr*S$6</f>
        <v>6666.666666666667</v>
      </c>
      <c r="T67" s="233">
        <f>T31*LOOKUP(T$8,Inputs!$G$48:$K$48,Inputs!$G67:$K67)/months_yr*T$6</f>
        <v>6833.333333333333</v>
      </c>
      <c r="U67" s="233">
        <f>U31*LOOKUP(U$8,Inputs!$G$48:$K$48,Inputs!$G67:$K67)/months_yr*U$6</f>
        <v>6833.333333333333</v>
      </c>
      <c r="V67" s="233">
        <f>V31*LOOKUP(V$8,Inputs!$G$48:$K$48,Inputs!$G67:$K67)/months_yr*V$6</f>
        <v>6833.333333333333</v>
      </c>
      <c r="W67" s="233">
        <f>W31*LOOKUP(W$8,Inputs!$G$48:$K$48,Inputs!$G67:$K67)/months_yr*W$6</f>
        <v>10250</v>
      </c>
      <c r="X67" s="233">
        <f>X31*LOOKUP(X$8,Inputs!$G$48:$K$48,Inputs!$G67:$K67)/months_yr*X$6</f>
        <v>10250</v>
      </c>
      <c r="Y67" s="233">
        <f>Y31*LOOKUP(Y$8,Inputs!$G$48:$K$48,Inputs!$G67:$K67)/months_yr*Y$6</f>
        <v>10250</v>
      </c>
      <c r="Z67" s="233">
        <f>Z31*LOOKUP(Z$8,Inputs!$G$48:$K$48,Inputs!$G67:$K67)/months_yr*Z$6</f>
        <v>10250</v>
      </c>
      <c r="AA67" s="233">
        <f>AA31*LOOKUP(AA$8,Inputs!$G$48:$K$48,Inputs!$G67:$K67)/months_yr*AA$6</f>
        <v>10250</v>
      </c>
      <c r="AB67" s="233">
        <f>AB31*LOOKUP(AB$8,Inputs!$G$48:$K$48,Inputs!$G67:$K67)/months_yr*AB$6</f>
        <v>10250</v>
      </c>
      <c r="AC67" s="233">
        <f>AC31*LOOKUP(AC$8,Inputs!$G$48:$K$48,Inputs!$G67:$K67)/months_yr*AC$6</f>
        <v>10250</v>
      </c>
      <c r="AD67" s="233">
        <f>AD31*LOOKUP(AD$8,Inputs!$G$48:$K$48,Inputs!$G67:$K67)/months_yr*AD$6</f>
        <v>10250</v>
      </c>
      <c r="AE67" s="233">
        <f>AE31*LOOKUP(AE$8,Inputs!$G$48:$K$48,Inputs!$G67:$K67)/months_yr*AE$6</f>
        <v>0</v>
      </c>
      <c r="AF67" s="233">
        <f>AF31*LOOKUP(AF$8,Inputs!$G$48:$K$48,Inputs!$G67:$K67)/months_yr*AF$6</f>
        <v>0</v>
      </c>
      <c r="AG67" s="233">
        <f>AG31*LOOKUP(AG$8,Inputs!$G$48:$K$48,Inputs!$G67:$K67)/months_yr*AG$6</f>
        <v>0</v>
      </c>
    </row>
    <row r="68" spans="1:33" ht="16.5" customHeight="1" outlineLevel="1">
      <c r="A68" s="128"/>
      <c r="B68" s="128"/>
      <c r="C68" s="40" t="str">
        <f>C32</f>
        <v>Fill in name or positon here</v>
      </c>
      <c r="D68" s="8" t="str">
        <f>Currency_Label</f>
        <v>USD</v>
      </c>
      <c r="E68" s="128"/>
      <c r="F68" s="128"/>
      <c r="G68" s="128"/>
      <c r="H68" s="128"/>
      <c r="I68" s="71">
        <f>SUM(J68:AG68)</f>
        <v>0</v>
      </c>
      <c r="J68" s="233">
        <f>J32*LOOKUP(J$8,Inputs!$G$48:$K$48,Inputs!$G68:$K68)/months_yr*J$6</f>
        <v>0</v>
      </c>
      <c r="K68" s="233">
        <f>K32*LOOKUP(K$8,Inputs!$G$48:$K$48,Inputs!$G68:$K68)/months_yr*K$6</f>
        <v>0</v>
      </c>
      <c r="L68" s="233">
        <f>L32*LOOKUP(L$8,Inputs!$G$48:$K$48,Inputs!$G68:$K68)/months_yr*L$6</f>
        <v>0</v>
      </c>
      <c r="M68" s="233">
        <f>M32*LOOKUP(M$8,Inputs!$G$48:$K$48,Inputs!$G68:$K68)/months_yr*M$6</f>
        <v>0</v>
      </c>
      <c r="N68" s="233">
        <f>N32*LOOKUP(N$8,Inputs!$G$48:$K$48,Inputs!$G68:$K68)/months_yr*N$6</f>
        <v>0</v>
      </c>
      <c r="O68" s="233">
        <f>O32*LOOKUP(O$8,Inputs!$G$48:$K$48,Inputs!$G68:$K68)/months_yr*O$6</f>
        <v>0</v>
      </c>
      <c r="P68" s="233">
        <f>P32*LOOKUP(P$8,Inputs!$G$48:$K$48,Inputs!$G68:$K68)/months_yr*P$6</f>
        <v>0</v>
      </c>
      <c r="Q68" s="233">
        <f>Q32*LOOKUP(Q$8,Inputs!$G$48:$K$48,Inputs!$G68:$K68)/months_yr*Q$6</f>
        <v>0</v>
      </c>
      <c r="R68" s="233">
        <f>R32*LOOKUP(R$8,Inputs!$G$48:$K$48,Inputs!$G68:$K68)/months_yr*R$6</f>
        <v>0</v>
      </c>
      <c r="S68" s="233">
        <f>S32*LOOKUP(S$8,Inputs!$G$48:$K$48,Inputs!$G68:$K68)/months_yr*S$6</f>
        <v>0</v>
      </c>
      <c r="T68" s="233">
        <f>T32*LOOKUP(T$8,Inputs!$G$48:$K$48,Inputs!$G68:$K68)/months_yr*T$6</f>
        <v>0</v>
      </c>
      <c r="U68" s="233">
        <f>U32*LOOKUP(U$8,Inputs!$G$48:$K$48,Inputs!$G68:$K68)/months_yr*U$6</f>
        <v>0</v>
      </c>
      <c r="V68" s="233">
        <f>V32*LOOKUP(V$8,Inputs!$G$48:$K$48,Inputs!$G68:$K68)/months_yr*V$6</f>
        <v>0</v>
      </c>
      <c r="W68" s="233">
        <f>W32*LOOKUP(W$8,Inputs!$G$48:$K$48,Inputs!$G68:$K68)/months_yr*W$6</f>
        <v>0</v>
      </c>
      <c r="X68" s="233">
        <f>X32*LOOKUP(X$8,Inputs!$G$48:$K$48,Inputs!$G68:$K68)/months_yr*X$6</f>
        <v>0</v>
      </c>
      <c r="Y68" s="233">
        <f>Y32*LOOKUP(Y$8,Inputs!$G$48:$K$48,Inputs!$G68:$K68)/months_yr*Y$6</f>
        <v>0</v>
      </c>
      <c r="Z68" s="233">
        <f>Z32*LOOKUP(Z$8,Inputs!$G$48:$K$48,Inputs!$G68:$K68)/months_yr*Z$6</f>
        <v>0</v>
      </c>
      <c r="AA68" s="233">
        <f>AA32*LOOKUP(AA$8,Inputs!$G$48:$K$48,Inputs!$G68:$K68)/months_yr*AA$6</f>
        <v>0</v>
      </c>
      <c r="AB68" s="233">
        <f>AB32*LOOKUP(AB$8,Inputs!$G$48:$K$48,Inputs!$G68:$K68)/months_yr*AB$6</f>
        <v>0</v>
      </c>
      <c r="AC68" s="233">
        <f>AC32*LOOKUP(AC$8,Inputs!$G$48:$K$48,Inputs!$G68:$K68)/months_yr*AC$6</f>
        <v>0</v>
      </c>
      <c r="AD68" s="233">
        <f>AD32*LOOKUP(AD$8,Inputs!$G$48:$K$48,Inputs!$G68:$K68)/months_yr*AD$6</f>
        <v>0</v>
      </c>
      <c r="AE68" s="233">
        <f>AE32*LOOKUP(AE$8,Inputs!$G$48:$K$48,Inputs!$G68:$K68)/months_yr*AE$6</f>
        <v>0</v>
      </c>
      <c r="AF68" s="233">
        <f>AF32*LOOKUP(AF$8,Inputs!$G$48:$K$48,Inputs!$G68:$K68)/months_yr*AF$6</f>
        <v>0</v>
      </c>
      <c r="AG68" s="233">
        <f>AG32*LOOKUP(AG$8,Inputs!$G$48:$K$48,Inputs!$G68:$K68)/months_yr*AG$6</f>
        <v>0</v>
      </c>
    </row>
    <row r="69" spans="1:33" s="203" customFormat="1" ht="16.5" customHeight="1" outlineLevel="1">
      <c r="A69" s="128"/>
      <c r="B69" s="128"/>
      <c r="C69" s="40" t="str">
        <f>C33</f>
        <v>Fill in name or positon here</v>
      </c>
      <c r="D69" s="8" t="str">
        <f>Currency_Label</f>
        <v>USD</v>
      </c>
      <c r="E69" s="128"/>
      <c r="F69" s="128"/>
      <c r="G69" s="128"/>
      <c r="H69" s="128"/>
      <c r="I69" s="71">
        <f>SUM(J69:AG69)</f>
        <v>0</v>
      </c>
      <c r="J69" s="233">
        <f>J33*LOOKUP(J$8,Inputs!$G$48:$K$48,Inputs!$G69:$K69)/months_yr*J$6</f>
        <v>0</v>
      </c>
      <c r="K69" s="233">
        <f>K33*LOOKUP(K$8,Inputs!$G$48:$K$48,Inputs!$G69:$K69)/months_yr*K$6</f>
        <v>0</v>
      </c>
      <c r="L69" s="233">
        <f>L33*LOOKUP(L$8,Inputs!$G$48:$K$48,Inputs!$G69:$K69)/months_yr*L$6</f>
        <v>0</v>
      </c>
      <c r="M69" s="233">
        <f>M33*LOOKUP(M$8,Inputs!$G$48:$K$48,Inputs!$G69:$K69)/months_yr*M$6</f>
        <v>0</v>
      </c>
      <c r="N69" s="233">
        <f>N33*LOOKUP(N$8,Inputs!$G$48:$K$48,Inputs!$G69:$K69)/months_yr*N$6</f>
        <v>0</v>
      </c>
      <c r="O69" s="233">
        <f>O33*LOOKUP(O$8,Inputs!$G$48:$K$48,Inputs!$G69:$K69)/months_yr*O$6</f>
        <v>0</v>
      </c>
      <c r="P69" s="233">
        <f>P33*LOOKUP(P$8,Inputs!$G$48:$K$48,Inputs!$G69:$K69)/months_yr*P$6</f>
        <v>0</v>
      </c>
      <c r="Q69" s="233">
        <f>Q33*LOOKUP(Q$8,Inputs!$G$48:$K$48,Inputs!$G69:$K69)/months_yr*Q$6</f>
        <v>0</v>
      </c>
      <c r="R69" s="233">
        <f>R33*LOOKUP(R$8,Inputs!$G$48:$K$48,Inputs!$G69:$K69)/months_yr*R$6</f>
        <v>0</v>
      </c>
      <c r="S69" s="233">
        <f>S33*LOOKUP(S$8,Inputs!$G$48:$K$48,Inputs!$G69:$K69)/months_yr*S$6</f>
        <v>0</v>
      </c>
      <c r="T69" s="233">
        <f>T33*LOOKUP(T$8,Inputs!$G$48:$K$48,Inputs!$G69:$K69)/months_yr*T$6</f>
        <v>0</v>
      </c>
      <c r="U69" s="233">
        <f>U33*LOOKUP(U$8,Inputs!$G$48:$K$48,Inputs!$G69:$K69)/months_yr*U$6</f>
        <v>0</v>
      </c>
      <c r="V69" s="233">
        <f>V33*LOOKUP(V$8,Inputs!$G$48:$K$48,Inputs!$G69:$K69)/months_yr*V$6</f>
        <v>0</v>
      </c>
      <c r="W69" s="233">
        <f>W33*LOOKUP(W$8,Inputs!$G$48:$K$48,Inputs!$G69:$K69)/months_yr*W$6</f>
        <v>0</v>
      </c>
      <c r="X69" s="233">
        <f>X33*LOOKUP(X$8,Inputs!$G$48:$K$48,Inputs!$G69:$K69)/months_yr*X$6</f>
        <v>0</v>
      </c>
      <c r="Y69" s="233">
        <f>Y33*LOOKUP(Y$8,Inputs!$G$48:$K$48,Inputs!$G69:$K69)/months_yr*Y$6</f>
        <v>0</v>
      </c>
      <c r="Z69" s="233">
        <f>Z33*LOOKUP(Z$8,Inputs!$G$48:$K$48,Inputs!$G69:$K69)/months_yr*Z$6</f>
        <v>0</v>
      </c>
      <c r="AA69" s="233">
        <f>AA33*LOOKUP(AA$8,Inputs!$G$48:$K$48,Inputs!$G69:$K69)/months_yr*AA$6</f>
        <v>0</v>
      </c>
      <c r="AB69" s="233">
        <f>AB33*LOOKUP(AB$8,Inputs!$G$48:$K$48,Inputs!$G69:$K69)/months_yr*AB$6</f>
        <v>0</v>
      </c>
      <c r="AC69" s="233">
        <f>AC33*LOOKUP(AC$8,Inputs!$G$48:$K$48,Inputs!$G69:$K69)/months_yr*AC$6</f>
        <v>0</v>
      </c>
      <c r="AD69" s="233">
        <f>AD33*LOOKUP(AD$8,Inputs!$G$48:$K$48,Inputs!$G69:$K69)/months_yr*AD$6</f>
        <v>0</v>
      </c>
      <c r="AE69" s="233">
        <f>AE33*LOOKUP(AE$8,Inputs!$G$48:$K$48,Inputs!$G69:$K69)/months_yr*AE$6</f>
        <v>0</v>
      </c>
      <c r="AF69" s="233">
        <f>AF33*LOOKUP(AF$8,Inputs!$G$48:$K$48,Inputs!$G69:$K69)/months_yr*AF$6</f>
        <v>0</v>
      </c>
      <c r="AG69" s="233">
        <f>AG33*LOOKUP(AG$8,Inputs!$G$48:$K$48,Inputs!$G69:$K69)/months_yr*AG$6</f>
        <v>0</v>
      </c>
    </row>
    <row r="70" spans="1:33" ht="16.5" customHeight="1" outlineLevel="1">
      <c r="A70" s="128"/>
      <c r="B70" s="128"/>
      <c r="C70" s="40" t="str">
        <f>C34</f>
        <v>Fill in name or positon here</v>
      </c>
      <c r="D70" s="8" t="str">
        <f>Currency_Label</f>
        <v>USD</v>
      </c>
      <c r="E70" s="128"/>
      <c r="F70" s="128"/>
      <c r="G70" s="128"/>
      <c r="H70" s="128"/>
      <c r="I70" s="71">
        <f>SUM(J70:AG70)</f>
        <v>0</v>
      </c>
      <c r="J70" s="233">
        <f>J34*LOOKUP(J$8,Inputs!$G$48:$K$48,Inputs!$G70:$K70)/months_yr*J$6</f>
        <v>0</v>
      </c>
      <c r="K70" s="233">
        <f>K34*LOOKUP(K$8,Inputs!$G$48:$K$48,Inputs!$G70:$K70)/months_yr*K$6</f>
        <v>0</v>
      </c>
      <c r="L70" s="233">
        <f>L34*LOOKUP(L$8,Inputs!$G$48:$K$48,Inputs!$G70:$K70)/months_yr*L$6</f>
        <v>0</v>
      </c>
      <c r="M70" s="233">
        <f>M34*LOOKUP(M$8,Inputs!$G$48:$K$48,Inputs!$G70:$K70)/months_yr*M$6</f>
        <v>0</v>
      </c>
      <c r="N70" s="233">
        <f>N34*LOOKUP(N$8,Inputs!$G$48:$K$48,Inputs!$G70:$K70)/months_yr*N$6</f>
        <v>0</v>
      </c>
      <c r="O70" s="233">
        <f>O34*LOOKUP(O$8,Inputs!$G$48:$K$48,Inputs!$G70:$K70)/months_yr*O$6</f>
        <v>0</v>
      </c>
      <c r="P70" s="233">
        <f>P34*LOOKUP(P$8,Inputs!$G$48:$K$48,Inputs!$G70:$K70)/months_yr*P$6</f>
        <v>0</v>
      </c>
      <c r="Q70" s="233">
        <f>Q34*LOOKUP(Q$8,Inputs!$G$48:$K$48,Inputs!$G70:$K70)/months_yr*Q$6</f>
        <v>0</v>
      </c>
      <c r="R70" s="233">
        <f>R34*LOOKUP(R$8,Inputs!$G$48:$K$48,Inputs!$G70:$K70)/months_yr*R$6</f>
        <v>0</v>
      </c>
      <c r="S70" s="233">
        <f>S34*LOOKUP(S$8,Inputs!$G$48:$K$48,Inputs!$G70:$K70)/months_yr*S$6</f>
        <v>0</v>
      </c>
      <c r="T70" s="233">
        <f>T34*LOOKUP(T$8,Inputs!$G$48:$K$48,Inputs!$G70:$K70)/months_yr*T$6</f>
        <v>0</v>
      </c>
      <c r="U70" s="233">
        <f>U34*LOOKUP(U$8,Inputs!$G$48:$K$48,Inputs!$G70:$K70)/months_yr*U$6</f>
        <v>0</v>
      </c>
      <c r="V70" s="233">
        <f>V34*LOOKUP(V$8,Inputs!$G$48:$K$48,Inputs!$G70:$K70)/months_yr*V$6</f>
        <v>0</v>
      </c>
      <c r="W70" s="233">
        <f>W34*LOOKUP(W$8,Inputs!$G$48:$K$48,Inputs!$G70:$K70)/months_yr*W$6</f>
        <v>0</v>
      </c>
      <c r="X70" s="233">
        <f>X34*LOOKUP(X$8,Inputs!$G$48:$K$48,Inputs!$G70:$K70)/months_yr*X$6</f>
        <v>0</v>
      </c>
      <c r="Y70" s="233">
        <f>Y34*LOOKUP(Y$8,Inputs!$G$48:$K$48,Inputs!$G70:$K70)/months_yr*Y$6</f>
        <v>0</v>
      </c>
      <c r="Z70" s="233">
        <f>Z34*LOOKUP(Z$8,Inputs!$G$48:$K$48,Inputs!$G70:$K70)/months_yr*Z$6</f>
        <v>0</v>
      </c>
      <c r="AA70" s="233">
        <f>AA34*LOOKUP(AA$8,Inputs!$G$48:$K$48,Inputs!$G70:$K70)/months_yr*AA$6</f>
        <v>0</v>
      </c>
      <c r="AB70" s="233">
        <f>AB34*LOOKUP(AB$8,Inputs!$G$48:$K$48,Inputs!$G70:$K70)/months_yr*AB$6</f>
        <v>0</v>
      </c>
      <c r="AC70" s="233">
        <f>AC34*LOOKUP(AC$8,Inputs!$G$48:$K$48,Inputs!$G70:$K70)/months_yr*AC$6</f>
        <v>0</v>
      </c>
      <c r="AD70" s="233">
        <f>AD34*LOOKUP(AD$8,Inputs!$G$48:$K$48,Inputs!$G70:$K70)/months_yr*AD$6</f>
        <v>0</v>
      </c>
      <c r="AE70" s="233">
        <f>AE34*LOOKUP(AE$8,Inputs!$G$48:$K$48,Inputs!$G70:$K70)/months_yr*AE$6</f>
        <v>0</v>
      </c>
      <c r="AF70" s="233">
        <f>AF34*LOOKUP(AF$8,Inputs!$G$48:$K$48,Inputs!$G70:$K70)/months_yr*AF$6</f>
        <v>0</v>
      </c>
      <c r="AG70" s="233">
        <f>AG34*LOOKUP(AG$8,Inputs!$G$48:$K$48,Inputs!$G70:$K70)/months_yr*AG$6</f>
        <v>0</v>
      </c>
    </row>
    <row r="71" spans="1:33" ht="16.5" customHeight="1" outlineLevel="1">
      <c r="A71" s="128"/>
      <c r="B71" s="128"/>
      <c r="C71" s="75" t="s">
        <v>280</v>
      </c>
      <c r="D71" s="8" t="str">
        <f>Currency_Label</f>
        <v>USD</v>
      </c>
      <c r="E71" s="36"/>
      <c r="F71" s="36"/>
      <c r="G71" s="36"/>
      <c r="H71" s="36"/>
      <c r="I71" s="71">
        <f>SUM(J71:AG71)</f>
        <v>152500</v>
      </c>
      <c r="J71" s="129">
        <f>SUM(J67:J70)</f>
        <v>3333.3333333333335</v>
      </c>
      <c r="K71" s="129">
        <f t="shared" ref="K71:AG71" si="9">SUM(K67:K70)</f>
        <v>3333.3333333333335</v>
      </c>
      <c r="L71" s="129">
        <f t="shared" si="9"/>
        <v>3333.3333333333335</v>
      </c>
      <c r="M71" s="129">
        <f t="shared" si="9"/>
        <v>3333.3333333333335</v>
      </c>
      <c r="N71" s="129">
        <f t="shared" si="9"/>
        <v>3333.3333333333335</v>
      </c>
      <c r="O71" s="129">
        <f t="shared" si="9"/>
        <v>6666.666666666667</v>
      </c>
      <c r="P71" s="129">
        <f t="shared" si="9"/>
        <v>6666.666666666667</v>
      </c>
      <c r="Q71" s="129">
        <f t="shared" si="9"/>
        <v>6666.666666666667</v>
      </c>
      <c r="R71" s="129">
        <f t="shared" si="9"/>
        <v>6666.666666666667</v>
      </c>
      <c r="S71" s="129">
        <f t="shared" si="9"/>
        <v>6666.666666666667</v>
      </c>
      <c r="T71" s="129">
        <f t="shared" si="9"/>
        <v>6833.333333333333</v>
      </c>
      <c r="U71" s="129">
        <f t="shared" si="9"/>
        <v>6833.333333333333</v>
      </c>
      <c r="V71" s="129">
        <f t="shared" si="9"/>
        <v>6833.333333333333</v>
      </c>
      <c r="W71" s="129">
        <f t="shared" si="9"/>
        <v>10250</v>
      </c>
      <c r="X71" s="129">
        <f t="shared" si="9"/>
        <v>10250</v>
      </c>
      <c r="Y71" s="129">
        <f t="shared" si="9"/>
        <v>10250</v>
      </c>
      <c r="Z71" s="129">
        <f t="shared" si="9"/>
        <v>10250</v>
      </c>
      <c r="AA71" s="129">
        <f t="shared" si="9"/>
        <v>10250</v>
      </c>
      <c r="AB71" s="129">
        <f t="shared" si="9"/>
        <v>10250</v>
      </c>
      <c r="AC71" s="129">
        <f t="shared" si="9"/>
        <v>10250</v>
      </c>
      <c r="AD71" s="129">
        <f t="shared" si="9"/>
        <v>10250</v>
      </c>
      <c r="AE71" s="129">
        <f t="shared" si="9"/>
        <v>0</v>
      </c>
      <c r="AF71" s="129">
        <f t="shared" si="9"/>
        <v>0</v>
      </c>
      <c r="AG71" s="129">
        <f t="shared" si="9"/>
        <v>0</v>
      </c>
    </row>
    <row r="72" spans="1:33" ht="16.5" customHeight="1" outlineLevel="1">
      <c r="A72" s="128"/>
      <c r="B72" s="128"/>
      <c r="C72" s="128"/>
      <c r="D72" s="275"/>
      <c r="E72" s="128"/>
      <c r="F72" s="128"/>
      <c r="G72" s="128"/>
      <c r="H72" s="128"/>
      <c r="I72" s="332"/>
      <c r="J72" s="332"/>
      <c r="K72" s="332"/>
      <c r="L72" s="332"/>
      <c r="M72" s="332"/>
      <c r="N72" s="332"/>
      <c r="O72" s="332"/>
      <c r="P72" s="332"/>
      <c r="Q72" s="332"/>
      <c r="R72" s="332"/>
      <c r="S72" s="332"/>
      <c r="T72" s="332"/>
      <c r="U72" s="332"/>
      <c r="V72" s="332"/>
      <c r="W72" s="332"/>
      <c r="X72" s="332"/>
      <c r="Y72" s="332"/>
      <c r="Z72" s="332"/>
      <c r="AA72" s="332"/>
      <c r="AB72" s="332"/>
      <c r="AC72" s="332"/>
      <c r="AD72" s="332"/>
      <c r="AE72" s="332"/>
      <c r="AF72" s="332"/>
      <c r="AG72" s="332"/>
    </row>
    <row r="73" spans="1:33" ht="16.5" customHeight="1" outlineLevel="1">
      <c r="A73" s="128"/>
      <c r="B73" s="430" t="str">
        <f>B37</f>
        <v>5.</v>
      </c>
      <c r="C73" s="331" t="str">
        <f>C37</f>
        <v>Research &amp; Development</v>
      </c>
      <c r="D73" s="275"/>
      <c r="E73" s="128"/>
      <c r="F73" s="128"/>
      <c r="G73" s="128"/>
      <c r="H73" s="128"/>
      <c r="I73" s="332"/>
      <c r="J73" s="332"/>
      <c r="K73" s="332"/>
      <c r="L73" s="332"/>
      <c r="M73" s="332"/>
      <c r="N73" s="332"/>
      <c r="O73" s="332"/>
      <c r="P73" s="332"/>
      <c r="Q73" s="332"/>
      <c r="R73" s="332"/>
      <c r="S73" s="332"/>
      <c r="T73" s="332"/>
      <c r="U73" s="332"/>
      <c r="V73" s="332"/>
      <c r="W73" s="332"/>
      <c r="X73" s="332"/>
      <c r="Y73" s="332"/>
      <c r="Z73" s="332"/>
      <c r="AA73" s="332"/>
      <c r="AB73" s="332"/>
      <c r="AC73" s="332"/>
      <c r="AD73" s="332"/>
      <c r="AE73" s="332"/>
      <c r="AF73" s="332"/>
      <c r="AG73" s="332"/>
    </row>
    <row r="74" spans="1:33" ht="16.5" customHeight="1" outlineLevel="1">
      <c r="A74" s="128"/>
      <c r="B74" s="128"/>
      <c r="C74" s="40" t="str">
        <f>C38</f>
        <v>Fill in name or positon here</v>
      </c>
      <c r="D74" s="8" t="str">
        <f>Currency_Label</f>
        <v>USD</v>
      </c>
      <c r="E74" s="128"/>
      <c r="F74" s="128"/>
      <c r="G74" s="128"/>
      <c r="H74" s="128"/>
      <c r="I74" s="71">
        <f>SUM(J74:AG74)</f>
        <v>60825</v>
      </c>
      <c r="J74" s="233">
        <f>J38*LOOKUP(J$8,Inputs!$G$48:$K$48,Inputs!$G73:$K73)/months_yr*J$6</f>
        <v>0</v>
      </c>
      <c r="K74" s="233">
        <f>K38*LOOKUP(K$8,Inputs!$G$48:$K$48,Inputs!$G73:$K73)/months_yr*K$6</f>
        <v>0</v>
      </c>
      <c r="L74" s="233">
        <f>L38*LOOKUP(L$8,Inputs!$G$48:$K$48,Inputs!$G73:$K73)/months_yr*L$6</f>
        <v>0</v>
      </c>
      <c r="M74" s="233">
        <f>M38*LOOKUP(M$8,Inputs!$G$48:$K$48,Inputs!$G73:$K73)/months_yr*M$6</f>
        <v>0</v>
      </c>
      <c r="N74" s="233">
        <f>N38*LOOKUP(N$8,Inputs!$G$48:$K$48,Inputs!$G73:$K73)/months_yr*N$6</f>
        <v>0</v>
      </c>
      <c r="O74" s="233">
        <f>O38*LOOKUP(O$8,Inputs!$G$48:$K$48,Inputs!$G73:$K73)/months_yr*O$6</f>
        <v>3750</v>
      </c>
      <c r="P74" s="233">
        <f>P38*LOOKUP(P$8,Inputs!$G$48:$K$48,Inputs!$G73:$K73)/months_yr*P$6</f>
        <v>3750</v>
      </c>
      <c r="Q74" s="233">
        <f>Q38*LOOKUP(Q$8,Inputs!$G$48:$K$48,Inputs!$G73:$K73)/months_yr*Q$6</f>
        <v>3750</v>
      </c>
      <c r="R74" s="233">
        <f>R38*LOOKUP(R$8,Inputs!$G$48:$K$48,Inputs!$G73:$K73)/months_yr*R$6</f>
        <v>3750</v>
      </c>
      <c r="S74" s="233">
        <f>S38*LOOKUP(S$8,Inputs!$G$48:$K$48,Inputs!$G73:$K73)/months_yr*S$6</f>
        <v>3750</v>
      </c>
      <c r="T74" s="233">
        <f>T38*LOOKUP(T$8,Inputs!$G$48:$K$48,Inputs!$G73:$K73)/months_yr*T$6</f>
        <v>3825</v>
      </c>
      <c r="U74" s="233">
        <f>U38*LOOKUP(U$8,Inputs!$G$48:$K$48,Inputs!$G73:$K73)/months_yr*U$6</f>
        <v>3825</v>
      </c>
      <c r="V74" s="233">
        <f>V38*LOOKUP(V$8,Inputs!$G$48:$K$48,Inputs!$G73:$K73)/months_yr*V$6</f>
        <v>3825</v>
      </c>
      <c r="W74" s="233">
        <f>W38*LOOKUP(W$8,Inputs!$G$48:$K$48,Inputs!$G73:$K73)/months_yr*W$6</f>
        <v>3825</v>
      </c>
      <c r="X74" s="233">
        <f>X38*LOOKUP(X$8,Inputs!$G$48:$K$48,Inputs!$G73:$K73)/months_yr*X$6</f>
        <v>3825</v>
      </c>
      <c r="Y74" s="233">
        <f>Y38*LOOKUP(Y$8,Inputs!$G$48:$K$48,Inputs!$G73:$K73)/months_yr*Y$6</f>
        <v>3825</v>
      </c>
      <c r="Z74" s="233">
        <f>Z38*LOOKUP(Z$8,Inputs!$G$48:$K$48,Inputs!$G73:$K73)/months_yr*Z$6</f>
        <v>3825</v>
      </c>
      <c r="AA74" s="233">
        <f>AA38*LOOKUP(AA$8,Inputs!$G$48:$K$48,Inputs!$G73:$K73)/months_yr*AA$6</f>
        <v>3825</v>
      </c>
      <c r="AB74" s="233">
        <f>AB38*LOOKUP(AB$8,Inputs!$G$48:$K$48,Inputs!$G73:$K73)/months_yr*AB$6</f>
        <v>3825</v>
      </c>
      <c r="AC74" s="233">
        <f>AC38*LOOKUP(AC$8,Inputs!$G$48:$K$48,Inputs!$G73:$K73)/months_yr*AC$6</f>
        <v>3825</v>
      </c>
      <c r="AD74" s="233">
        <f>AD38*LOOKUP(AD$8,Inputs!$G$48:$K$48,Inputs!$G73:$K73)/months_yr*AD$6</f>
        <v>3825</v>
      </c>
      <c r="AE74" s="233">
        <f>AE38*LOOKUP(AE$8,Inputs!$G$48:$K$48,Inputs!$G73:$K73)/months_yr*AE$6</f>
        <v>0</v>
      </c>
      <c r="AF74" s="233">
        <f>AF38*LOOKUP(AF$8,Inputs!$G$48:$K$48,Inputs!$G73:$K73)/months_yr*AF$6</f>
        <v>0</v>
      </c>
      <c r="AG74" s="233">
        <f>AG38*LOOKUP(AG$8,Inputs!$G$48:$K$48,Inputs!$G73:$K73)/months_yr*AG$6</f>
        <v>0</v>
      </c>
    </row>
    <row r="75" spans="1:33" ht="16.5" customHeight="1" outlineLevel="1">
      <c r="A75" s="128"/>
      <c r="B75" s="128"/>
      <c r="C75" s="40" t="str">
        <f>C39</f>
        <v>Fill in name or positon here</v>
      </c>
      <c r="D75" s="8" t="str">
        <f>Currency_Label</f>
        <v>USD</v>
      </c>
      <c r="E75" s="128"/>
      <c r="F75" s="128"/>
      <c r="G75" s="128"/>
      <c r="H75" s="128"/>
      <c r="I75" s="71">
        <f>SUM(J75:AG75)</f>
        <v>0</v>
      </c>
      <c r="J75" s="233">
        <f>J39*LOOKUP(J$8,Inputs!$G$48:$K$48,Inputs!$G74:$K74)/months_yr*J$6</f>
        <v>0</v>
      </c>
      <c r="K75" s="233">
        <f>K39*LOOKUP(K$8,Inputs!$G$48:$K$48,Inputs!$G74:$K74)/months_yr*K$6</f>
        <v>0</v>
      </c>
      <c r="L75" s="233">
        <f>L39*LOOKUP(L$8,Inputs!$G$48:$K$48,Inputs!$G74:$K74)/months_yr*L$6</f>
        <v>0</v>
      </c>
      <c r="M75" s="233">
        <f>M39*LOOKUP(M$8,Inputs!$G$48:$K$48,Inputs!$G74:$K74)/months_yr*M$6</f>
        <v>0</v>
      </c>
      <c r="N75" s="233">
        <f>N39*LOOKUP(N$8,Inputs!$G$48:$K$48,Inputs!$G74:$K74)/months_yr*N$6</f>
        <v>0</v>
      </c>
      <c r="O75" s="233">
        <f>O39*LOOKUP(O$8,Inputs!$G$48:$K$48,Inputs!$G74:$K74)/months_yr*O$6</f>
        <v>0</v>
      </c>
      <c r="P75" s="233">
        <f>P39*LOOKUP(P$8,Inputs!$G$48:$K$48,Inputs!$G74:$K74)/months_yr*P$6</f>
        <v>0</v>
      </c>
      <c r="Q75" s="233">
        <f>Q39*LOOKUP(Q$8,Inputs!$G$48:$K$48,Inputs!$G74:$K74)/months_yr*Q$6</f>
        <v>0</v>
      </c>
      <c r="R75" s="233">
        <f>R39*LOOKUP(R$8,Inputs!$G$48:$K$48,Inputs!$G74:$K74)/months_yr*R$6</f>
        <v>0</v>
      </c>
      <c r="S75" s="233">
        <f>S39*LOOKUP(S$8,Inputs!$G$48:$K$48,Inputs!$G74:$K74)/months_yr*S$6</f>
        <v>0</v>
      </c>
      <c r="T75" s="233">
        <f>T39*LOOKUP(T$8,Inputs!$G$48:$K$48,Inputs!$G74:$K74)/months_yr*T$6</f>
        <v>0</v>
      </c>
      <c r="U75" s="233">
        <f>U39*LOOKUP(U$8,Inputs!$G$48:$K$48,Inputs!$G74:$K74)/months_yr*U$6</f>
        <v>0</v>
      </c>
      <c r="V75" s="233">
        <f>V39*LOOKUP(V$8,Inputs!$G$48:$K$48,Inputs!$G74:$K74)/months_yr*V$6</f>
        <v>0</v>
      </c>
      <c r="W75" s="233">
        <f>W39*LOOKUP(W$8,Inputs!$G$48:$K$48,Inputs!$G74:$K74)/months_yr*W$6</f>
        <v>0</v>
      </c>
      <c r="X75" s="233">
        <f>X39*LOOKUP(X$8,Inputs!$G$48:$K$48,Inputs!$G74:$K74)/months_yr*X$6</f>
        <v>0</v>
      </c>
      <c r="Y75" s="233">
        <f>Y39*LOOKUP(Y$8,Inputs!$G$48:$K$48,Inputs!$G74:$K74)/months_yr*Y$6</f>
        <v>0</v>
      </c>
      <c r="Z75" s="233">
        <f>Z39*LOOKUP(Z$8,Inputs!$G$48:$K$48,Inputs!$G74:$K74)/months_yr*Z$6</f>
        <v>0</v>
      </c>
      <c r="AA75" s="233">
        <f>AA39*LOOKUP(AA$8,Inputs!$G$48:$K$48,Inputs!$G74:$K74)/months_yr*AA$6</f>
        <v>0</v>
      </c>
      <c r="AB75" s="233">
        <f>AB39*LOOKUP(AB$8,Inputs!$G$48:$K$48,Inputs!$G74:$K74)/months_yr*AB$6</f>
        <v>0</v>
      </c>
      <c r="AC75" s="233">
        <f>AC39*LOOKUP(AC$8,Inputs!$G$48:$K$48,Inputs!$G74:$K74)/months_yr*AC$6</f>
        <v>0</v>
      </c>
      <c r="AD75" s="233">
        <f>AD39*LOOKUP(AD$8,Inputs!$G$48:$K$48,Inputs!$G74:$K74)/months_yr*AD$6</f>
        <v>0</v>
      </c>
      <c r="AE75" s="233">
        <f>AE39*LOOKUP(AE$8,Inputs!$G$48:$K$48,Inputs!$G74:$K74)/months_yr*AE$6</f>
        <v>0</v>
      </c>
      <c r="AF75" s="233">
        <f>AF39*LOOKUP(AF$8,Inputs!$G$48:$K$48,Inputs!$G74:$K74)/months_yr*AF$6</f>
        <v>0</v>
      </c>
      <c r="AG75" s="233">
        <f>AG39*LOOKUP(AG$8,Inputs!$G$48:$K$48,Inputs!$G74:$K74)/months_yr*AG$6</f>
        <v>0</v>
      </c>
    </row>
    <row r="76" spans="1:33" s="203" customFormat="1" ht="16.5" customHeight="1" outlineLevel="1">
      <c r="A76" s="128"/>
      <c r="B76" s="128"/>
      <c r="C76" s="40" t="str">
        <f>C40</f>
        <v>Fill in name or positon here</v>
      </c>
      <c r="D76" s="8" t="str">
        <f>Currency_Label</f>
        <v>USD</v>
      </c>
      <c r="E76" s="128"/>
      <c r="F76" s="128"/>
      <c r="G76" s="128"/>
      <c r="H76" s="128"/>
      <c r="I76" s="71">
        <f>SUM(J76:AG76)</f>
        <v>0</v>
      </c>
      <c r="J76" s="233">
        <f>J40*LOOKUP(J$8,Inputs!$G$48:$K$48,Inputs!$G75:$K75)/months_yr*J$6</f>
        <v>0</v>
      </c>
      <c r="K76" s="233">
        <f>K40*LOOKUP(K$8,Inputs!$G$48:$K$48,Inputs!$G75:$K75)/months_yr*K$6</f>
        <v>0</v>
      </c>
      <c r="L76" s="233">
        <f>L40*LOOKUP(L$8,Inputs!$G$48:$K$48,Inputs!$G75:$K75)/months_yr*L$6</f>
        <v>0</v>
      </c>
      <c r="M76" s="233">
        <f>M40*LOOKUP(M$8,Inputs!$G$48:$K$48,Inputs!$G75:$K75)/months_yr*M$6</f>
        <v>0</v>
      </c>
      <c r="N76" s="233">
        <f>N40*LOOKUP(N$8,Inputs!$G$48:$K$48,Inputs!$G75:$K75)/months_yr*N$6</f>
        <v>0</v>
      </c>
      <c r="O76" s="233">
        <f>O40*LOOKUP(O$8,Inputs!$G$48:$K$48,Inputs!$G75:$K75)/months_yr*O$6</f>
        <v>0</v>
      </c>
      <c r="P76" s="233">
        <f>P40*LOOKUP(P$8,Inputs!$G$48:$K$48,Inputs!$G75:$K75)/months_yr*P$6</f>
        <v>0</v>
      </c>
      <c r="Q76" s="233">
        <f>Q40*LOOKUP(Q$8,Inputs!$G$48:$K$48,Inputs!$G75:$K75)/months_yr*Q$6</f>
        <v>0</v>
      </c>
      <c r="R76" s="233">
        <f>R40*LOOKUP(R$8,Inputs!$G$48:$K$48,Inputs!$G75:$K75)/months_yr*R$6</f>
        <v>0</v>
      </c>
      <c r="S76" s="233">
        <f>S40*LOOKUP(S$8,Inputs!$G$48:$K$48,Inputs!$G75:$K75)/months_yr*S$6</f>
        <v>0</v>
      </c>
      <c r="T76" s="233">
        <f>T40*LOOKUP(T$8,Inputs!$G$48:$K$48,Inputs!$G75:$K75)/months_yr*T$6</f>
        <v>0</v>
      </c>
      <c r="U76" s="233">
        <f>U40*LOOKUP(U$8,Inputs!$G$48:$K$48,Inputs!$G75:$K75)/months_yr*U$6</f>
        <v>0</v>
      </c>
      <c r="V76" s="233">
        <f>V40*LOOKUP(V$8,Inputs!$G$48:$K$48,Inputs!$G75:$K75)/months_yr*V$6</f>
        <v>0</v>
      </c>
      <c r="W76" s="233">
        <f>W40*LOOKUP(W$8,Inputs!$G$48:$K$48,Inputs!$G75:$K75)/months_yr*W$6</f>
        <v>0</v>
      </c>
      <c r="X76" s="233">
        <f>X40*LOOKUP(X$8,Inputs!$G$48:$K$48,Inputs!$G75:$K75)/months_yr*X$6</f>
        <v>0</v>
      </c>
      <c r="Y76" s="233">
        <f>Y40*LOOKUP(Y$8,Inputs!$G$48:$K$48,Inputs!$G75:$K75)/months_yr*Y$6</f>
        <v>0</v>
      </c>
      <c r="Z76" s="233">
        <f>Z40*LOOKUP(Z$8,Inputs!$G$48:$K$48,Inputs!$G75:$K75)/months_yr*Z$6</f>
        <v>0</v>
      </c>
      <c r="AA76" s="233">
        <f>AA40*LOOKUP(AA$8,Inputs!$G$48:$K$48,Inputs!$G75:$K75)/months_yr*AA$6</f>
        <v>0</v>
      </c>
      <c r="AB76" s="233">
        <f>AB40*LOOKUP(AB$8,Inputs!$G$48:$K$48,Inputs!$G75:$K75)/months_yr*AB$6</f>
        <v>0</v>
      </c>
      <c r="AC76" s="233">
        <f>AC40*LOOKUP(AC$8,Inputs!$G$48:$K$48,Inputs!$G75:$K75)/months_yr*AC$6</f>
        <v>0</v>
      </c>
      <c r="AD76" s="233">
        <f>AD40*LOOKUP(AD$8,Inputs!$G$48:$K$48,Inputs!$G75:$K75)/months_yr*AD$6</f>
        <v>0</v>
      </c>
      <c r="AE76" s="233">
        <f>AE40*LOOKUP(AE$8,Inputs!$G$48:$K$48,Inputs!$G75:$K75)/months_yr*AE$6</f>
        <v>0</v>
      </c>
      <c r="AF76" s="233">
        <f>AF40*LOOKUP(AF$8,Inputs!$G$48:$K$48,Inputs!$G75:$K75)/months_yr*AF$6</f>
        <v>0</v>
      </c>
      <c r="AG76" s="233">
        <f>AG40*LOOKUP(AG$8,Inputs!$G$48:$K$48,Inputs!$G75:$K75)/months_yr*AG$6</f>
        <v>0</v>
      </c>
    </row>
    <row r="77" spans="1:33" ht="16.5" customHeight="1" outlineLevel="1">
      <c r="A77" s="128"/>
      <c r="B77" s="128"/>
      <c r="C77" s="40" t="str">
        <f>C41</f>
        <v>Fill in name or positon here</v>
      </c>
      <c r="D77" s="8" t="str">
        <f>Currency_Label</f>
        <v>USD</v>
      </c>
      <c r="E77" s="128"/>
      <c r="F77" s="128"/>
      <c r="G77" s="128"/>
      <c r="H77" s="128"/>
      <c r="I77" s="71">
        <f>SUM(J77:AG77)</f>
        <v>0</v>
      </c>
      <c r="J77" s="233">
        <f>J41*LOOKUP(J$8,Inputs!$G$48:$K$48,Inputs!$G76:$K76)/months_yr*J$6</f>
        <v>0</v>
      </c>
      <c r="K77" s="233">
        <f>K41*LOOKUP(K$8,Inputs!$G$48:$K$48,Inputs!$G76:$K76)/months_yr*K$6</f>
        <v>0</v>
      </c>
      <c r="L77" s="233">
        <f>L41*LOOKUP(L$8,Inputs!$G$48:$K$48,Inputs!$G76:$K76)/months_yr*L$6</f>
        <v>0</v>
      </c>
      <c r="M77" s="233">
        <f>M41*LOOKUP(M$8,Inputs!$G$48:$K$48,Inputs!$G76:$K76)/months_yr*M$6</f>
        <v>0</v>
      </c>
      <c r="N77" s="233">
        <f>N41*LOOKUP(N$8,Inputs!$G$48:$K$48,Inputs!$G76:$K76)/months_yr*N$6</f>
        <v>0</v>
      </c>
      <c r="O77" s="233">
        <f>O41*LOOKUP(O$8,Inputs!$G$48:$K$48,Inputs!$G76:$K76)/months_yr*O$6</f>
        <v>0</v>
      </c>
      <c r="P77" s="233">
        <f>P41*LOOKUP(P$8,Inputs!$G$48:$K$48,Inputs!$G76:$K76)/months_yr*P$6</f>
        <v>0</v>
      </c>
      <c r="Q77" s="233">
        <f>Q41*LOOKUP(Q$8,Inputs!$G$48:$K$48,Inputs!$G76:$K76)/months_yr*Q$6</f>
        <v>0</v>
      </c>
      <c r="R77" s="233">
        <f>R41*LOOKUP(R$8,Inputs!$G$48:$K$48,Inputs!$G76:$K76)/months_yr*R$6</f>
        <v>0</v>
      </c>
      <c r="S77" s="233">
        <f>S41*LOOKUP(S$8,Inputs!$G$48:$K$48,Inputs!$G76:$K76)/months_yr*S$6</f>
        <v>0</v>
      </c>
      <c r="T77" s="233">
        <f>T41*LOOKUP(T$8,Inputs!$G$48:$K$48,Inputs!$G76:$K76)/months_yr*T$6</f>
        <v>0</v>
      </c>
      <c r="U77" s="233">
        <f>U41*LOOKUP(U$8,Inputs!$G$48:$K$48,Inputs!$G76:$K76)/months_yr*U$6</f>
        <v>0</v>
      </c>
      <c r="V77" s="233">
        <f>V41*LOOKUP(V$8,Inputs!$G$48:$K$48,Inputs!$G76:$K76)/months_yr*V$6</f>
        <v>0</v>
      </c>
      <c r="W77" s="233">
        <f>W41*LOOKUP(W$8,Inputs!$G$48:$K$48,Inputs!$G76:$K76)/months_yr*W$6</f>
        <v>0</v>
      </c>
      <c r="X77" s="233">
        <f>X41*LOOKUP(X$8,Inputs!$G$48:$K$48,Inputs!$G76:$K76)/months_yr*X$6</f>
        <v>0</v>
      </c>
      <c r="Y77" s="233">
        <f>Y41*LOOKUP(Y$8,Inputs!$G$48:$K$48,Inputs!$G76:$K76)/months_yr*Y$6</f>
        <v>0</v>
      </c>
      <c r="Z77" s="233">
        <f>Z41*LOOKUP(Z$8,Inputs!$G$48:$K$48,Inputs!$G76:$K76)/months_yr*Z$6</f>
        <v>0</v>
      </c>
      <c r="AA77" s="233">
        <f>AA41*LOOKUP(AA$8,Inputs!$G$48:$K$48,Inputs!$G76:$K76)/months_yr*AA$6</f>
        <v>0</v>
      </c>
      <c r="AB77" s="233">
        <f>AB41*LOOKUP(AB$8,Inputs!$G$48:$K$48,Inputs!$G76:$K76)/months_yr*AB$6</f>
        <v>0</v>
      </c>
      <c r="AC77" s="233">
        <f>AC41*LOOKUP(AC$8,Inputs!$G$48:$K$48,Inputs!$G76:$K76)/months_yr*AC$6</f>
        <v>0</v>
      </c>
      <c r="AD77" s="233">
        <f>AD41*LOOKUP(AD$8,Inputs!$G$48:$K$48,Inputs!$G76:$K76)/months_yr*AD$6</f>
        <v>0</v>
      </c>
      <c r="AE77" s="233">
        <f>AE41*LOOKUP(AE$8,Inputs!$G$48:$K$48,Inputs!$G76:$K76)/months_yr*AE$6</f>
        <v>0</v>
      </c>
      <c r="AF77" s="233">
        <f>AF41*LOOKUP(AF$8,Inputs!$G$48:$K$48,Inputs!$G76:$K76)/months_yr*AF$6</f>
        <v>0</v>
      </c>
      <c r="AG77" s="233">
        <f>AG41*LOOKUP(AG$8,Inputs!$G$48:$K$48,Inputs!$G76:$K76)/months_yr*AG$6</f>
        <v>0</v>
      </c>
    </row>
    <row r="78" spans="1:33" ht="16.5" customHeight="1" outlineLevel="1">
      <c r="A78" s="128"/>
      <c r="B78" s="128"/>
      <c r="C78" s="75" t="s">
        <v>280</v>
      </c>
      <c r="D78" s="8" t="str">
        <f>Currency_Label</f>
        <v>USD</v>
      </c>
      <c r="E78" s="36"/>
      <c r="F78" s="36"/>
      <c r="G78" s="36"/>
      <c r="H78" s="36"/>
      <c r="I78" s="71">
        <f>SUM(J78:AG78)</f>
        <v>60825</v>
      </c>
      <c r="J78" s="129">
        <f>SUM(J74:J77)</f>
        <v>0</v>
      </c>
      <c r="K78" s="129">
        <f t="shared" ref="K78:AG78" si="10">SUM(K74:K77)</f>
        <v>0</v>
      </c>
      <c r="L78" s="129">
        <f t="shared" si="10"/>
        <v>0</v>
      </c>
      <c r="M78" s="129">
        <f t="shared" si="10"/>
        <v>0</v>
      </c>
      <c r="N78" s="129">
        <f t="shared" si="10"/>
        <v>0</v>
      </c>
      <c r="O78" s="129">
        <f t="shared" si="10"/>
        <v>3750</v>
      </c>
      <c r="P78" s="129">
        <f t="shared" si="10"/>
        <v>3750</v>
      </c>
      <c r="Q78" s="129">
        <f t="shared" si="10"/>
        <v>3750</v>
      </c>
      <c r="R78" s="129">
        <f t="shared" si="10"/>
        <v>3750</v>
      </c>
      <c r="S78" s="129">
        <f t="shared" si="10"/>
        <v>3750</v>
      </c>
      <c r="T78" s="129">
        <f t="shared" si="10"/>
        <v>3825</v>
      </c>
      <c r="U78" s="129">
        <f t="shared" si="10"/>
        <v>3825</v>
      </c>
      <c r="V78" s="129">
        <f t="shared" si="10"/>
        <v>3825</v>
      </c>
      <c r="W78" s="129">
        <f t="shared" si="10"/>
        <v>3825</v>
      </c>
      <c r="X78" s="129">
        <f t="shared" si="10"/>
        <v>3825</v>
      </c>
      <c r="Y78" s="129">
        <f t="shared" si="10"/>
        <v>3825</v>
      </c>
      <c r="Z78" s="129">
        <f t="shared" si="10"/>
        <v>3825</v>
      </c>
      <c r="AA78" s="129">
        <f t="shared" si="10"/>
        <v>3825</v>
      </c>
      <c r="AB78" s="129">
        <f t="shared" si="10"/>
        <v>3825</v>
      </c>
      <c r="AC78" s="129">
        <f t="shared" si="10"/>
        <v>3825</v>
      </c>
      <c r="AD78" s="129">
        <f t="shared" si="10"/>
        <v>3825</v>
      </c>
      <c r="AE78" s="129">
        <f t="shared" si="10"/>
        <v>0</v>
      </c>
      <c r="AF78" s="129">
        <f t="shared" si="10"/>
        <v>0</v>
      </c>
      <c r="AG78" s="129">
        <f t="shared" si="10"/>
        <v>0</v>
      </c>
    </row>
    <row r="79" spans="1:33" ht="16.5" customHeight="1" outlineLevel="1">
      <c r="A79" s="128"/>
      <c r="B79" s="128"/>
      <c r="C79" s="128"/>
      <c r="D79" s="275"/>
      <c r="E79" s="128"/>
      <c r="F79" s="128"/>
      <c r="G79" s="128"/>
      <c r="H79" s="128"/>
      <c r="I79" s="332"/>
      <c r="J79" s="332"/>
      <c r="K79" s="332"/>
      <c r="L79" s="332"/>
      <c r="M79" s="332"/>
      <c r="N79" s="332"/>
      <c r="O79" s="332"/>
      <c r="P79" s="332"/>
      <c r="Q79" s="332"/>
      <c r="R79" s="332"/>
      <c r="S79" s="332"/>
      <c r="T79" s="332"/>
      <c r="U79" s="332"/>
      <c r="V79" s="332"/>
      <c r="W79" s="332"/>
      <c r="X79" s="332"/>
      <c r="Y79" s="332"/>
      <c r="Z79" s="332"/>
      <c r="AA79" s="332"/>
      <c r="AB79" s="332"/>
      <c r="AC79" s="332"/>
      <c r="AD79" s="332"/>
      <c r="AE79" s="332"/>
      <c r="AF79" s="332"/>
      <c r="AG79" s="332"/>
    </row>
    <row r="80" spans="1:33" s="203" customFormat="1" ht="16.5" customHeight="1" outlineLevel="1" thickBot="1">
      <c r="A80" s="128"/>
      <c r="B80" s="128"/>
      <c r="C80" s="268" t="s">
        <v>288</v>
      </c>
      <c r="D80" s="412" t="str">
        <f>Currency_Label</f>
        <v>USD</v>
      </c>
      <c r="E80" s="36"/>
      <c r="F80" s="36"/>
      <c r="G80" s="36"/>
      <c r="H80" s="36"/>
      <c r="I80" s="71">
        <f>SUM(J80:AG80)</f>
        <v>499793.74999999994</v>
      </c>
      <c r="J80" s="711">
        <f>J57+J64+J71+J78</f>
        <v>10416.666666666668</v>
      </c>
      <c r="K80" s="711">
        <f t="shared" ref="K80:AG80" si="11">K57+K64+K71+K78</f>
        <v>10416.666666666668</v>
      </c>
      <c r="L80" s="711">
        <f t="shared" si="11"/>
        <v>10416.666666666668</v>
      </c>
      <c r="M80" s="711">
        <f t="shared" si="11"/>
        <v>10416.666666666668</v>
      </c>
      <c r="N80" s="711">
        <f t="shared" si="11"/>
        <v>10416.666666666668</v>
      </c>
      <c r="O80" s="711">
        <f t="shared" si="11"/>
        <v>17500</v>
      </c>
      <c r="P80" s="711">
        <f t="shared" si="11"/>
        <v>17500</v>
      </c>
      <c r="Q80" s="711">
        <f t="shared" si="11"/>
        <v>23750</v>
      </c>
      <c r="R80" s="711">
        <f t="shared" si="11"/>
        <v>23750</v>
      </c>
      <c r="S80" s="711">
        <f t="shared" si="11"/>
        <v>23750</v>
      </c>
      <c r="T80" s="711">
        <f t="shared" si="11"/>
        <v>27741.666666666668</v>
      </c>
      <c r="U80" s="711">
        <f t="shared" si="11"/>
        <v>27741.666666666668</v>
      </c>
      <c r="V80" s="711">
        <f t="shared" si="11"/>
        <v>27741.666666666668</v>
      </c>
      <c r="W80" s="711">
        <f t="shared" si="11"/>
        <v>31158.333333333336</v>
      </c>
      <c r="X80" s="711">
        <f t="shared" si="11"/>
        <v>31158.333333333336</v>
      </c>
      <c r="Y80" s="711">
        <f t="shared" si="11"/>
        <v>31158.333333333336</v>
      </c>
      <c r="Z80" s="711">
        <f t="shared" si="11"/>
        <v>31158.333333333336</v>
      </c>
      <c r="AA80" s="711">
        <f t="shared" si="11"/>
        <v>31158.333333333336</v>
      </c>
      <c r="AB80" s="711">
        <f t="shared" si="11"/>
        <v>34147.916666666664</v>
      </c>
      <c r="AC80" s="711">
        <f t="shared" si="11"/>
        <v>34147.916666666664</v>
      </c>
      <c r="AD80" s="711">
        <f t="shared" si="11"/>
        <v>34147.916666666664</v>
      </c>
      <c r="AE80" s="711">
        <f t="shared" si="11"/>
        <v>0</v>
      </c>
      <c r="AF80" s="711">
        <f t="shared" si="11"/>
        <v>0</v>
      </c>
      <c r="AG80" s="711">
        <f t="shared" si="11"/>
        <v>0</v>
      </c>
    </row>
    <row r="81" spans="1:33" ht="13.5" thickTop="1">
      <c r="A81" s="128"/>
      <c r="B81" s="128"/>
      <c r="C81" s="128"/>
      <c r="D81" s="128"/>
      <c r="E81" s="128"/>
      <c r="F81" s="128"/>
      <c r="G81" s="128"/>
      <c r="H81" s="128"/>
      <c r="I81" s="332"/>
      <c r="J81" s="128"/>
      <c r="K81" s="128"/>
      <c r="L81" s="128"/>
      <c r="M81" s="241"/>
      <c r="N81" s="241"/>
      <c r="O81" s="241"/>
      <c r="P81" s="241"/>
      <c r="Q81" s="241"/>
      <c r="R81" s="241"/>
      <c r="S81" s="241"/>
      <c r="T81" s="241"/>
      <c r="U81" s="241"/>
      <c r="V81" s="241"/>
      <c r="W81" s="241"/>
      <c r="X81" s="241"/>
      <c r="Y81" s="241"/>
      <c r="Z81" s="241"/>
      <c r="AA81" s="241"/>
      <c r="AB81" s="241"/>
      <c r="AC81" s="241"/>
      <c r="AD81" s="241"/>
      <c r="AE81" s="241"/>
      <c r="AF81" s="241"/>
      <c r="AG81" s="241"/>
    </row>
    <row r="82" spans="1:33" ht="21.75" customHeight="1" thickBot="1">
      <c r="A82" s="323"/>
      <c r="B82" s="323"/>
      <c r="C82" s="323" t="s">
        <v>270</v>
      </c>
      <c r="D82" s="323"/>
      <c r="E82" s="323"/>
      <c r="F82" s="323"/>
      <c r="G82" s="323"/>
      <c r="H82" s="323"/>
      <c r="I82" s="323"/>
      <c r="J82" s="323"/>
      <c r="K82" s="323"/>
      <c r="L82" s="323"/>
      <c r="M82" s="323"/>
      <c r="N82" s="323"/>
      <c r="O82" s="323"/>
      <c r="P82" s="323"/>
      <c r="Q82" s="323"/>
      <c r="R82" s="323"/>
      <c r="S82" s="323"/>
      <c r="T82" s="323"/>
      <c r="U82" s="323"/>
      <c r="V82" s="323"/>
      <c r="W82" s="323"/>
      <c r="X82" s="323"/>
      <c r="Y82" s="323"/>
      <c r="Z82" s="323"/>
      <c r="AA82" s="323"/>
      <c r="AB82" s="323"/>
      <c r="AC82" s="323"/>
      <c r="AD82" s="323"/>
      <c r="AE82" s="323"/>
      <c r="AF82" s="323"/>
      <c r="AG82" s="323"/>
    </row>
    <row r="83" spans="1:33" ht="10.5" customHeight="1" outlineLevel="1">
      <c r="A83" s="128"/>
      <c r="B83" s="128"/>
      <c r="C83" s="128"/>
      <c r="D83" s="128"/>
      <c r="E83" s="128"/>
      <c r="F83" s="128"/>
      <c r="G83" s="128"/>
      <c r="H83" s="128"/>
      <c r="I83" s="128"/>
      <c r="J83" s="128"/>
      <c r="K83" s="128"/>
      <c r="L83" s="128"/>
      <c r="M83" s="241"/>
      <c r="N83" s="241"/>
      <c r="O83" s="241"/>
      <c r="P83" s="241"/>
      <c r="Q83" s="241"/>
      <c r="R83" s="241"/>
      <c r="S83" s="241"/>
      <c r="T83" s="241"/>
      <c r="U83" s="329"/>
      <c r="V83" s="241"/>
      <c r="W83" s="241"/>
      <c r="X83" s="241"/>
      <c r="Y83" s="241"/>
      <c r="Z83" s="241"/>
      <c r="AA83" s="241"/>
      <c r="AB83" s="241"/>
      <c r="AC83" s="241"/>
      <c r="AD83" s="241"/>
      <c r="AE83" s="241"/>
      <c r="AF83" s="241"/>
      <c r="AG83" s="241"/>
    </row>
    <row r="84" spans="1:33" ht="16.5" customHeight="1" outlineLevel="1">
      <c r="A84" s="128"/>
      <c r="B84" s="430" t="str">
        <f>B12</f>
        <v>1.</v>
      </c>
      <c r="C84" s="331" t="str">
        <f>C12</f>
        <v>Direct Labor Staff</v>
      </c>
      <c r="D84" s="275" t="str">
        <f>$D$50</f>
        <v>see sheet Costs 02</v>
      </c>
      <c r="E84" s="128"/>
      <c r="F84" s="128"/>
      <c r="G84" s="128"/>
      <c r="H84" s="128"/>
      <c r="I84" s="128"/>
      <c r="J84" s="333"/>
      <c r="K84" s="128"/>
      <c r="L84" s="128"/>
      <c r="M84" s="241"/>
      <c r="N84" s="241"/>
      <c r="O84" s="241"/>
      <c r="P84" s="241"/>
      <c r="Q84" s="241"/>
      <c r="R84" s="241"/>
      <c r="S84" s="241"/>
      <c r="T84" s="241"/>
      <c r="U84" s="241"/>
      <c r="V84" s="241"/>
      <c r="W84" s="241"/>
      <c r="X84" s="241"/>
      <c r="Y84" s="241"/>
      <c r="Z84" s="241"/>
      <c r="AA84" s="241"/>
      <c r="AB84" s="241"/>
      <c r="AC84" s="241"/>
      <c r="AD84" s="241"/>
      <c r="AE84" s="241"/>
      <c r="AF84" s="241"/>
      <c r="AG84" s="241"/>
    </row>
    <row r="85" spans="1:33" ht="16.5" customHeight="1" outlineLevel="1">
      <c r="A85" s="128"/>
      <c r="B85" s="128"/>
      <c r="C85" s="331" t="str">
        <f t="shared" ref="C85:C91" si="12">C15</f>
        <v/>
      </c>
      <c r="D85" s="275"/>
      <c r="E85" s="128"/>
      <c r="F85" s="128"/>
      <c r="G85" s="128"/>
      <c r="H85" s="128"/>
      <c r="I85" s="332"/>
      <c r="J85" s="332"/>
      <c r="K85" s="332"/>
      <c r="L85" s="332"/>
      <c r="M85" s="329"/>
      <c r="N85" s="329"/>
      <c r="O85" s="329"/>
      <c r="P85" s="329"/>
      <c r="Q85" s="329"/>
      <c r="R85" s="329"/>
      <c r="S85" s="329"/>
      <c r="T85" s="329"/>
      <c r="U85" s="329"/>
      <c r="V85" s="329"/>
      <c r="W85" s="329"/>
      <c r="X85" s="329"/>
      <c r="Y85" s="329"/>
      <c r="Z85" s="329"/>
      <c r="AA85" s="329"/>
      <c r="AB85" s="329"/>
      <c r="AC85" s="329"/>
      <c r="AD85" s="329"/>
      <c r="AE85" s="329"/>
      <c r="AF85" s="329"/>
      <c r="AG85" s="329"/>
    </row>
    <row r="86" spans="1:33" ht="16.5" customHeight="1" outlineLevel="1">
      <c r="A86" s="128"/>
      <c r="B86" s="430" t="str">
        <f>B16</f>
        <v>2.</v>
      </c>
      <c r="C86" s="331" t="str">
        <f t="shared" si="12"/>
        <v>Management &amp; Administration Staff</v>
      </c>
      <c r="D86" s="275"/>
      <c r="E86" s="411" t="s">
        <v>278</v>
      </c>
      <c r="F86" s="241"/>
      <c r="G86" s="241"/>
      <c r="H86" s="128"/>
      <c r="I86" s="332"/>
      <c r="J86" s="332"/>
      <c r="K86" s="332"/>
      <c r="L86" s="332"/>
      <c r="M86" s="329"/>
      <c r="N86" s="329"/>
      <c r="O86" s="329"/>
      <c r="P86" s="329"/>
      <c r="Q86" s="329"/>
      <c r="R86" s="329"/>
      <c r="S86" s="329"/>
      <c r="T86" s="329"/>
      <c r="U86" s="329"/>
      <c r="V86" s="329"/>
      <c r="W86" s="329"/>
      <c r="X86" s="329"/>
      <c r="Y86" s="329"/>
      <c r="Z86" s="329"/>
      <c r="AA86" s="329"/>
      <c r="AB86" s="329"/>
      <c r="AC86" s="329"/>
      <c r="AD86" s="329"/>
      <c r="AE86" s="329"/>
      <c r="AF86" s="329"/>
      <c r="AG86" s="329"/>
    </row>
    <row r="87" spans="1:33" ht="16.5" customHeight="1" outlineLevel="1">
      <c r="A87" s="128"/>
      <c r="B87" s="128"/>
      <c r="C87" s="40" t="str">
        <f t="shared" si="12"/>
        <v>Fill in name or positon here</v>
      </c>
      <c r="D87" s="8" t="str">
        <f>Currency_Label</f>
        <v>USD</v>
      </c>
      <c r="E87" s="760">
        <f>E17</f>
        <v>1</v>
      </c>
      <c r="F87" s="128"/>
      <c r="G87" s="128"/>
      <c r="H87" s="128"/>
      <c r="I87" s="71">
        <f>SUM(J87:AG87)</f>
        <v>22161.458333333328</v>
      </c>
      <c r="J87" s="233">
        <f t="shared" ref="J87:AG87" si="13">IFERROR(J17*(J53/J17)*AGSatz_Pausch,0)*$E87</f>
        <v>1041.6666666666667</v>
      </c>
      <c r="K87" s="233">
        <f t="shared" si="13"/>
        <v>1041.6666666666667</v>
      </c>
      <c r="L87" s="233">
        <f t="shared" si="13"/>
        <v>1041.6666666666667</v>
      </c>
      <c r="M87" s="233">
        <f t="shared" si="13"/>
        <v>1041.6666666666667</v>
      </c>
      <c r="N87" s="233">
        <f t="shared" si="13"/>
        <v>1041.6666666666667</v>
      </c>
      <c r="O87" s="233">
        <f t="shared" si="13"/>
        <v>1041.6666666666667</v>
      </c>
      <c r="P87" s="233">
        <f t="shared" si="13"/>
        <v>1041.6666666666667</v>
      </c>
      <c r="Q87" s="233">
        <f t="shared" si="13"/>
        <v>1041.6666666666667</v>
      </c>
      <c r="R87" s="233">
        <f t="shared" si="13"/>
        <v>1041.6666666666667</v>
      </c>
      <c r="S87" s="233">
        <f t="shared" si="13"/>
        <v>1041.6666666666667</v>
      </c>
      <c r="T87" s="233">
        <f t="shared" si="13"/>
        <v>1067.7083333333333</v>
      </c>
      <c r="U87" s="233">
        <f t="shared" si="13"/>
        <v>1067.7083333333333</v>
      </c>
      <c r="V87" s="233">
        <f t="shared" si="13"/>
        <v>1067.7083333333333</v>
      </c>
      <c r="W87" s="233">
        <f t="shared" si="13"/>
        <v>1067.7083333333333</v>
      </c>
      <c r="X87" s="233">
        <f t="shared" si="13"/>
        <v>1067.7083333333333</v>
      </c>
      <c r="Y87" s="233">
        <f t="shared" si="13"/>
        <v>1067.7083333333333</v>
      </c>
      <c r="Z87" s="233">
        <f t="shared" si="13"/>
        <v>1067.7083333333333</v>
      </c>
      <c r="AA87" s="233">
        <f t="shared" si="13"/>
        <v>1067.7083333333333</v>
      </c>
      <c r="AB87" s="233">
        <f t="shared" si="13"/>
        <v>1067.7083333333333</v>
      </c>
      <c r="AC87" s="233">
        <f t="shared" si="13"/>
        <v>1067.7083333333333</v>
      </c>
      <c r="AD87" s="233">
        <f t="shared" si="13"/>
        <v>1067.7083333333333</v>
      </c>
      <c r="AE87" s="233">
        <f t="shared" si="13"/>
        <v>0</v>
      </c>
      <c r="AF87" s="233">
        <f t="shared" si="13"/>
        <v>0</v>
      </c>
      <c r="AG87" s="233">
        <f t="shared" si="13"/>
        <v>0</v>
      </c>
    </row>
    <row r="88" spans="1:33" ht="16.5" customHeight="1" outlineLevel="1">
      <c r="A88" s="128"/>
      <c r="B88" s="128"/>
      <c r="C88" s="40" t="str">
        <f t="shared" si="12"/>
        <v>Fill in name or positon here</v>
      </c>
      <c r="D88" s="8" t="str">
        <f>Currency_Label</f>
        <v>USD</v>
      </c>
      <c r="E88" s="760">
        <f>E18</f>
        <v>1</v>
      </c>
      <c r="F88" s="128"/>
      <c r="G88" s="128"/>
      <c r="H88" s="128"/>
      <c r="I88" s="71">
        <f>SUM(J88:AG88)</f>
        <v>9395.8333333333339</v>
      </c>
      <c r="J88" s="233">
        <f t="shared" ref="J88:AG88" si="14">IFERROR(J18*(J54/J18)*AGSatz_Pausch,0)*$E88</f>
        <v>0</v>
      </c>
      <c r="K88" s="233">
        <f t="shared" si="14"/>
        <v>0</v>
      </c>
      <c r="L88" s="233">
        <f t="shared" si="14"/>
        <v>0</v>
      </c>
      <c r="M88" s="233">
        <f t="shared" si="14"/>
        <v>0</v>
      </c>
      <c r="N88" s="233">
        <f t="shared" si="14"/>
        <v>0</v>
      </c>
      <c r="O88" s="233">
        <f t="shared" si="14"/>
        <v>0</v>
      </c>
      <c r="P88" s="233">
        <f t="shared" si="14"/>
        <v>0</v>
      </c>
      <c r="Q88" s="233">
        <f t="shared" si="14"/>
        <v>0</v>
      </c>
      <c r="R88" s="233">
        <f t="shared" si="14"/>
        <v>0</v>
      </c>
      <c r="S88" s="233">
        <f t="shared" si="14"/>
        <v>0</v>
      </c>
      <c r="T88" s="233">
        <f t="shared" si="14"/>
        <v>854.16666666666663</v>
      </c>
      <c r="U88" s="233">
        <f t="shared" si="14"/>
        <v>854.16666666666663</v>
      </c>
      <c r="V88" s="233">
        <f t="shared" si="14"/>
        <v>854.16666666666663</v>
      </c>
      <c r="W88" s="233">
        <f t="shared" si="14"/>
        <v>854.16666666666663</v>
      </c>
      <c r="X88" s="233">
        <f t="shared" si="14"/>
        <v>854.16666666666663</v>
      </c>
      <c r="Y88" s="233">
        <f t="shared" si="14"/>
        <v>854.16666666666663</v>
      </c>
      <c r="Z88" s="233">
        <f t="shared" si="14"/>
        <v>854.16666666666663</v>
      </c>
      <c r="AA88" s="233">
        <f t="shared" si="14"/>
        <v>854.16666666666663</v>
      </c>
      <c r="AB88" s="233">
        <f t="shared" si="14"/>
        <v>854.16666666666663</v>
      </c>
      <c r="AC88" s="233">
        <f t="shared" si="14"/>
        <v>854.16666666666663</v>
      </c>
      <c r="AD88" s="233">
        <f t="shared" si="14"/>
        <v>854.16666666666663</v>
      </c>
      <c r="AE88" s="233">
        <f t="shared" si="14"/>
        <v>0</v>
      </c>
      <c r="AF88" s="233">
        <f t="shared" si="14"/>
        <v>0</v>
      </c>
      <c r="AG88" s="233">
        <f t="shared" si="14"/>
        <v>0</v>
      </c>
    </row>
    <row r="89" spans="1:33" s="203" customFormat="1" ht="16.5" customHeight="1" outlineLevel="1">
      <c r="A89" s="128"/>
      <c r="B89" s="128"/>
      <c r="C89" s="40" t="str">
        <f t="shared" si="12"/>
        <v>Fill in name or positon here</v>
      </c>
      <c r="D89" s="8" t="str">
        <f>Currency_Label</f>
        <v>USD</v>
      </c>
      <c r="E89" s="760">
        <f>E19</f>
        <v>0</v>
      </c>
      <c r="F89" s="128"/>
      <c r="G89" s="128"/>
      <c r="H89" s="128"/>
      <c r="I89" s="71">
        <f>SUM(J89:AG89)</f>
        <v>0</v>
      </c>
      <c r="J89" s="233">
        <f t="shared" ref="J89:AG89" si="15">IFERROR(J19*(J55/J19)*AGSatz_Pausch,0)*$E89</f>
        <v>0</v>
      </c>
      <c r="K89" s="233">
        <f t="shared" si="15"/>
        <v>0</v>
      </c>
      <c r="L89" s="233">
        <f t="shared" si="15"/>
        <v>0</v>
      </c>
      <c r="M89" s="233">
        <f t="shared" si="15"/>
        <v>0</v>
      </c>
      <c r="N89" s="233">
        <f t="shared" si="15"/>
        <v>0</v>
      </c>
      <c r="O89" s="233">
        <f t="shared" si="15"/>
        <v>0</v>
      </c>
      <c r="P89" s="233">
        <f t="shared" si="15"/>
        <v>0</v>
      </c>
      <c r="Q89" s="233">
        <f t="shared" si="15"/>
        <v>0</v>
      </c>
      <c r="R89" s="233">
        <f t="shared" si="15"/>
        <v>0</v>
      </c>
      <c r="S89" s="233">
        <f t="shared" si="15"/>
        <v>0</v>
      </c>
      <c r="T89" s="233">
        <f t="shared" si="15"/>
        <v>0</v>
      </c>
      <c r="U89" s="233">
        <f t="shared" si="15"/>
        <v>0</v>
      </c>
      <c r="V89" s="233">
        <f t="shared" si="15"/>
        <v>0</v>
      </c>
      <c r="W89" s="233">
        <f t="shared" si="15"/>
        <v>0</v>
      </c>
      <c r="X89" s="233">
        <f t="shared" si="15"/>
        <v>0</v>
      </c>
      <c r="Y89" s="233">
        <f t="shared" si="15"/>
        <v>0</v>
      </c>
      <c r="Z89" s="233">
        <f t="shared" si="15"/>
        <v>0</v>
      </c>
      <c r="AA89" s="233">
        <f t="shared" si="15"/>
        <v>0</v>
      </c>
      <c r="AB89" s="233">
        <f t="shared" si="15"/>
        <v>0</v>
      </c>
      <c r="AC89" s="233">
        <f t="shared" si="15"/>
        <v>0</v>
      </c>
      <c r="AD89" s="233">
        <f t="shared" si="15"/>
        <v>0</v>
      </c>
      <c r="AE89" s="233">
        <f t="shared" si="15"/>
        <v>0</v>
      </c>
      <c r="AF89" s="233">
        <f t="shared" si="15"/>
        <v>0</v>
      </c>
      <c r="AG89" s="233">
        <f t="shared" si="15"/>
        <v>0</v>
      </c>
    </row>
    <row r="90" spans="1:33" ht="16.5" customHeight="1" outlineLevel="1">
      <c r="A90" s="128"/>
      <c r="B90" s="128"/>
      <c r="C90" s="40" t="str">
        <f t="shared" si="12"/>
        <v>Fill in name or positon here</v>
      </c>
      <c r="D90" s="8" t="str">
        <f>Currency_Label</f>
        <v>USD</v>
      </c>
      <c r="E90" s="760">
        <f>E20</f>
        <v>1</v>
      </c>
      <c r="F90" s="128"/>
      <c r="G90" s="128"/>
      <c r="H90" s="128"/>
      <c r="I90" s="71">
        <f>SUM(J90:AG90)</f>
        <v>0</v>
      </c>
      <c r="J90" s="233">
        <f t="shared" ref="J90:AG90" si="16">IFERROR(J20*(J56/J20)*AGSatz_Pausch,0)*$E90</f>
        <v>0</v>
      </c>
      <c r="K90" s="233">
        <f t="shared" si="16"/>
        <v>0</v>
      </c>
      <c r="L90" s="233">
        <f t="shared" si="16"/>
        <v>0</v>
      </c>
      <c r="M90" s="233">
        <f t="shared" si="16"/>
        <v>0</v>
      </c>
      <c r="N90" s="233">
        <f t="shared" si="16"/>
        <v>0</v>
      </c>
      <c r="O90" s="233">
        <f t="shared" si="16"/>
        <v>0</v>
      </c>
      <c r="P90" s="233">
        <f t="shared" si="16"/>
        <v>0</v>
      </c>
      <c r="Q90" s="233">
        <f t="shared" si="16"/>
        <v>0</v>
      </c>
      <c r="R90" s="233">
        <f t="shared" si="16"/>
        <v>0</v>
      </c>
      <c r="S90" s="233">
        <f t="shared" si="16"/>
        <v>0</v>
      </c>
      <c r="T90" s="233">
        <f t="shared" si="16"/>
        <v>0</v>
      </c>
      <c r="U90" s="233">
        <f t="shared" si="16"/>
        <v>0</v>
      </c>
      <c r="V90" s="233">
        <f t="shared" si="16"/>
        <v>0</v>
      </c>
      <c r="W90" s="233">
        <f t="shared" si="16"/>
        <v>0</v>
      </c>
      <c r="X90" s="233">
        <f t="shared" si="16"/>
        <v>0</v>
      </c>
      <c r="Y90" s="233">
        <f t="shared" si="16"/>
        <v>0</v>
      </c>
      <c r="Z90" s="233">
        <f t="shared" si="16"/>
        <v>0</v>
      </c>
      <c r="AA90" s="233">
        <f t="shared" si="16"/>
        <v>0</v>
      </c>
      <c r="AB90" s="233">
        <f t="shared" si="16"/>
        <v>0</v>
      </c>
      <c r="AC90" s="233">
        <f t="shared" si="16"/>
        <v>0</v>
      </c>
      <c r="AD90" s="233">
        <f t="shared" si="16"/>
        <v>0</v>
      </c>
      <c r="AE90" s="233">
        <f t="shared" si="16"/>
        <v>0</v>
      </c>
      <c r="AF90" s="233">
        <f t="shared" si="16"/>
        <v>0</v>
      </c>
      <c r="AG90" s="233">
        <f t="shared" si="16"/>
        <v>0</v>
      </c>
    </row>
    <row r="91" spans="1:33" ht="16.5" customHeight="1" outlineLevel="1">
      <c r="A91" s="128"/>
      <c r="B91" s="128"/>
      <c r="C91" s="75" t="str">
        <f t="shared" si="12"/>
        <v xml:space="preserve">     Subtotal</v>
      </c>
      <c r="D91" s="8" t="str">
        <f>Currency_Label</f>
        <v>USD</v>
      </c>
      <c r="E91" s="36"/>
      <c r="F91" s="36"/>
      <c r="G91" s="36"/>
      <c r="H91" s="36"/>
      <c r="I91" s="71">
        <f>SUM(J91:AG91)</f>
        <v>31557.291666666664</v>
      </c>
      <c r="J91" s="238">
        <f>SUM(J87:J90)</f>
        <v>1041.6666666666667</v>
      </c>
      <c r="K91" s="238">
        <f t="shared" ref="K91:AG91" si="17">SUM(K87:K90)</f>
        <v>1041.6666666666667</v>
      </c>
      <c r="L91" s="238">
        <f t="shared" si="17"/>
        <v>1041.6666666666667</v>
      </c>
      <c r="M91" s="238">
        <f t="shared" si="17"/>
        <v>1041.6666666666667</v>
      </c>
      <c r="N91" s="238">
        <f t="shared" si="17"/>
        <v>1041.6666666666667</v>
      </c>
      <c r="O91" s="238">
        <f t="shared" si="17"/>
        <v>1041.6666666666667</v>
      </c>
      <c r="P91" s="238">
        <f t="shared" si="17"/>
        <v>1041.6666666666667</v>
      </c>
      <c r="Q91" s="238">
        <f t="shared" si="17"/>
        <v>1041.6666666666667</v>
      </c>
      <c r="R91" s="238">
        <f t="shared" si="17"/>
        <v>1041.6666666666667</v>
      </c>
      <c r="S91" s="238">
        <f t="shared" si="17"/>
        <v>1041.6666666666667</v>
      </c>
      <c r="T91" s="238">
        <f t="shared" si="17"/>
        <v>1921.875</v>
      </c>
      <c r="U91" s="238">
        <f t="shared" si="17"/>
        <v>1921.875</v>
      </c>
      <c r="V91" s="238">
        <f t="shared" si="17"/>
        <v>1921.875</v>
      </c>
      <c r="W91" s="238">
        <f t="shared" si="17"/>
        <v>1921.875</v>
      </c>
      <c r="X91" s="238">
        <f t="shared" si="17"/>
        <v>1921.875</v>
      </c>
      <c r="Y91" s="238">
        <f t="shared" si="17"/>
        <v>1921.875</v>
      </c>
      <c r="Z91" s="238">
        <f t="shared" si="17"/>
        <v>1921.875</v>
      </c>
      <c r="AA91" s="238">
        <f t="shared" si="17"/>
        <v>1921.875</v>
      </c>
      <c r="AB91" s="238">
        <f t="shared" si="17"/>
        <v>1921.875</v>
      </c>
      <c r="AC91" s="238">
        <f t="shared" si="17"/>
        <v>1921.875</v>
      </c>
      <c r="AD91" s="238">
        <f t="shared" si="17"/>
        <v>1921.875</v>
      </c>
      <c r="AE91" s="238">
        <f t="shared" si="17"/>
        <v>0</v>
      </c>
      <c r="AF91" s="238">
        <f t="shared" si="17"/>
        <v>0</v>
      </c>
      <c r="AG91" s="238">
        <f t="shared" si="17"/>
        <v>0</v>
      </c>
    </row>
    <row r="92" spans="1:33" ht="16.5" customHeight="1" outlineLevel="1">
      <c r="A92" s="128"/>
      <c r="B92" s="430"/>
      <c r="C92" s="128"/>
      <c r="D92" s="275"/>
      <c r="E92" s="128"/>
      <c r="F92" s="128"/>
      <c r="G92" s="128"/>
      <c r="H92" s="128"/>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row>
    <row r="93" spans="1:33" ht="16.5" customHeight="1" outlineLevel="1">
      <c r="A93" s="128"/>
      <c r="B93" s="430" t="str">
        <f>B23</f>
        <v>3.</v>
      </c>
      <c r="C93" s="331" t="str">
        <f>C23</f>
        <v>Operational Staff</v>
      </c>
      <c r="D93" s="275"/>
      <c r="E93" s="128"/>
      <c r="F93" s="241"/>
      <c r="G93" s="241"/>
      <c r="H93" s="128"/>
      <c r="I93" s="332"/>
      <c r="J93" s="332"/>
      <c r="K93" s="332"/>
      <c r="L93" s="332"/>
      <c r="M93" s="332"/>
      <c r="N93" s="332"/>
      <c r="O93" s="332"/>
      <c r="P93" s="332"/>
      <c r="Q93" s="332"/>
      <c r="R93" s="332"/>
      <c r="S93" s="332"/>
      <c r="T93" s="332"/>
      <c r="U93" s="332"/>
      <c r="V93" s="332"/>
      <c r="W93" s="332"/>
      <c r="X93" s="332"/>
      <c r="Y93" s="332"/>
      <c r="Z93" s="332"/>
      <c r="AA93" s="332"/>
      <c r="AB93" s="332"/>
      <c r="AC93" s="332"/>
      <c r="AD93" s="332"/>
      <c r="AE93" s="332"/>
      <c r="AF93" s="332"/>
      <c r="AG93" s="332"/>
    </row>
    <row r="94" spans="1:33" ht="16.5" customHeight="1" outlineLevel="1">
      <c r="A94" s="128"/>
      <c r="B94" s="128"/>
      <c r="C94" s="40" t="str">
        <f>C24</f>
        <v>Fill in name or positon here</v>
      </c>
      <c r="D94" s="8" t="str">
        <f>Currency_Label</f>
        <v>USD</v>
      </c>
      <c r="E94" s="760">
        <f>E24</f>
        <v>1</v>
      </c>
      <c r="F94" s="128"/>
      <c r="G94" s="128"/>
      <c r="H94" s="128"/>
      <c r="I94" s="71">
        <f>SUM(J94:AG94)</f>
        <v>28164.0625</v>
      </c>
      <c r="J94" s="233">
        <f t="shared" ref="J94:AG94" si="18">IFERROR(J24*(J60/J24)*AGSatz_Pausch,0)*$E94</f>
        <v>729.16666666666663</v>
      </c>
      <c r="K94" s="233">
        <f t="shared" si="18"/>
        <v>729.16666666666663</v>
      </c>
      <c r="L94" s="233">
        <f t="shared" si="18"/>
        <v>729.16666666666663</v>
      </c>
      <c r="M94" s="233">
        <f t="shared" si="18"/>
        <v>729.16666666666663</v>
      </c>
      <c r="N94" s="233">
        <f t="shared" si="18"/>
        <v>729.16666666666663</v>
      </c>
      <c r="O94" s="233">
        <f t="shared" si="18"/>
        <v>729.16666666666663</v>
      </c>
      <c r="P94" s="233">
        <f t="shared" si="18"/>
        <v>729.16666666666663</v>
      </c>
      <c r="Q94" s="233">
        <f t="shared" si="18"/>
        <v>1458.3333333333333</v>
      </c>
      <c r="R94" s="233">
        <f t="shared" si="18"/>
        <v>1458.3333333333333</v>
      </c>
      <c r="S94" s="233">
        <f t="shared" si="18"/>
        <v>1458.3333333333333</v>
      </c>
      <c r="T94" s="233">
        <f t="shared" si="18"/>
        <v>1494.7916666666667</v>
      </c>
      <c r="U94" s="233">
        <f t="shared" si="18"/>
        <v>1494.7916666666667</v>
      </c>
      <c r="V94" s="233">
        <f t="shared" si="18"/>
        <v>1494.7916666666667</v>
      </c>
      <c r="W94" s="233">
        <f t="shared" si="18"/>
        <v>1494.7916666666667</v>
      </c>
      <c r="X94" s="233">
        <f t="shared" si="18"/>
        <v>1494.7916666666667</v>
      </c>
      <c r="Y94" s="233">
        <f t="shared" si="18"/>
        <v>1494.7916666666667</v>
      </c>
      <c r="Z94" s="233">
        <f t="shared" si="18"/>
        <v>1494.7916666666667</v>
      </c>
      <c r="AA94" s="233">
        <f t="shared" si="18"/>
        <v>1494.7916666666667</v>
      </c>
      <c r="AB94" s="233">
        <f t="shared" si="18"/>
        <v>2242.1875</v>
      </c>
      <c r="AC94" s="233">
        <f t="shared" si="18"/>
        <v>2242.1875</v>
      </c>
      <c r="AD94" s="233">
        <f t="shared" si="18"/>
        <v>2242.1875</v>
      </c>
      <c r="AE94" s="233">
        <f t="shared" si="18"/>
        <v>0</v>
      </c>
      <c r="AF94" s="233">
        <f t="shared" si="18"/>
        <v>0</v>
      </c>
      <c r="AG94" s="233">
        <f t="shared" si="18"/>
        <v>0</v>
      </c>
    </row>
    <row r="95" spans="1:33" ht="16.5" customHeight="1" outlineLevel="1">
      <c r="A95" s="128"/>
      <c r="B95" s="128"/>
      <c r="C95" s="40" t="str">
        <f>C25</f>
        <v>Fill in name or positon here</v>
      </c>
      <c r="D95" s="8" t="str">
        <f>Currency_Label</f>
        <v>USD</v>
      </c>
      <c r="E95" s="760">
        <f>E25</f>
        <v>1</v>
      </c>
      <c r="F95" s="128"/>
      <c r="G95" s="128"/>
      <c r="H95" s="128"/>
      <c r="I95" s="71">
        <f>SUM(J95:AG95)</f>
        <v>11895.833333333332</v>
      </c>
      <c r="J95" s="233">
        <f t="shared" ref="J95:AG95" si="19">IFERROR(J25*(J61/J25)*AGSatz_Pausch,0)*$E95</f>
        <v>0</v>
      </c>
      <c r="K95" s="233">
        <f t="shared" si="19"/>
        <v>0</v>
      </c>
      <c r="L95" s="233">
        <f t="shared" si="19"/>
        <v>0</v>
      </c>
      <c r="M95" s="233">
        <f t="shared" si="19"/>
        <v>0</v>
      </c>
      <c r="N95" s="233">
        <f t="shared" si="19"/>
        <v>0</v>
      </c>
      <c r="O95" s="233">
        <f t="shared" si="19"/>
        <v>0</v>
      </c>
      <c r="P95" s="233">
        <f t="shared" si="19"/>
        <v>0</v>
      </c>
      <c r="Q95" s="233">
        <f t="shared" si="19"/>
        <v>833.33333333333337</v>
      </c>
      <c r="R95" s="233">
        <f t="shared" si="19"/>
        <v>833.33333333333337</v>
      </c>
      <c r="S95" s="233">
        <f t="shared" si="19"/>
        <v>833.33333333333337</v>
      </c>
      <c r="T95" s="233">
        <f t="shared" si="19"/>
        <v>854.16666666666663</v>
      </c>
      <c r="U95" s="233">
        <f t="shared" si="19"/>
        <v>854.16666666666663</v>
      </c>
      <c r="V95" s="233">
        <f t="shared" si="19"/>
        <v>854.16666666666663</v>
      </c>
      <c r="W95" s="233">
        <f t="shared" si="19"/>
        <v>854.16666666666663</v>
      </c>
      <c r="X95" s="233">
        <f t="shared" si="19"/>
        <v>854.16666666666663</v>
      </c>
      <c r="Y95" s="233">
        <f t="shared" si="19"/>
        <v>854.16666666666663</v>
      </c>
      <c r="Z95" s="233">
        <f t="shared" si="19"/>
        <v>854.16666666666663</v>
      </c>
      <c r="AA95" s="233">
        <f t="shared" si="19"/>
        <v>854.16666666666663</v>
      </c>
      <c r="AB95" s="233">
        <f t="shared" si="19"/>
        <v>854.16666666666663</v>
      </c>
      <c r="AC95" s="233">
        <f t="shared" si="19"/>
        <v>854.16666666666663</v>
      </c>
      <c r="AD95" s="233">
        <f t="shared" si="19"/>
        <v>854.16666666666663</v>
      </c>
      <c r="AE95" s="233">
        <f t="shared" si="19"/>
        <v>0</v>
      </c>
      <c r="AF95" s="233">
        <f t="shared" si="19"/>
        <v>0</v>
      </c>
      <c r="AG95" s="233">
        <f t="shared" si="19"/>
        <v>0</v>
      </c>
    </row>
    <row r="96" spans="1:33" s="203" customFormat="1" ht="16.5" customHeight="1" outlineLevel="1">
      <c r="A96" s="128"/>
      <c r="B96" s="128"/>
      <c r="C96" s="40" t="str">
        <f>C26</f>
        <v>Fill in name or positon here</v>
      </c>
      <c r="D96" s="8" t="str">
        <f>Currency_Label</f>
        <v>USD</v>
      </c>
      <c r="E96" s="760">
        <f>E26</f>
        <v>1</v>
      </c>
      <c r="F96" s="128"/>
      <c r="G96" s="128"/>
      <c r="H96" s="128"/>
      <c r="I96" s="71">
        <f>SUM(J96:AG96)</f>
        <v>0</v>
      </c>
      <c r="J96" s="233">
        <f t="shared" ref="J96:AG96" si="20">IFERROR(J26*(J62/J26)*AGSatz_Pausch,0)*$E96</f>
        <v>0</v>
      </c>
      <c r="K96" s="233">
        <f t="shared" si="20"/>
        <v>0</v>
      </c>
      <c r="L96" s="233">
        <f t="shared" si="20"/>
        <v>0</v>
      </c>
      <c r="M96" s="233">
        <f t="shared" si="20"/>
        <v>0</v>
      </c>
      <c r="N96" s="233">
        <f t="shared" si="20"/>
        <v>0</v>
      </c>
      <c r="O96" s="233">
        <f t="shared" si="20"/>
        <v>0</v>
      </c>
      <c r="P96" s="233">
        <f t="shared" si="20"/>
        <v>0</v>
      </c>
      <c r="Q96" s="233">
        <f t="shared" si="20"/>
        <v>0</v>
      </c>
      <c r="R96" s="233">
        <f t="shared" si="20"/>
        <v>0</v>
      </c>
      <c r="S96" s="233">
        <f t="shared" si="20"/>
        <v>0</v>
      </c>
      <c r="T96" s="233">
        <f t="shared" si="20"/>
        <v>0</v>
      </c>
      <c r="U96" s="233">
        <f t="shared" si="20"/>
        <v>0</v>
      </c>
      <c r="V96" s="233">
        <f t="shared" si="20"/>
        <v>0</v>
      </c>
      <c r="W96" s="233">
        <f t="shared" si="20"/>
        <v>0</v>
      </c>
      <c r="X96" s="233">
        <f t="shared" si="20"/>
        <v>0</v>
      </c>
      <c r="Y96" s="233">
        <f t="shared" si="20"/>
        <v>0</v>
      </c>
      <c r="Z96" s="233">
        <f t="shared" si="20"/>
        <v>0</v>
      </c>
      <c r="AA96" s="233">
        <f t="shared" si="20"/>
        <v>0</v>
      </c>
      <c r="AB96" s="233">
        <f t="shared" si="20"/>
        <v>0</v>
      </c>
      <c r="AC96" s="233">
        <f t="shared" si="20"/>
        <v>0</v>
      </c>
      <c r="AD96" s="233">
        <f t="shared" si="20"/>
        <v>0</v>
      </c>
      <c r="AE96" s="233">
        <f t="shared" si="20"/>
        <v>0</v>
      </c>
      <c r="AF96" s="233">
        <f t="shared" si="20"/>
        <v>0</v>
      </c>
      <c r="AG96" s="233">
        <f t="shared" si="20"/>
        <v>0</v>
      </c>
    </row>
    <row r="97" spans="1:33" ht="16.5" customHeight="1" outlineLevel="1">
      <c r="A97" s="128"/>
      <c r="B97" s="128"/>
      <c r="C97" s="40" t="str">
        <f>C27</f>
        <v>Fill in name or positon here</v>
      </c>
      <c r="D97" s="8" t="str">
        <f>Currency_Label</f>
        <v>USD</v>
      </c>
      <c r="E97" s="760">
        <f>E27</f>
        <v>1</v>
      </c>
      <c r="F97" s="128"/>
      <c r="G97" s="128"/>
      <c r="H97" s="128"/>
      <c r="I97" s="71">
        <f>SUM(J97:AG97)</f>
        <v>0</v>
      </c>
      <c r="J97" s="233">
        <f t="shared" ref="J97:AG97" si="21">IFERROR(J27*(J63/J27)*AGSatz_Pausch,0)*$E97</f>
        <v>0</v>
      </c>
      <c r="K97" s="233">
        <f t="shared" si="21"/>
        <v>0</v>
      </c>
      <c r="L97" s="233">
        <f t="shared" si="21"/>
        <v>0</v>
      </c>
      <c r="M97" s="233">
        <f t="shared" si="21"/>
        <v>0</v>
      </c>
      <c r="N97" s="233">
        <f t="shared" si="21"/>
        <v>0</v>
      </c>
      <c r="O97" s="233">
        <f t="shared" si="21"/>
        <v>0</v>
      </c>
      <c r="P97" s="233">
        <f t="shared" si="21"/>
        <v>0</v>
      </c>
      <c r="Q97" s="233">
        <f t="shared" si="21"/>
        <v>0</v>
      </c>
      <c r="R97" s="233">
        <f t="shared" si="21"/>
        <v>0</v>
      </c>
      <c r="S97" s="233">
        <f t="shared" si="21"/>
        <v>0</v>
      </c>
      <c r="T97" s="233">
        <f t="shared" si="21"/>
        <v>0</v>
      </c>
      <c r="U97" s="233">
        <f t="shared" si="21"/>
        <v>0</v>
      </c>
      <c r="V97" s="233">
        <f t="shared" si="21"/>
        <v>0</v>
      </c>
      <c r="W97" s="233">
        <f t="shared" si="21"/>
        <v>0</v>
      </c>
      <c r="X97" s="233">
        <f t="shared" si="21"/>
        <v>0</v>
      </c>
      <c r="Y97" s="233">
        <f t="shared" si="21"/>
        <v>0</v>
      </c>
      <c r="Z97" s="233">
        <f t="shared" si="21"/>
        <v>0</v>
      </c>
      <c r="AA97" s="233">
        <f t="shared" si="21"/>
        <v>0</v>
      </c>
      <c r="AB97" s="233">
        <f t="shared" si="21"/>
        <v>0</v>
      </c>
      <c r="AC97" s="233">
        <f t="shared" si="21"/>
        <v>0</v>
      </c>
      <c r="AD97" s="233">
        <f t="shared" si="21"/>
        <v>0</v>
      </c>
      <c r="AE97" s="233">
        <f t="shared" si="21"/>
        <v>0</v>
      </c>
      <c r="AF97" s="233">
        <f t="shared" si="21"/>
        <v>0</v>
      </c>
      <c r="AG97" s="233">
        <f t="shared" si="21"/>
        <v>0</v>
      </c>
    </row>
    <row r="98" spans="1:33" ht="16.5" customHeight="1" outlineLevel="1">
      <c r="A98" s="128"/>
      <c r="B98" s="430"/>
      <c r="C98" s="75" t="str">
        <f>C28</f>
        <v xml:space="preserve">     Subtotal</v>
      </c>
      <c r="D98" s="8" t="str">
        <f>Currency_Label</f>
        <v>USD</v>
      </c>
      <c r="E98" s="36"/>
      <c r="F98" s="36"/>
      <c r="G98" s="36"/>
      <c r="H98" s="36"/>
      <c r="I98" s="71">
        <f>SUM(J98:AG98)</f>
        <v>40059.895833333321</v>
      </c>
      <c r="J98" s="238">
        <f>SUM(J94:J97)</f>
        <v>729.16666666666663</v>
      </c>
      <c r="K98" s="238">
        <f t="shared" ref="K98:AG98" si="22">SUM(K94:K97)</f>
        <v>729.16666666666663</v>
      </c>
      <c r="L98" s="238">
        <f t="shared" si="22"/>
        <v>729.16666666666663</v>
      </c>
      <c r="M98" s="238">
        <f t="shared" si="22"/>
        <v>729.16666666666663</v>
      </c>
      <c r="N98" s="238">
        <f t="shared" si="22"/>
        <v>729.16666666666663</v>
      </c>
      <c r="O98" s="238">
        <f t="shared" si="22"/>
        <v>729.16666666666663</v>
      </c>
      <c r="P98" s="238">
        <f t="shared" si="22"/>
        <v>729.16666666666663</v>
      </c>
      <c r="Q98" s="238">
        <f t="shared" si="22"/>
        <v>2291.6666666666665</v>
      </c>
      <c r="R98" s="238">
        <f t="shared" si="22"/>
        <v>2291.6666666666665</v>
      </c>
      <c r="S98" s="238">
        <f t="shared" si="22"/>
        <v>2291.6666666666665</v>
      </c>
      <c r="T98" s="238">
        <f t="shared" si="22"/>
        <v>2348.9583333333335</v>
      </c>
      <c r="U98" s="238">
        <f t="shared" si="22"/>
        <v>2348.9583333333335</v>
      </c>
      <c r="V98" s="238">
        <f t="shared" si="22"/>
        <v>2348.9583333333335</v>
      </c>
      <c r="W98" s="238">
        <f t="shared" si="22"/>
        <v>2348.9583333333335</v>
      </c>
      <c r="X98" s="238">
        <f t="shared" si="22"/>
        <v>2348.9583333333335</v>
      </c>
      <c r="Y98" s="238">
        <f t="shared" si="22"/>
        <v>2348.9583333333335</v>
      </c>
      <c r="Z98" s="238">
        <f t="shared" si="22"/>
        <v>2348.9583333333335</v>
      </c>
      <c r="AA98" s="238">
        <f t="shared" si="22"/>
        <v>2348.9583333333335</v>
      </c>
      <c r="AB98" s="238">
        <f t="shared" si="22"/>
        <v>3096.3541666666665</v>
      </c>
      <c r="AC98" s="238">
        <f t="shared" si="22"/>
        <v>3096.3541666666665</v>
      </c>
      <c r="AD98" s="238">
        <f t="shared" si="22"/>
        <v>3096.3541666666665</v>
      </c>
      <c r="AE98" s="238">
        <f t="shared" si="22"/>
        <v>0</v>
      </c>
      <c r="AF98" s="238">
        <f t="shared" si="22"/>
        <v>0</v>
      </c>
      <c r="AG98" s="238">
        <f t="shared" si="22"/>
        <v>0</v>
      </c>
    </row>
    <row r="99" spans="1:33" ht="16.5" customHeight="1" outlineLevel="1">
      <c r="A99" s="128"/>
      <c r="B99" s="128"/>
      <c r="C99" s="128"/>
      <c r="D99" s="275"/>
      <c r="E99" s="128"/>
      <c r="F99" s="128"/>
      <c r="G99" s="128"/>
      <c r="H99" s="128"/>
      <c r="I99" s="332"/>
      <c r="J99" s="332"/>
      <c r="K99" s="332"/>
      <c r="L99" s="332"/>
      <c r="M99" s="332"/>
      <c r="N99" s="332"/>
      <c r="O99" s="332"/>
      <c r="P99" s="332"/>
      <c r="Q99" s="332"/>
      <c r="R99" s="332"/>
      <c r="S99" s="332"/>
      <c r="T99" s="332"/>
      <c r="U99" s="332"/>
      <c r="V99" s="332"/>
      <c r="W99" s="332"/>
      <c r="X99" s="332"/>
      <c r="Y99" s="332"/>
      <c r="Z99" s="332"/>
      <c r="AA99" s="332"/>
      <c r="AB99" s="332"/>
      <c r="AC99" s="332"/>
      <c r="AD99" s="332"/>
      <c r="AE99" s="332"/>
      <c r="AF99" s="332"/>
      <c r="AG99" s="332"/>
    </row>
    <row r="100" spans="1:33" ht="16.5" customHeight="1" outlineLevel="1">
      <c r="A100" s="128"/>
      <c r="B100" s="430" t="str">
        <f>B30</f>
        <v>4.</v>
      </c>
      <c r="C100" s="331" t="str">
        <f>C30</f>
        <v>Sales, Marketing &amp; Distribution Staff</v>
      </c>
      <c r="D100" s="275"/>
      <c r="E100" s="128"/>
      <c r="F100" s="241"/>
      <c r="G100" s="241"/>
      <c r="H100" s="128"/>
      <c r="I100" s="332"/>
      <c r="J100" s="332"/>
      <c r="K100" s="332"/>
      <c r="L100" s="332"/>
      <c r="M100" s="332"/>
      <c r="N100" s="332"/>
      <c r="O100" s="332"/>
      <c r="P100" s="332"/>
      <c r="Q100" s="332"/>
      <c r="R100" s="332"/>
      <c r="S100" s="332"/>
      <c r="T100" s="332"/>
      <c r="U100" s="332"/>
      <c r="V100" s="332"/>
      <c r="W100" s="332"/>
      <c r="X100" s="332"/>
      <c r="Y100" s="332"/>
      <c r="Z100" s="332"/>
      <c r="AA100" s="332"/>
      <c r="AB100" s="332"/>
      <c r="AC100" s="332"/>
      <c r="AD100" s="332"/>
      <c r="AE100" s="332"/>
      <c r="AF100" s="332"/>
      <c r="AG100" s="332"/>
    </row>
    <row r="101" spans="1:33" ht="16.5" customHeight="1" outlineLevel="1">
      <c r="A101" s="128"/>
      <c r="B101" s="128"/>
      <c r="C101" s="40" t="str">
        <f>C31</f>
        <v>Fill in name or positon here</v>
      </c>
      <c r="D101" s="8" t="str">
        <f>Currency_Label</f>
        <v>USD</v>
      </c>
      <c r="E101" s="760">
        <f>E31</f>
        <v>1</v>
      </c>
      <c r="F101" s="128"/>
      <c r="G101" s="128"/>
      <c r="H101" s="128"/>
      <c r="I101" s="71">
        <f>SUM(J101:AG101)</f>
        <v>38125</v>
      </c>
      <c r="J101" s="233">
        <f t="shared" ref="J101:AG101" si="23">IFERROR(J31*(J67/J31)*AGSatz_Pausch,0)*$E101</f>
        <v>833.33333333333337</v>
      </c>
      <c r="K101" s="233">
        <f t="shared" si="23"/>
        <v>833.33333333333337</v>
      </c>
      <c r="L101" s="233">
        <f t="shared" si="23"/>
        <v>833.33333333333337</v>
      </c>
      <c r="M101" s="233">
        <f t="shared" si="23"/>
        <v>833.33333333333337</v>
      </c>
      <c r="N101" s="233">
        <f t="shared" si="23"/>
        <v>833.33333333333337</v>
      </c>
      <c r="O101" s="233">
        <f t="shared" si="23"/>
        <v>1666.6666666666667</v>
      </c>
      <c r="P101" s="233">
        <f t="shared" si="23"/>
        <v>1666.6666666666667</v>
      </c>
      <c r="Q101" s="233">
        <f t="shared" si="23"/>
        <v>1666.6666666666667</v>
      </c>
      <c r="R101" s="233">
        <f t="shared" si="23"/>
        <v>1666.6666666666667</v>
      </c>
      <c r="S101" s="233">
        <f t="shared" si="23"/>
        <v>1666.6666666666667</v>
      </c>
      <c r="T101" s="233">
        <f t="shared" si="23"/>
        <v>1708.3333333333333</v>
      </c>
      <c r="U101" s="233">
        <f t="shared" si="23"/>
        <v>1708.3333333333333</v>
      </c>
      <c r="V101" s="233">
        <f t="shared" si="23"/>
        <v>1708.3333333333333</v>
      </c>
      <c r="W101" s="233">
        <f t="shared" si="23"/>
        <v>2562.5</v>
      </c>
      <c r="X101" s="233">
        <f t="shared" si="23"/>
        <v>2562.5</v>
      </c>
      <c r="Y101" s="233">
        <f t="shared" si="23"/>
        <v>2562.5</v>
      </c>
      <c r="Z101" s="233">
        <f t="shared" si="23"/>
        <v>2562.5</v>
      </c>
      <c r="AA101" s="233">
        <f t="shared" si="23"/>
        <v>2562.5</v>
      </c>
      <c r="AB101" s="233">
        <f t="shared" si="23"/>
        <v>2562.5</v>
      </c>
      <c r="AC101" s="233">
        <f t="shared" si="23"/>
        <v>2562.5</v>
      </c>
      <c r="AD101" s="233">
        <f t="shared" si="23"/>
        <v>2562.5</v>
      </c>
      <c r="AE101" s="233">
        <f t="shared" si="23"/>
        <v>0</v>
      </c>
      <c r="AF101" s="233">
        <f t="shared" si="23"/>
        <v>0</v>
      </c>
      <c r="AG101" s="233">
        <f t="shared" si="23"/>
        <v>0</v>
      </c>
    </row>
    <row r="102" spans="1:33" ht="16.5" customHeight="1" outlineLevel="1">
      <c r="A102" s="128"/>
      <c r="B102" s="128"/>
      <c r="C102" s="40" t="str">
        <f>C32</f>
        <v>Fill in name or positon here</v>
      </c>
      <c r="D102" s="8" t="str">
        <f>Currency_Label</f>
        <v>USD</v>
      </c>
      <c r="E102" s="760">
        <f>E32</f>
        <v>1</v>
      </c>
      <c r="F102" s="128"/>
      <c r="G102" s="128"/>
      <c r="H102" s="128"/>
      <c r="I102" s="71">
        <f>SUM(J102:AG102)</f>
        <v>0</v>
      </c>
      <c r="J102" s="233">
        <f t="shared" ref="J102:AG102" si="24">IFERROR(J32*(J68/J32)*AGSatz_Pausch,0)*$E102</f>
        <v>0</v>
      </c>
      <c r="K102" s="233">
        <f t="shared" si="24"/>
        <v>0</v>
      </c>
      <c r="L102" s="233">
        <f t="shared" si="24"/>
        <v>0</v>
      </c>
      <c r="M102" s="233">
        <f t="shared" si="24"/>
        <v>0</v>
      </c>
      <c r="N102" s="233">
        <f t="shared" si="24"/>
        <v>0</v>
      </c>
      <c r="O102" s="233">
        <f t="shared" si="24"/>
        <v>0</v>
      </c>
      <c r="P102" s="233">
        <f t="shared" si="24"/>
        <v>0</v>
      </c>
      <c r="Q102" s="233">
        <f t="shared" si="24"/>
        <v>0</v>
      </c>
      <c r="R102" s="233">
        <f t="shared" si="24"/>
        <v>0</v>
      </c>
      <c r="S102" s="233">
        <f t="shared" si="24"/>
        <v>0</v>
      </c>
      <c r="T102" s="233">
        <f t="shared" si="24"/>
        <v>0</v>
      </c>
      <c r="U102" s="233">
        <f t="shared" si="24"/>
        <v>0</v>
      </c>
      <c r="V102" s="233">
        <f t="shared" si="24"/>
        <v>0</v>
      </c>
      <c r="W102" s="233">
        <f t="shared" si="24"/>
        <v>0</v>
      </c>
      <c r="X102" s="233">
        <f t="shared" si="24"/>
        <v>0</v>
      </c>
      <c r="Y102" s="233">
        <f t="shared" si="24"/>
        <v>0</v>
      </c>
      <c r="Z102" s="233">
        <f t="shared" si="24"/>
        <v>0</v>
      </c>
      <c r="AA102" s="233">
        <f t="shared" si="24"/>
        <v>0</v>
      </c>
      <c r="AB102" s="233">
        <f t="shared" si="24"/>
        <v>0</v>
      </c>
      <c r="AC102" s="233">
        <f t="shared" si="24"/>
        <v>0</v>
      </c>
      <c r="AD102" s="233">
        <f t="shared" si="24"/>
        <v>0</v>
      </c>
      <c r="AE102" s="233">
        <f t="shared" si="24"/>
        <v>0</v>
      </c>
      <c r="AF102" s="233">
        <f t="shared" si="24"/>
        <v>0</v>
      </c>
      <c r="AG102" s="233">
        <f t="shared" si="24"/>
        <v>0</v>
      </c>
    </row>
    <row r="103" spans="1:33" s="203" customFormat="1" ht="16.5" customHeight="1" outlineLevel="1">
      <c r="A103" s="128"/>
      <c r="B103" s="128"/>
      <c r="C103" s="40" t="str">
        <f>C33</f>
        <v>Fill in name or positon here</v>
      </c>
      <c r="D103" s="8" t="str">
        <f>Currency_Label</f>
        <v>USD</v>
      </c>
      <c r="E103" s="760">
        <f>E33</f>
        <v>1</v>
      </c>
      <c r="F103" s="128"/>
      <c r="G103" s="128"/>
      <c r="H103" s="128"/>
      <c r="I103" s="71">
        <f>SUM(J103:AG103)</f>
        <v>0</v>
      </c>
      <c r="J103" s="233">
        <f t="shared" ref="J103:AG103" si="25">IFERROR(J33*(J69/J33)*AGSatz_Pausch,0)*$E103</f>
        <v>0</v>
      </c>
      <c r="K103" s="233">
        <f t="shared" si="25"/>
        <v>0</v>
      </c>
      <c r="L103" s="233">
        <f t="shared" si="25"/>
        <v>0</v>
      </c>
      <c r="M103" s="233">
        <f t="shared" si="25"/>
        <v>0</v>
      </c>
      <c r="N103" s="233">
        <f t="shared" si="25"/>
        <v>0</v>
      </c>
      <c r="O103" s="233">
        <f t="shared" si="25"/>
        <v>0</v>
      </c>
      <c r="P103" s="233">
        <f t="shared" si="25"/>
        <v>0</v>
      </c>
      <c r="Q103" s="233">
        <f t="shared" si="25"/>
        <v>0</v>
      </c>
      <c r="R103" s="233">
        <f t="shared" si="25"/>
        <v>0</v>
      </c>
      <c r="S103" s="233">
        <f t="shared" si="25"/>
        <v>0</v>
      </c>
      <c r="T103" s="233">
        <f t="shared" si="25"/>
        <v>0</v>
      </c>
      <c r="U103" s="233">
        <f t="shared" si="25"/>
        <v>0</v>
      </c>
      <c r="V103" s="233">
        <f t="shared" si="25"/>
        <v>0</v>
      </c>
      <c r="W103" s="233">
        <f t="shared" si="25"/>
        <v>0</v>
      </c>
      <c r="X103" s="233">
        <f t="shared" si="25"/>
        <v>0</v>
      </c>
      <c r="Y103" s="233">
        <f t="shared" si="25"/>
        <v>0</v>
      </c>
      <c r="Z103" s="233">
        <f t="shared" si="25"/>
        <v>0</v>
      </c>
      <c r="AA103" s="233">
        <f t="shared" si="25"/>
        <v>0</v>
      </c>
      <c r="AB103" s="233">
        <f t="shared" si="25"/>
        <v>0</v>
      </c>
      <c r="AC103" s="233">
        <f t="shared" si="25"/>
        <v>0</v>
      </c>
      <c r="AD103" s="233">
        <f t="shared" si="25"/>
        <v>0</v>
      </c>
      <c r="AE103" s="233">
        <f t="shared" si="25"/>
        <v>0</v>
      </c>
      <c r="AF103" s="233">
        <f t="shared" si="25"/>
        <v>0</v>
      </c>
      <c r="AG103" s="233">
        <f t="shared" si="25"/>
        <v>0</v>
      </c>
    </row>
    <row r="104" spans="1:33" ht="16.5" customHeight="1" outlineLevel="1">
      <c r="A104" s="128"/>
      <c r="B104" s="128"/>
      <c r="C104" s="40" t="str">
        <f>C34</f>
        <v>Fill in name or positon here</v>
      </c>
      <c r="D104" s="8" t="str">
        <f>Currency_Label</f>
        <v>USD</v>
      </c>
      <c r="E104" s="760">
        <f>E34</f>
        <v>1</v>
      </c>
      <c r="F104" s="128"/>
      <c r="G104" s="128"/>
      <c r="H104" s="128"/>
      <c r="I104" s="71">
        <f>SUM(J104:AG104)</f>
        <v>0</v>
      </c>
      <c r="J104" s="233">
        <f t="shared" ref="J104:AG104" si="26">IFERROR(J34*(J70/J34)*AGSatz_Pausch,0)*$E104</f>
        <v>0</v>
      </c>
      <c r="K104" s="233">
        <f t="shared" si="26"/>
        <v>0</v>
      </c>
      <c r="L104" s="233">
        <f t="shared" si="26"/>
        <v>0</v>
      </c>
      <c r="M104" s="233">
        <f t="shared" si="26"/>
        <v>0</v>
      </c>
      <c r="N104" s="233">
        <f t="shared" si="26"/>
        <v>0</v>
      </c>
      <c r="O104" s="233">
        <f t="shared" si="26"/>
        <v>0</v>
      </c>
      <c r="P104" s="233">
        <f t="shared" si="26"/>
        <v>0</v>
      </c>
      <c r="Q104" s="233">
        <f t="shared" si="26"/>
        <v>0</v>
      </c>
      <c r="R104" s="233">
        <f t="shared" si="26"/>
        <v>0</v>
      </c>
      <c r="S104" s="233">
        <f t="shared" si="26"/>
        <v>0</v>
      </c>
      <c r="T104" s="233">
        <f t="shared" si="26"/>
        <v>0</v>
      </c>
      <c r="U104" s="233">
        <f t="shared" si="26"/>
        <v>0</v>
      </c>
      <c r="V104" s="233">
        <f t="shared" si="26"/>
        <v>0</v>
      </c>
      <c r="W104" s="233">
        <f t="shared" si="26"/>
        <v>0</v>
      </c>
      <c r="X104" s="233">
        <f t="shared" si="26"/>
        <v>0</v>
      </c>
      <c r="Y104" s="233">
        <f t="shared" si="26"/>
        <v>0</v>
      </c>
      <c r="Z104" s="233">
        <f t="shared" si="26"/>
        <v>0</v>
      </c>
      <c r="AA104" s="233">
        <f t="shared" si="26"/>
        <v>0</v>
      </c>
      <c r="AB104" s="233">
        <f t="shared" si="26"/>
        <v>0</v>
      </c>
      <c r="AC104" s="233">
        <f t="shared" si="26"/>
        <v>0</v>
      </c>
      <c r="AD104" s="233">
        <f t="shared" si="26"/>
        <v>0</v>
      </c>
      <c r="AE104" s="233">
        <f t="shared" si="26"/>
        <v>0</v>
      </c>
      <c r="AF104" s="233">
        <f t="shared" si="26"/>
        <v>0</v>
      </c>
      <c r="AG104" s="233">
        <f t="shared" si="26"/>
        <v>0</v>
      </c>
    </row>
    <row r="105" spans="1:33" ht="16.5" customHeight="1" outlineLevel="1">
      <c r="A105" s="128"/>
      <c r="B105" s="128"/>
      <c r="C105" s="75" t="str">
        <f>C35</f>
        <v xml:space="preserve">     Subtotal</v>
      </c>
      <c r="D105" s="8" t="str">
        <f>Currency_Label</f>
        <v>USD</v>
      </c>
      <c r="E105" s="36"/>
      <c r="F105" s="36"/>
      <c r="G105" s="36"/>
      <c r="H105" s="36"/>
      <c r="I105" s="71">
        <f>SUM(J105:AG105)</f>
        <v>38125</v>
      </c>
      <c r="J105" s="238">
        <f>SUM(J101:J104)</f>
        <v>833.33333333333337</v>
      </c>
      <c r="K105" s="238">
        <f t="shared" ref="K105:AG105" si="27">SUM(K101:K104)</f>
        <v>833.33333333333337</v>
      </c>
      <c r="L105" s="238">
        <f t="shared" si="27"/>
        <v>833.33333333333337</v>
      </c>
      <c r="M105" s="238">
        <f t="shared" si="27"/>
        <v>833.33333333333337</v>
      </c>
      <c r="N105" s="238">
        <f t="shared" si="27"/>
        <v>833.33333333333337</v>
      </c>
      <c r="O105" s="238">
        <f t="shared" si="27"/>
        <v>1666.6666666666667</v>
      </c>
      <c r="P105" s="238">
        <f t="shared" si="27"/>
        <v>1666.6666666666667</v>
      </c>
      <c r="Q105" s="238">
        <f t="shared" si="27"/>
        <v>1666.6666666666667</v>
      </c>
      <c r="R105" s="238">
        <f t="shared" si="27"/>
        <v>1666.6666666666667</v>
      </c>
      <c r="S105" s="238">
        <f t="shared" si="27"/>
        <v>1666.6666666666667</v>
      </c>
      <c r="T105" s="238">
        <f t="shared" si="27"/>
        <v>1708.3333333333333</v>
      </c>
      <c r="U105" s="238">
        <f t="shared" si="27"/>
        <v>1708.3333333333333</v>
      </c>
      <c r="V105" s="238">
        <f t="shared" si="27"/>
        <v>1708.3333333333333</v>
      </c>
      <c r="W105" s="238">
        <f t="shared" si="27"/>
        <v>2562.5</v>
      </c>
      <c r="X105" s="238">
        <f t="shared" si="27"/>
        <v>2562.5</v>
      </c>
      <c r="Y105" s="238">
        <f t="shared" si="27"/>
        <v>2562.5</v>
      </c>
      <c r="Z105" s="238">
        <f t="shared" si="27"/>
        <v>2562.5</v>
      </c>
      <c r="AA105" s="238">
        <f t="shared" si="27"/>
        <v>2562.5</v>
      </c>
      <c r="AB105" s="238">
        <f t="shared" si="27"/>
        <v>2562.5</v>
      </c>
      <c r="AC105" s="238">
        <f t="shared" si="27"/>
        <v>2562.5</v>
      </c>
      <c r="AD105" s="238">
        <f t="shared" si="27"/>
        <v>2562.5</v>
      </c>
      <c r="AE105" s="238">
        <f t="shared" si="27"/>
        <v>0</v>
      </c>
      <c r="AF105" s="238">
        <f t="shared" si="27"/>
        <v>0</v>
      </c>
      <c r="AG105" s="238">
        <f t="shared" si="27"/>
        <v>0</v>
      </c>
    </row>
    <row r="106" spans="1:33" ht="16.5" customHeight="1" outlineLevel="1">
      <c r="A106" s="128"/>
      <c r="B106" s="128"/>
      <c r="C106" s="128"/>
      <c r="D106" s="275"/>
      <c r="E106" s="128"/>
      <c r="F106" s="128"/>
      <c r="G106" s="128"/>
      <c r="H106" s="128"/>
      <c r="I106" s="332"/>
      <c r="J106" s="332"/>
      <c r="K106" s="332"/>
      <c r="L106" s="332"/>
      <c r="M106" s="332"/>
      <c r="N106" s="332"/>
      <c r="O106" s="332"/>
      <c r="P106" s="332"/>
      <c r="Q106" s="332"/>
      <c r="R106" s="332"/>
      <c r="S106" s="332"/>
      <c r="T106" s="332"/>
      <c r="U106" s="332"/>
      <c r="V106" s="332"/>
      <c r="W106" s="332"/>
      <c r="X106" s="332"/>
      <c r="Y106" s="332"/>
      <c r="Z106" s="332"/>
      <c r="AA106" s="332"/>
      <c r="AB106" s="332"/>
      <c r="AC106" s="332"/>
      <c r="AD106" s="332"/>
      <c r="AE106" s="332"/>
      <c r="AF106" s="332"/>
      <c r="AG106" s="332"/>
    </row>
    <row r="107" spans="1:33" ht="16.5" customHeight="1" outlineLevel="1">
      <c r="A107" s="128"/>
      <c r="B107" s="430" t="str">
        <f>B37</f>
        <v>5.</v>
      </c>
      <c r="C107" s="331" t="str">
        <f>C37</f>
        <v>Research &amp; Development</v>
      </c>
      <c r="D107" s="275"/>
      <c r="E107" s="128"/>
      <c r="F107" s="241"/>
      <c r="G107" s="241"/>
      <c r="H107" s="128"/>
      <c r="I107" s="332"/>
      <c r="J107" s="332"/>
      <c r="K107" s="332"/>
      <c r="L107" s="332"/>
      <c r="M107" s="332"/>
      <c r="N107" s="332"/>
      <c r="O107" s="332"/>
      <c r="P107" s="332"/>
      <c r="Q107" s="332"/>
      <c r="R107" s="332"/>
      <c r="S107" s="332"/>
      <c r="T107" s="332"/>
      <c r="U107" s="332"/>
      <c r="V107" s="332"/>
      <c r="W107" s="332"/>
      <c r="X107" s="332"/>
      <c r="Y107" s="332"/>
      <c r="Z107" s="332"/>
      <c r="AA107" s="332"/>
      <c r="AB107" s="332"/>
      <c r="AC107" s="332"/>
      <c r="AD107" s="332"/>
      <c r="AE107" s="332"/>
      <c r="AF107" s="332"/>
      <c r="AG107" s="332"/>
    </row>
    <row r="108" spans="1:33" ht="16.5" customHeight="1" outlineLevel="1">
      <c r="A108" s="128"/>
      <c r="B108" s="128"/>
      <c r="C108" s="40" t="str">
        <f>C38</f>
        <v>Fill in name or positon here</v>
      </c>
      <c r="D108" s="8" t="str">
        <f>Currency_Label</f>
        <v>USD</v>
      </c>
      <c r="E108" s="760">
        <f>E38</f>
        <v>1</v>
      </c>
      <c r="F108" s="128"/>
      <c r="G108" s="128"/>
      <c r="H108" s="128"/>
      <c r="I108" s="71">
        <f>SUM(J108:AG108)</f>
        <v>15206.25</v>
      </c>
      <c r="J108" s="233">
        <f t="shared" ref="J108:AG108" si="28">IFERROR(J38*(J74/J38)*AGSatz_Pausch,0)*$E108</f>
        <v>0</v>
      </c>
      <c r="K108" s="233">
        <f t="shared" si="28"/>
        <v>0</v>
      </c>
      <c r="L108" s="233">
        <f t="shared" si="28"/>
        <v>0</v>
      </c>
      <c r="M108" s="233">
        <f t="shared" si="28"/>
        <v>0</v>
      </c>
      <c r="N108" s="233">
        <f t="shared" si="28"/>
        <v>0</v>
      </c>
      <c r="O108" s="233">
        <f t="shared" si="28"/>
        <v>937.5</v>
      </c>
      <c r="P108" s="233">
        <f t="shared" si="28"/>
        <v>937.5</v>
      </c>
      <c r="Q108" s="233">
        <f t="shared" si="28"/>
        <v>937.5</v>
      </c>
      <c r="R108" s="233">
        <f t="shared" si="28"/>
        <v>937.5</v>
      </c>
      <c r="S108" s="233">
        <f t="shared" si="28"/>
        <v>937.5</v>
      </c>
      <c r="T108" s="233">
        <f t="shared" si="28"/>
        <v>956.25</v>
      </c>
      <c r="U108" s="233">
        <f t="shared" si="28"/>
        <v>956.25</v>
      </c>
      <c r="V108" s="233">
        <f t="shared" si="28"/>
        <v>956.25</v>
      </c>
      <c r="W108" s="233">
        <f t="shared" si="28"/>
        <v>956.25</v>
      </c>
      <c r="X108" s="233">
        <f t="shared" si="28"/>
        <v>956.25</v>
      </c>
      <c r="Y108" s="233">
        <f t="shared" si="28"/>
        <v>956.25</v>
      </c>
      <c r="Z108" s="233">
        <f t="shared" si="28"/>
        <v>956.25</v>
      </c>
      <c r="AA108" s="233">
        <f t="shared" si="28"/>
        <v>956.25</v>
      </c>
      <c r="AB108" s="233">
        <f t="shared" si="28"/>
        <v>956.25</v>
      </c>
      <c r="AC108" s="233">
        <f t="shared" si="28"/>
        <v>956.25</v>
      </c>
      <c r="AD108" s="233">
        <f t="shared" si="28"/>
        <v>956.25</v>
      </c>
      <c r="AE108" s="233">
        <f t="shared" si="28"/>
        <v>0</v>
      </c>
      <c r="AF108" s="233">
        <f t="shared" si="28"/>
        <v>0</v>
      </c>
      <c r="AG108" s="233">
        <f t="shared" si="28"/>
        <v>0</v>
      </c>
    </row>
    <row r="109" spans="1:33" ht="16.5" customHeight="1" outlineLevel="1">
      <c r="A109" s="128"/>
      <c r="B109" s="128"/>
      <c r="C109" s="40" t="str">
        <f>C39</f>
        <v>Fill in name or positon here</v>
      </c>
      <c r="D109" s="8" t="str">
        <f>Currency_Label</f>
        <v>USD</v>
      </c>
      <c r="E109" s="760">
        <f>E39</f>
        <v>1</v>
      </c>
      <c r="F109" s="128"/>
      <c r="G109" s="128"/>
      <c r="H109" s="128"/>
      <c r="I109" s="71">
        <f>SUM(J109:AG109)</f>
        <v>0</v>
      </c>
      <c r="J109" s="233">
        <f t="shared" ref="J109:AG109" si="29">IFERROR(J39*(J75/J39)*AGSatz_Pausch,0)*$E109</f>
        <v>0</v>
      </c>
      <c r="K109" s="233">
        <f t="shared" si="29"/>
        <v>0</v>
      </c>
      <c r="L109" s="233">
        <f t="shared" si="29"/>
        <v>0</v>
      </c>
      <c r="M109" s="233">
        <f t="shared" si="29"/>
        <v>0</v>
      </c>
      <c r="N109" s="233">
        <f t="shared" si="29"/>
        <v>0</v>
      </c>
      <c r="O109" s="233">
        <f t="shared" si="29"/>
        <v>0</v>
      </c>
      <c r="P109" s="233">
        <f t="shared" si="29"/>
        <v>0</v>
      </c>
      <c r="Q109" s="233">
        <f t="shared" si="29"/>
        <v>0</v>
      </c>
      <c r="R109" s="233">
        <f t="shared" si="29"/>
        <v>0</v>
      </c>
      <c r="S109" s="233">
        <f t="shared" si="29"/>
        <v>0</v>
      </c>
      <c r="T109" s="233">
        <f t="shared" si="29"/>
        <v>0</v>
      </c>
      <c r="U109" s="233">
        <f t="shared" si="29"/>
        <v>0</v>
      </c>
      <c r="V109" s="233">
        <f t="shared" si="29"/>
        <v>0</v>
      </c>
      <c r="W109" s="233">
        <f t="shared" si="29"/>
        <v>0</v>
      </c>
      <c r="X109" s="233">
        <f t="shared" si="29"/>
        <v>0</v>
      </c>
      <c r="Y109" s="233">
        <f t="shared" si="29"/>
        <v>0</v>
      </c>
      <c r="Z109" s="233">
        <f t="shared" si="29"/>
        <v>0</v>
      </c>
      <c r="AA109" s="233">
        <f t="shared" si="29"/>
        <v>0</v>
      </c>
      <c r="AB109" s="233">
        <f t="shared" si="29"/>
        <v>0</v>
      </c>
      <c r="AC109" s="233">
        <f t="shared" si="29"/>
        <v>0</v>
      </c>
      <c r="AD109" s="233">
        <f t="shared" si="29"/>
        <v>0</v>
      </c>
      <c r="AE109" s="233">
        <f t="shared" si="29"/>
        <v>0</v>
      </c>
      <c r="AF109" s="233">
        <f t="shared" si="29"/>
        <v>0</v>
      </c>
      <c r="AG109" s="233">
        <f t="shared" si="29"/>
        <v>0</v>
      </c>
    </row>
    <row r="110" spans="1:33" s="203" customFormat="1" ht="16.5" customHeight="1" outlineLevel="1">
      <c r="A110" s="128"/>
      <c r="B110" s="128"/>
      <c r="C110" s="40" t="str">
        <f>C40</f>
        <v>Fill in name or positon here</v>
      </c>
      <c r="D110" s="8" t="str">
        <f>Currency_Label</f>
        <v>USD</v>
      </c>
      <c r="E110" s="760">
        <f>E40</f>
        <v>1</v>
      </c>
      <c r="F110" s="128"/>
      <c r="G110" s="128"/>
      <c r="H110" s="128"/>
      <c r="I110" s="71">
        <f>SUM(J110:AG110)</f>
        <v>0</v>
      </c>
      <c r="J110" s="233">
        <f t="shared" ref="J110:AG110" si="30">IFERROR(J40*(J76/J40)*AGSatz_Pausch,0)*$E110</f>
        <v>0</v>
      </c>
      <c r="K110" s="233">
        <f t="shared" si="30"/>
        <v>0</v>
      </c>
      <c r="L110" s="233">
        <f t="shared" si="30"/>
        <v>0</v>
      </c>
      <c r="M110" s="233">
        <f t="shared" si="30"/>
        <v>0</v>
      </c>
      <c r="N110" s="233">
        <f t="shared" si="30"/>
        <v>0</v>
      </c>
      <c r="O110" s="233">
        <f t="shared" si="30"/>
        <v>0</v>
      </c>
      <c r="P110" s="233">
        <f t="shared" si="30"/>
        <v>0</v>
      </c>
      <c r="Q110" s="233">
        <f t="shared" si="30"/>
        <v>0</v>
      </c>
      <c r="R110" s="233">
        <f t="shared" si="30"/>
        <v>0</v>
      </c>
      <c r="S110" s="233">
        <f t="shared" si="30"/>
        <v>0</v>
      </c>
      <c r="T110" s="233">
        <f t="shared" si="30"/>
        <v>0</v>
      </c>
      <c r="U110" s="233">
        <f t="shared" si="30"/>
        <v>0</v>
      </c>
      <c r="V110" s="233">
        <f t="shared" si="30"/>
        <v>0</v>
      </c>
      <c r="W110" s="233">
        <f t="shared" si="30"/>
        <v>0</v>
      </c>
      <c r="X110" s="233">
        <f t="shared" si="30"/>
        <v>0</v>
      </c>
      <c r="Y110" s="233">
        <f t="shared" si="30"/>
        <v>0</v>
      </c>
      <c r="Z110" s="233">
        <f t="shared" si="30"/>
        <v>0</v>
      </c>
      <c r="AA110" s="233">
        <f t="shared" si="30"/>
        <v>0</v>
      </c>
      <c r="AB110" s="233">
        <f t="shared" si="30"/>
        <v>0</v>
      </c>
      <c r="AC110" s="233">
        <f t="shared" si="30"/>
        <v>0</v>
      </c>
      <c r="AD110" s="233">
        <f t="shared" si="30"/>
        <v>0</v>
      </c>
      <c r="AE110" s="233">
        <f t="shared" si="30"/>
        <v>0</v>
      </c>
      <c r="AF110" s="233">
        <f t="shared" si="30"/>
        <v>0</v>
      </c>
      <c r="AG110" s="233">
        <f t="shared" si="30"/>
        <v>0</v>
      </c>
    </row>
    <row r="111" spans="1:33" ht="16.5" customHeight="1" outlineLevel="1">
      <c r="A111" s="128"/>
      <c r="B111" s="128"/>
      <c r="C111" s="40" t="str">
        <f>C41</f>
        <v>Fill in name or positon here</v>
      </c>
      <c r="D111" s="8" t="str">
        <f>Currency_Label</f>
        <v>USD</v>
      </c>
      <c r="E111" s="760">
        <f>E41</f>
        <v>1</v>
      </c>
      <c r="F111" s="128"/>
      <c r="G111" s="128"/>
      <c r="H111" s="128"/>
      <c r="I111" s="71">
        <f>SUM(J111:AG111)</f>
        <v>0</v>
      </c>
      <c r="J111" s="233">
        <f t="shared" ref="J111:AG111" si="31">IFERROR(J41*(J77/J41)*AGSatz_Pausch,0)*$E111</f>
        <v>0</v>
      </c>
      <c r="K111" s="233">
        <f t="shared" si="31"/>
        <v>0</v>
      </c>
      <c r="L111" s="233">
        <f t="shared" si="31"/>
        <v>0</v>
      </c>
      <c r="M111" s="233">
        <f t="shared" si="31"/>
        <v>0</v>
      </c>
      <c r="N111" s="233">
        <f t="shared" si="31"/>
        <v>0</v>
      </c>
      <c r="O111" s="233">
        <f t="shared" si="31"/>
        <v>0</v>
      </c>
      <c r="P111" s="233">
        <f t="shared" si="31"/>
        <v>0</v>
      </c>
      <c r="Q111" s="233">
        <f t="shared" si="31"/>
        <v>0</v>
      </c>
      <c r="R111" s="233">
        <f t="shared" si="31"/>
        <v>0</v>
      </c>
      <c r="S111" s="233">
        <f t="shared" si="31"/>
        <v>0</v>
      </c>
      <c r="T111" s="233">
        <f t="shared" si="31"/>
        <v>0</v>
      </c>
      <c r="U111" s="233">
        <f t="shared" si="31"/>
        <v>0</v>
      </c>
      <c r="V111" s="233">
        <f t="shared" si="31"/>
        <v>0</v>
      </c>
      <c r="W111" s="233">
        <f t="shared" si="31"/>
        <v>0</v>
      </c>
      <c r="X111" s="233">
        <f t="shared" si="31"/>
        <v>0</v>
      </c>
      <c r="Y111" s="233">
        <f t="shared" si="31"/>
        <v>0</v>
      </c>
      <c r="Z111" s="233">
        <f t="shared" si="31"/>
        <v>0</v>
      </c>
      <c r="AA111" s="233">
        <f t="shared" si="31"/>
        <v>0</v>
      </c>
      <c r="AB111" s="233">
        <f t="shared" si="31"/>
        <v>0</v>
      </c>
      <c r="AC111" s="233">
        <f t="shared" si="31"/>
        <v>0</v>
      </c>
      <c r="AD111" s="233">
        <f t="shared" si="31"/>
        <v>0</v>
      </c>
      <c r="AE111" s="233">
        <f t="shared" si="31"/>
        <v>0</v>
      </c>
      <c r="AF111" s="233">
        <f t="shared" si="31"/>
        <v>0</v>
      </c>
      <c r="AG111" s="233">
        <f t="shared" si="31"/>
        <v>0</v>
      </c>
    </row>
    <row r="112" spans="1:33" ht="16.5" customHeight="1" outlineLevel="1">
      <c r="A112" s="128"/>
      <c r="B112" s="128"/>
      <c r="C112" s="75" t="str">
        <f>C42</f>
        <v xml:space="preserve">     Subtotal</v>
      </c>
      <c r="D112" s="8" t="str">
        <f>Currency_Label</f>
        <v>USD</v>
      </c>
      <c r="E112" s="36"/>
      <c r="F112" s="36"/>
      <c r="G112" s="36"/>
      <c r="H112" s="36"/>
      <c r="I112" s="71">
        <f>SUM(J112:AG112)</f>
        <v>15206.25</v>
      </c>
      <c r="J112" s="238">
        <f>SUM(J108:J111)</f>
        <v>0</v>
      </c>
      <c r="K112" s="238">
        <f t="shared" ref="K112:AG112" si="32">SUM(K108:K111)</f>
        <v>0</v>
      </c>
      <c r="L112" s="238">
        <f t="shared" si="32"/>
        <v>0</v>
      </c>
      <c r="M112" s="238">
        <f t="shared" si="32"/>
        <v>0</v>
      </c>
      <c r="N112" s="238">
        <f t="shared" si="32"/>
        <v>0</v>
      </c>
      <c r="O112" s="238">
        <f t="shared" si="32"/>
        <v>937.5</v>
      </c>
      <c r="P112" s="238">
        <f t="shared" si="32"/>
        <v>937.5</v>
      </c>
      <c r="Q112" s="238">
        <f t="shared" si="32"/>
        <v>937.5</v>
      </c>
      <c r="R112" s="238">
        <f t="shared" si="32"/>
        <v>937.5</v>
      </c>
      <c r="S112" s="238">
        <f t="shared" si="32"/>
        <v>937.5</v>
      </c>
      <c r="T112" s="238">
        <f t="shared" si="32"/>
        <v>956.25</v>
      </c>
      <c r="U112" s="238">
        <f t="shared" si="32"/>
        <v>956.25</v>
      </c>
      <c r="V112" s="238">
        <f t="shared" si="32"/>
        <v>956.25</v>
      </c>
      <c r="W112" s="238">
        <f t="shared" si="32"/>
        <v>956.25</v>
      </c>
      <c r="X112" s="238">
        <f t="shared" si="32"/>
        <v>956.25</v>
      </c>
      <c r="Y112" s="238">
        <f t="shared" si="32"/>
        <v>956.25</v>
      </c>
      <c r="Z112" s="238">
        <f t="shared" si="32"/>
        <v>956.25</v>
      </c>
      <c r="AA112" s="238">
        <f t="shared" si="32"/>
        <v>956.25</v>
      </c>
      <c r="AB112" s="238">
        <f t="shared" si="32"/>
        <v>956.25</v>
      </c>
      <c r="AC112" s="238">
        <f t="shared" si="32"/>
        <v>956.25</v>
      </c>
      <c r="AD112" s="238">
        <f t="shared" si="32"/>
        <v>956.25</v>
      </c>
      <c r="AE112" s="238">
        <f t="shared" si="32"/>
        <v>0</v>
      </c>
      <c r="AF112" s="238">
        <f t="shared" si="32"/>
        <v>0</v>
      </c>
      <c r="AG112" s="238">
        <f t="shared" si="32"/>
        <v>0</v>
      </c>
    </row>
    <row r="113" spans="1:33" ht="16.5" customHeight="1" outlineLevel="1">
      <c r="A113" s="128"/>
      <c r="B113" s="128"/>
      <c r="C113" s="128"/>
      <c r="D113" s="275"/>
      <c r="E113" s="128"/>
      <c r="F113" s="128"/>
      <c r="G113" s="128"/>
      <c r="H113" s="128"/>
      <c r="I113" s="332"/>
      <c r="J113" s="332"/>
      <c r="K113" s="332"/>
      <c r="L113" s="332"/>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row>
    <row r="114" spans="1:33" ht="16.5" customHeight="1" outlineLevel="1" thickBot="1">
      <c r="A114" s="128"/>
      <c r="B114" s="128"/>
      <c r="C114" s="75" t="s">
        <v>287</v>
      </c>
      <c r="D114" s="8" t="str">
        <f>Currency_Label</f>
        <v>USD</v>
      </c>
      <c r="E114" s="36"/>
      <c r="F114" s="36"/>
      <c r="G114" s="36"/>
      <c r="H114" s="36"/>
      <c r="I114" s="71">
        <f>SUM(J114:AG114)</f>
        <v>124948.43749999999</v>
      </c>
      <c r="J114" s="711">
        <f>J91+J98+J105+J112</f>
        <v>2604.166666666667</v>
      </c>
      <c r="K114" s="711">
        <f t="shared" ref="K114:AG114" si="33">K91+K98+K105+K112</f>
        <v>2604.166666666667</v>
      </c>
      <c r="L114" s="711">
        <f t="shared" si="33"/>
        <v>2604.166666666667</v>
      </c>
      <c r="M114" s="711">
        <f t="shared" si="33"/>
        <v>2604.166666666667</v>
      </c>
      <c r="N114" s="711">
        <f t="shared" si="33"/>
        <v>2604.166666666667</v>
      </c>
      <c r="O114" s="711">
        <f t="shared" si="33"/>
        <v>4375</v>
      </c>
      <c r="P114" s="711">
        <f t="shared" si="33"/>
        <v>4375</v>
      </c>
      <c r="Q114" s="711">
        <f t="shared" si="33"/>
        <v>5937.5</v>
      </c>
      <c r="R114" s="711">
        <f t="shared" si="33"/>
        <v>5937.5</v>
      </c>
      <c r="S114" s="711">
        <f t="shared" si="33"/>
        <v>5937.5</v>
      </c>
      <c r="T114" s="711">
        <f t="shared" si="33"/>
        <v>6935.416666666667</v>
      </c>
      <c r="U114" s="711">
        <f t="shared" si="33"/>
        <v>6935.416666666667</v>
      </c>
      <c r="V114" s="711">
        <f t="shared" si="33"/>
        <v>6935.416666666667</v>
      </c>
      <c r="W114" s="711">
        <f t="shared" si="33"/>
        <v>7789.5833333333339</v>
      </c>
      <c r="X114" s="711">
        <f t="shared" si="33"/>
        <v>7789.5833333333339</v>
      </c>
      <c r="Y114" s="711">
        <f t="shared" si="33"/>
        <v>7789.5833333333339</v>
      </c>
      <c r="Z114" s="711">
        <f t="shared" si="33"/>
        <v>7789.5833333333339</v>
      </c>
      <c r="AA114" s="711">
        <f t="shared" si="33"/>
        <v>7789.5833333333339</v>
      </c>
      <c r="AB114" s="711">
        <f t="shared" si="33"/>
        <v>8536.9791666666661</v>
      </c>
      <c r="AC114" s="711">
        <f t="shared" si="33"/>
        <v>8536.9791666666661</v>
      </c>
      <c r="AD114" s="711">
        <f t="shared" si="33"/>
        <v>8536.9791666666661</v>
      </c>
      <c r="AE114" s="711">
        <f t="shared" si="33"/>
        <v>0</v>
      </c>
      <c r="AF114" s="711">
        <f t="shared" si="33"/>
        <v>0</v>
      </c>
      <c r="AG114" s="711">
        <f t="shared" si="33"/>
        <v>0</v>
      </c>
    </row>
    <row r="115" spans="1:33" ht="16.5" customHeight="1" thickTop="1">
      <c r="A115" s="128"/>
      <c r="B115" s="128"/>
      <c r="C115" s="128"/>
      <c r="D115" s="275"/>
      <c r="E115" s="128"/>
      <c r="F115" s="128"/>
      <c r="G115" s="128"/>
      <c r="H115" s="128"/>
      <c r="I115" s="332"/>
      <c r="J115" s="128"/>
      <c r="K115" s="128"/>
      <c r="L115" s="128"/>
      <c r="M115" s="241"/>
      <c r="N115" s="241"/>
      <c r="O115" s="241"/>
      <c r="P115" s="241"/>
      <c r="Q115" s="241"/>
      <c r="R115" s="241"/>
      <c r="S115" s="241"/>
      <c r="T115" s="241"/>
      <c r="U115" s="241"/>
      <c r="V115" s="241"/>
      <c r="W115" s="241"/>
      <c r="X115" s="241"/>
      <c r="Y115" s="241"/>
      <c r="Z115" s="241"/>
      <c r="AA115" s="241"/>
      <c r="AB115" s="241"/>
      <c r="AC115" s="241"/>
      <c r="AD115" s="241"/>
      <c r="AE115" s="241"/>
      <c r="AF115" s="241"/>
      <c r="AG115" s="241"/>
    </row>
    <row r="116" spans="1:33" ht="21.75" customHeight="1" thickBot="1">
      <c r="A116" s="323"/>
      <c r="B116" s="323"/>
      <c r="C116" s="323" t="s">
        <v>267</v>
      </c>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row>
    <row r="117" spans="1:33" ht="17.25" customHeight="1" outlineLevel="1">
      <c r="A117" s="128"/>
      <c r="B117" s="430" t="str">
        <f>IF(B12="","",B12)</f>
        <v>1.</v>
      </c>
      <c r="C117" s="331" t="str">
        <f>C12</f>
        <v>Direct Labor Staff</v>
      </c>
      <c r="D117" s="275" t="str">
        <f>$D$50</f>
        <v>see sheet Costs 02</v>
      </c>
      <c r="E117" s="128"/>
      <c r="F117" s="128"/>
      <c r="G117" s="128"/>
      <c r="H117" s="128"/>
      <c r="I117" s="128"/>
      <c r="J117" s="128"/>
      <c r="K117" s="128"/>
      <c r="L117" s="128"/>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row>
    <row r="118" spans="1:33" s="649" customFormat="1" ht="17.25" customHeight="1" outlineLevel="1">
      <c r="A118" s="128"/>
      <c r="B118" s="430" t="str">
        <f>IF(B15="","",B15)</f>
        <v/>
      </c>
      <c r="C118" s="331" t="str">
        <f>C15</f>
        <v/>
      </c>
      <c r="D118" s="275"/>
      <c r="E118" s="128"/>
      <c r="F118" s="128"/>
      <c r="G118" s="128"/>
      <c r="H118" s="128"/>
      <c r="I118" s="332"/>
      <c r="J118" s="332"/>
      <c r="K118" s="332"/>
      <c r="L118" s="332"/>
      <c r="M118" s="332"/>
      <c r="N118" s="332"/>
      <c r="O118" s="332"/>
      <c r="P118" s="332"/>
      <c r="Q118" s="332"/>
      <c r="R118" s="332"/>
      <c r="S118" s="332"/>
      <c r="T118" s="332"/>
      <c r="U118" s="332"/>
      <c r="V118" s="332"/>
      <c r="W118" s="332"/>
      <c r="X118" s="332"/>
      <c r="Y118" s="332"/>
      <c r="Z118" s="332"/>
      <c r="AA118" s="332"/>
      <c r="AB118" s="332"/>
      <c r="AC118" s="332"/>
      <c r="AD118" s="332"/>
      <c r="AE118" s="332"/>
      <c r="AF118" s="332"/>
      <c r="AG118" s="332"/>
    </row>
    <row r="119" spans="1:33" s="649" customFormat="1" ht="17.25" customHeight="1" outlineLevel="1">
      <c r="A119" s="128"/>
      <c r="B119" s="430" t="str">
        <f>IF(B16="","",B16)</f>
        <v>2.</v>
      </c>
      <c r="C119" s="331" t="str">
        <f>C16</f>
        <v>Management &amp; Administration Staff</v>
      </c>
      <c r="D119" s="275"/>
      <c r="E119" s="128"/>
      <c r="F119" s="128"/>
      <c r="G119" s="128"/>
      <c r="H119" s="128"/>
      <c r="I119" s="332"/>
      <c r="J119" s="332"/>
      <c r="K119" s="332"/>
      <c r="L119" s="332"/>
      <c r="M119" s="332"/>
      <c r="N119" s="332"/>
      <c r="O119" s="332"/>
      <c r="P119" s="332"/>
      <c r="Q119" s="332"/>
      <c r="R119" s="332"/>
      <c r="S119" s="332"/>
      <c r="T119" s="332"/>
      <c r="U119" s="332"/>
      <c r="V119" s="332"/>
      <c r="W119" s="332"/>
      <c r="X119" s="332"/>
      <c r="Y119" s="332"/>
      <c r="Z119" s="332"/>
      <c r="AA119" s="332"/>
      <c r="AB119" s="332"/>
      <c r="AC119" s="332"/>
      <c r="AD119" s="332"/>
      <c r="AE119" s="332"/>
      <c r="AF119" s="332"/>
      <c r="AG119" s="332"/>
    </row>
    <row r="120" spans="1:33" s="649" customFormat="1" ht="17.25" customHeight="1" outlineLevel="1">
      <c r="A120" s="128"/>
      <c r="B120" s="430" t="str">
        <f>IF(B17="","",B17)</f>
        <v/>
      </c>
      <c r="C120" s="40" t="str">
        <f>Inputs!$C$82</f>
        <v>Recruiting Costs (one-time upon hiring)</v>
      </c>
      <c r="D120" s="8" t="str">
        <f>Currency_Label</f>
        <v>USD</v>
      </c>
      <c r="E120" s="147">
        <f>Inputs!F82</f>
        <v>5000</v>
      </c>
      <c r="F120" s="275" t="s">
        <v>284</v>
      </c>
      <c r="G120" s="128"/>
      <c r="H120" s="128"/>
      <c r="I120" s="71">
        <f t="shared" ref="I120:I126" si="34">SUM(J120:AG120)</f>
        <v>10000</v>
      </c>
      <c r="J120" s="233">
        <f t="shared" ref="J120:AG120" si="35">MAX(0,J21-I21)*$E120*J$6</f>
        <v>5000</v>
      </c>
      <c r="K120" s="233">
        <f t="shared" si="35"/>
        <v>0</v>
      </c>
      <c r="L120" s="233">
        <f t="shared" si="35"/>
        <v>0</v>
      </c>
      <c r="M120" s="233">
        <f t="shared" si="35"/>
        <v>0</v>
      </c>
      <c r="N120" s="233">
        <f t="shared" si="35"/>
        <v>0</v>
      </c>
      <c r="O120" s="233">
        <f t="shared" si="35"/>
        <v>0</v>
      </c>
      <c r="P120" s="233">
        <f t="shared" si="35"/>
        <v>0</v>
      </c>
      <c r="Q120" s="233">
        <f t="shared" si="35"/>
        <v>0</v>
      </c>
      <c r="R120" s="233">
        <f t="shared" si="35"/>
        <v>0</v>
      </c>
      <c r="S120" s="233">
        <f t="shared" si="35"/>
        <v>0</v>
      </c>
      <c r="T120" s="233">
        <f t="shared" si="35"/>
        <v>5000</v>
      </c>
      <c r="U120" s="233">
        <f t="shared" si="35"/>
        <v>0</v>
      </c>
      <c r="V120" s="233">
        <f t="shared" si="35"/>
        <v>0</v>
      </c>
      <c r="W120" s="233">
        <f t="shared" si="35"/>
        <v>0</v>
      </c>
      <c r="X120" s="233">
        <f t="shared" si="35"/>
        <v>0</v>
      </c>
      <c r="Y120" s="233">
        <f t="shared" si="35"/>
        <v>0</v>
      </c>
      <c r="Z120" s="233">
        <f t="shared" si="35"/>
        <v>0</v>
      </c>
      <c r="AA120" s="233">
        <f t="shared" si="35"/>
        <v>0</v>
      </c>
      <c r="AB120" s="233">
        <f t="shared" si="35"/>
        <v>0</v>
      </c>
      <c r="AC120" s="233">
        <f t="shared" si="35"/>
        <v>0</v>
      </c>
      <c r="AD120" s="233">
        <f t="shared" si="35"/>
        <v>0</v>
      </c>
      <c r="AE120" s="233">
        <f t="shared" si="35"/>
        <v>0</v>
      </c>
      <c r="AF120" s="233">
        <f t="shared" si="35"/>
        <v>0</v>
      </c>
      <c r="AG120" s="233">
        <f t="shared" si="35"/>
        <v>0</v>
      </c>
    </row>
    <row r="121" spans="1:33" s="649" customFormat="1" ht="17.25" customHeight="1" outlineLevel="1">
      <c r="A121" s="128"/>
      <c r="B121" s="430" t="str">
        <f>IF(B18="","",B18)</f>
        <v/>
      </c>
      <c r="C121" s="40" t="str">
        <f>Inputs!$C$83</f>
        <v>Travel &amp; Entertainment Costs</v>
      </c>
      <c r="D121" s="8" t="str">
        <f>Currency_Label</f>
        <v>USD</v>
      </c>
      <c r="E121" s="147">
        <f>Inputs!F83</f>
        <v>500</v>
      </c>
      <c r="F121" s="275" t="s">
        <v>285</v>
      </c>
      <c r="G121" s="128"/>
      <c r="H121" s="128"/>
      <c r="I121" s="71">
        <f t="shared" si="34"/>
        <v>16000</v>
      </c>
      <c r="J121" s="233">
        <f t="shared" ref="J121:S122" si="36">J$21*$E121*J$6</f>
        <v>500</v>
      </c>
      <c r="K121" s="233">
        <f t="shared" si="36"/>
        <v>500</v>
      </c>
      <c r="L121" s="233">
        <f t="shared" si="36"/>
        <v>500</v>
      </c>
      <c r="M121" s="233">
        <f t="shared" si="36"/>
        <v>500</v>
      </c>
      <c r="N121" s="233">
        <f t="shared" si="36"/>
        <v>500</v>
      </c>
      <c r="O121" s="233">
        <f t="shared" si="36"/>
        <v>500</v>
      </c>
      <c r="P121" s="233">
        <f t="shared" si="36"/>
        <v>500</v>
      </c>
      <c r="Q121" s="233">
        <f t="shared" si="36"/>
        <v>500</v>
      </c>
      <c r="R121" s="233">
        <f t="shared" si="36"/>
        <v>500</v>
      </c>
      <c r="S121" s="233">
        <f t="shared" si="36"/>
        <v>500</v>
      </c>
      <c r="T121" s="233">
        <f t="shared" ref="T121:AC122" si="37">T$21*$E121*T$6</f>
        <v>1000</v>
      </c>
      <c r="U121" s="233">
        <f t="shared" si="37"/>
        <v>1000</v>
      </c>
      <c r="V121" s="233">
        <f t="shared" si="37"/>
        <v>1000</v>
      </c>
      <c r="W121" s="233">
        <f t="shared" si="37"/>
        <v>1000</v>
      </c>
      <c r="X121" s="233">
        <f t="shared" si="37"/>
        <v>1000</v>
      </c>
      <c r="Y121" s="233">
        <f t="shared" si="37"/>
        <v>1000</v>
      </c>
      <c r="Z121" s="233">
        <f t="shared" si="37"/>
        <v>1000</v>
      </c>
      <c r="AA121" s="233">
        <f t="shared" si="37"/>
        <v>1000</v>
      </c>
      <c r="AB121" s="233">
        <f t="shared" si="37"/>
        <v>1000</v>
      </c>
      <c r="AC121" s="233">
        <f t="shared" si="37"/>
        <v>1000</v>
      </c>
      <c r="AD121" s="233">
        <f t="shared" ref="AD121:AG122" si="38">AD$21*$E121*AD$6</f>
        <v>1000</v>
      </c>
      <c r="AE121" s="233">
        <f t="shared" si="38"/>
        <v>0</v>
      </c>
      <c r="AF121" s="233">
        <f t="shared" si="38"/>
        <v>0</v>
      </c>
      <c r="AG121" s="233">
        <f t="shared" si="38"/>
        <v>0</v>
      </c>
    </row>
    <row r="122" spans="1:33" s="649" customFormat="1" ht="17.25" customHeight="1" outlineLevel="1">
      <c r="A122" s="128"/>
      <c r="B122" s="430" t="str">
        <f>IF(B19="","",B19)</f>
        <v/>
      </c>
      <c r="C122" s="40" t="str">
        <f>Inputs!$C$84</f>
        <v>Communications Services</v>
      </c>
      <c r="D122" s="8" t="str">
        <f>Currency_Label</f>
        <v>USD</v>
      </c>
      <c r="E122" s="147">
        <f>Inputs!F84</f>
        <v>100</v>
      </c>
      <c r="F122" s="275" t="s">
        <v>285</v>
      </c>
      <c r="G122" s="128"/>
      <c r="H122" s="128"/>
      <c r="I122" s="71">
        <f t="shared" si="34"/>
        <v>3200</v>
      </c>
      <c r="J122" s="233">
        <f t="shared" si="36"/>
        <v>100</v>
      </c>
      <c r="K122" s="233">
        <f t="shared" si="36"/>
        <v>100</v>
      </c>
      <c r="L122" s="233">
        <f t="shared" si="36"/>
        <v>100</v>
      </c>
      <c r="M122" s="233">
        <f t="shared" si="36"/>
        <v>100</v>
      </c>
      <c r="N122" s="233">
        <f t="shared" si="36"/>
        <v>100</v>
      </c>
      <c r="O122" s="233">
        <f t="shared" si="36"/>
        <v>100</v>
      </c>
      <c r="P122" s="233">
        <f t="shared" si="36"/>
        <v>100</v>
      </c>
      <c r="Q122" s="233">
        <f t="shared" si="36"/>
        <v>100</v>
      </c>
      <c r="R122" s="233">
        <f t="shared" si="36"/>
        <v>100</v>
      </c>
      <c r="S122" s="233">
        <f t="shared" si="36"/>
        <v>100</v>
      </c>
      <c r="T122" s="233">
        <f t="shared" si="37"/>
        <v>200</v>
      </c>
      <c r="U122" s="233">
        <f t="shared" si="37"/>
        <v>200</v>
      </c>
      <c r="V122" s="233">
        <f t="shared" si="37"/>
        <v>200</v>
      </c>
      <c r="W122" s="233">
        <f t="shared" si="37"/>
        <v>200</v>
      </c>
      <c r="X122" s="233">
        <f t="shared" si="37"/>
        <v>200</v>
      </c>
      <c r="Y122" s="233">
        <f t="shared" si="37"/>
        <v>200</v>
      </c>
      <c r="Z122" s="233">
        <f t="shared" si="37"/>
        <v>200</v>
      </c>
      <c r="AA122" s="233">
        <f t="shared" si="37"/>
        <v>200</v>
      </c>
      <c r="AB122" s="233">
        <f t="shared" si="37"/>
        <v>200</v>
      </c>
      <c r="AC122" s="233">
        <f t="shared" si="37"/>
        <v>200</v>
      </c>
      <c r="AD122" s="233">
        <f t="shared" si="38"/>
        <v>200</v>
      </c>
      <c r="AE122" s="233">
        <f t="shared" si="38"/>
        <v>0</v>
      </c>
      <c r="AF122" s="233">
        <f t="shared" si="38"/>
        <v>0</v>
      </c>
      <c r="AG122" s="233">
        <f t="shared" si="38"/>
        <v>0</v>
      </c>
    </row>
    <row r="123" spans="1:33" s="649" customFormat="1" ht="17.25" customHeight="1" outlineLevel="1">
      <c r="A123" s="128"/>
      <c r="B123" s="430"/>
      <c r="C123" s="40" t="str">
        <f>Inputs!$C$85</f>
        <v>Training Costs</v>
      </c>
      <c r="D123" s="8" t="str">
        <f t="shared" ref="D123:D124" si="39">Currency_Label</f>
        <v>USD</v>
      </c>
      <c r="E123" s="85">
        <f>Inputs!F85</f>
        <v>0.05</v>
      </c>
      <c r="F123" s="275" t="s">
        <v>268</v>
      </c>
      <c r="G123" s="128"/>
      <c r="H123" s="128"/>
      <c r="I123" s="71">
        <f t="shared" si="34"/>
        <v>6311.4583333333339</v>
      </c>
      <c r="J123" s="233">
        <f t="shared" ref="J123:S125" si="40">J$57*$E123*J$6</f>
        <v>208.33333333333337</v>
      </c>
      <c r="K123" s="233">
        <f t="shared" si="40"/>
        <v>208.33333333333337</v>
      </c>
      <c r="L123" s="233">
        <f t="shared" si="40"/>
        <v>208.33333333333337</v>
      </c>
      <c r="M123" s="233">
        <f t="shared" si="40"/>
        <v>208.33333333333337</v>
      </c>
      <c r="N123" s="233">
        <f t="shared" si="40"/>
        <v>208.33333333333337</v>
      </c>
      <c r="O123" s="233">
        <f t="shared" si="40"/>
        <v>208.33333333333337</v>
      </c>
      <c r="P123" s="233">
        <f t="shared" si="40"/>
        <v>208.33333333333337</v>
      </c>
      <c r="Q123" s="233">
        <f t="shared" si="40"/>
        <v>208.33333333333337</v>
      </c>
      <c r="R123" s="233">
        <f t="shared" si="40"/>
        <v>208.33333333333337</v>
      </c>
      <c r="S123" s="233">
        <f t="shared" si="40"/>
        <v>208.33333333333337</v>
      </c>
      <c r="T123" s="233">
        <f t="shared" ref="T123:AC125" si="41">T$57*$E123*T$6</f>
        <v>384.375</v>
      </c>
      <c r="U123" s="233">
        <f t="shared" si="41"/>
        <v>384.375</v>
      </c>
      <c r="V123" s="233">
        <f t="shared" si="41"/>
        <v>384.375</v>
      </c>
      <c r="W123" s="233">
        <f t="shared" si="41"/>
        <v>384.375</v>
      </c>
      <c r="X123" s="233">
        <f t="shared" si="41"/>
        <v>384.375</v>
      </c>
      <c r="Y123" s="233">
        <f t="shared" si="41"/>
        <v>384.375</v>
      </c>
      <c r="Z123" s="233">
        <f t="shared" si="41"/>
        <v>384.375</v>
      </c>
      <c r="AA123" s="233">
        <f t="shared" si="41"/>
        <v>384.375</v>
      </c>
      <c r="AB123" s="233">
        <f t="shared" si="41"/>
        <v>384.375</v>
      </c>
      <c r="AC123" s="233">
        <f t="shared" si="41"/>
        <v>384.375</v>
      </c>
      <c r="AD123" s="233">
        <f t="shared" ref="AD123:AG125" si="42">AD$57*$E123*AD$6</f>
        <v>384.375</v>
      </c>
      <c r="AE123" s="233">
        <f t="shared" si="42"/>
        <v>0</v>
      </c>
      <c r="AF123" s="233">
        <f t="shared" si="42"/>
        <v>0</v>
      </c>
      <c r="AG123" s="233">
        <f t="shared" si="42"/>
        <v>0</v>
      </c>
    </row>
    <row r="124" spans="1:33" s="649" customFormat="1" ht="17.25" customHeight="1" outlineLevel="1">
      <c r="A124" s="128"/>
      <c r="B124" s="430"/>
      <c r="C124" s="40" t="str">
        <f>Inputs!$C$86</f>
        <v>Bonus at Plan Performance</v>
      </c>
      <c r="D124" s="8" t="str">
        <f t="shared" si="39"/>
        <v>USD</v>
      </c>
      <c r="E124" s="85">
        <f>Inputs!F86</f>
        <v>0.04</v>
      </c>
      <c r="F124" s="275" t="s">
        <v>268</v>
      </c>
      <c r="G124" s="128"/>
      <c r="H124" s="128"/>
      <c r="I124" s="71">
        <f t="shared" si="34"/>
        <v>5049.166666666667</v>
      </c>
      <c r="J124" s="233">
        <f t="shared" si="40"/>
        <v>166.66666666666669</v>
      </c>
      <c r="K124" s="233">
        <f t="shared" si="40"/>
        <v>166.66666666666669</v>
      </c>
      <c r="L124" s="233">
        <f t="shared" si="40"/>
        <v>166.66666666666669</v>
      </c>
      <c r="M124" s="233">
        <f t="shared" si="40"/>
        <v>166.66666666666669</v>
      </c>
      <c r="N124" s="233">
        <f t="shared" si="40"/>
        <v>166.66666666666669</v>
      </c>
      <c r="O124" s="233">
        <f t="shared" si="40"/>
        <v>166.66666666666669</v>
      </c>
      <c r="P124" s="233">
        <f t="shared" si="40"/>
        <v>166.66666666666669</v>
      </c>
      <c r="Q124" s="233">
        <f t="shared" si="40"/>
        <v>166.66666666666669</v>
      </c>
      <c r="R124" s="233">
        <f t="shared" si="40"/>
        <v>166.66666666666669</v>
      </c>
      <c r="S124" s="233">
        <f t="shared" si="40"/>
        <v>166.66666666666669</v>
      </c>
      <c r="T124" s="233">
        <f t="shared" si="41"/>
        <v>307.5</v>
      </c>
      <c r="U124" s="233">
        <f t="shared" si="41"/>
        <v>307.5</v>
      </c>
      <c r="V124" s="233">
        <f t="shared" si="41"/>
        <v>307.5</v>
      </c>
      <c r="W124" s="233">
        <f t="shared" si="41"/>
        <v>307.5</v>
      </c>
      <c r="X124" s="233">
        <f t="shared" si="41"/>
        <v>307.5</v>
      </c>
      <c r="Y124" s="233">
        <f t="shared" si="41"/>
        <v>307.5</v>
      </c>
      <c r="Z124" s="233">
        <f t="shared" si="41"/>
        <v>307.5</v>
      </c>
      <c r="AA124" s="233">
        <f t="shared" si="41"/>
        <v>307.5</v>
      </c>
      <c r="AB124" s="233">
        <f t="shared" si="41"/>
        <v>307.5</v>
      </c>
      <c r="AC124" s="233">
        <f t="shared" si="41"/>
        <v>307.5</v>
      </c>
      <c r="AD124" s="233">
        <f t="shared" si="42"/>
        <v>307.5</v>
      </c>
      <c r="AE124" s="233">
        <f t="shared" si="42"/>
        <v>0</v>
      </c>
      <c r="AF124" s="233">
        <f t="shared" si="42"/>
        <v>0</v>
      </c>
      <c r="AG124" s="233">
        <f t="shared" si="42"/>
        <v>0</v>
      </c>
    </row>
    <row r="125" spans="1:33" s="649" customFormat="1" ht="17.25" customHeight="1" outlineLevel="1">
      <c r="A125" s="128"/>
      <c r="B125" s="430" t="str">
        <f t="shared" ref="B125:B131" si="43">IF(B20="","",B20)</f>
        <v/>
      </c>
      <c r="C125" s="40" t="str">
        <f>Inputs!$C$87</f>
        <v>Spare</v>
      </c>
      <c r="D125" s="8" t="str">
        <f>Currency_Label</f>
        <v>USD</v>
      </c>
      <c r="E125" s="85">
        <f>Inputs!F87</f>
        <v>0</v>
      </c>
      <c r="F125" s="275" t="s">
        <v>268</v>
      </c>
      <c r="G125" s="128"/>
      <c r="H125" s="128"/>
      <c r="I125" s="71">
        <f t="shared" si="34"/>
        <v>0</v>
      </c>
      <c r="J125" s="233">
        <f t="shared" si="40"/>
        <v>0</v>
      </c>
      <c r="K125" s="233">
        <f t="shared" si="40"/>
        <v>0</v>
      </c>
      <c r="L125" s="233">
        <f t="shared" si="40"/>
        <v>0</v>
      </c>
      <c r="M125" s="233">
        <f t="shared" si="40"/>
        <v>0</v>
      </c>
      <c r="N125" s="233">
        <f t="shared" si="40"/>
        <v>0</v>
      </c>
      <c r="O125" s="233">
        <f t="shared" si="40"/>
        <v>0</v>
      </c>
      <c r="P125" s="233">
        <f t="shared" si="40"/>
        <v>0</v>
      </c>
      <c r="Q125" s="233">
        <f t="shared" si="40"/>
        <v>0</v>
      </c>
      <c r="R125" s="233">
        <f t="shared" si="40"/>
        <v>0</v>
      </c>
      <c r="S125" s="233">
        <f t="shared" si="40"/>
        <v>0</v>
      </c>
      <c r="T125" s="233">
        <f t="shared" si="41"/>
        <v>0</v>
      </c>
      <c r="U125" s="233">
        <f t="shared" si="41"/>
        <v>0</v>
      </c>
      <c r="V125" s="233">
        <f t="shared" si="41"/>
        <v>0</v>
      </c>
      <c r="W125" s="233">
        <f t="shared" si="41"/>
        <v>0</v>
      </c>
      <c r="X125" s="233">
        <f t="shared" si="41"/>
        <v>0</v>
      </c>
      <c r="Y125" s="233">
        <f t="shared" si="41"/>
        <v>0</v>
      </c>
      <c r="Z125" s="233">
        <f t="shared" si="41"/>
        <v>0</v>
      </c>
      <c r="AA125" s="233">
        <f t="shared" si="41"/>
        <v>0</v>
      </c>
      <c r="AB125" s="233">
        <f t="shared" si="41"/>
        <v>0</v>
      </c>
      <c r="AC125" s="233">
        <f t="shared" si="41"/>
        <v>0</v>
      </c>
      <c r="AD125" s="233">
        <f t="shared" si="42"/>
        <v>0</v>
      </c>
      <c r="AE125" s="233">
        <f t="shared" si="42"/>
        <v>0</v>
      </c>
      <c r="AF125" s="233">
        <f t="shared" si="42"/>
        <v>0</v>
      </c>
      <c r="AG125" s="233">
        <f t="shared" si="42"/>
        <v>0</v>
      </c>
    </row>
    <row r="126" spans="1:33" s="649" customFormat="1" ht="17.25" customHeight="1" outlineLevel="1">
      <c r="A126" s="128"/>
      <c r="B126" s="430" t="str">
        <f t="shared" si="43"/>
        <v/>
      </c>
      <c r="C126" s="75" t="str">
        <f>C21</f>
        <v xml:space="preserve">     Subtotal</v>
      </c>
      <c r="D126" s="8" t="str">
        <f>Currency_Label</f>
        <v>USD</v>
      </c>
      <c r="E126" s="36"/>
      <c r="F126" s="36"/>
      <c r="G126" s="36"/>
      <c r="H126" s="36"/>
      <c r="I126" s="71">
        <f t="shared" si="34"/>
        <v>40560.625</v>
      </c>
      <c r="J126" s="129">
        <f>SUM(J120:J125)</f>
        <v>5975</v>
      </c>
      <c r="K126" s="129">
        <f t="shared" ref="K126:AG126" si="44">SUM(K120:K125)</f>
        <v>975</v>
      </c>
      <c r="L126" s="129">
        <f t="shared" si="44"/>
        <v>975</v>
      </c>
      <c r="M126" s="129">
        <f t="shared" si="44"/>
        <v>975</v>
      </c>
      <c r="N126" s="129">
        <f t="shared" si="44"/>
        <v>975</v>
      </c>
      <c r="O126" s="129">
        <f t="shared" si="44"/>
        <v>975</v>
      </c>
      <c r="P126" s="129">
        <f t="shared" si="44"/>
        <v>975</v>
      </c>
      <c r="Q126" s="129">
        <f t="shared" si="44"/>
        <v>975</v>
      </c>
      <c r="R126" s="129">
        <f t="shared" si="44"/>
        <v>975</v>
      </c>
      <c r="S126" s="129">
        <f t="shared" si="44"/>
        <v>975</v>
      </c>
      <c r="T126" s="129">
        <f t="shared" si="44"/>
        <v>6891.875</v>
      </c>
      <c r="U126" s="129">
        <f t="shared" si="44"/>
        <v>1891.875</v>
      </c>
      <c r="V126" s="129">
        <f t="shared" si="44"/>
        <v>1891.875</v>
      </c>
      <c r="W126" s="129">
        <f t="shared" si="44"/>
        <v>1891.875</v>
      </c>
      <c r="X126" s="129">
        <f t="shared" si="44"/>
        <v>1891.875</v>
      </c>
      <c r="Y126" s="129">
        <f t="shared" si="44"/>
        <v>1891.875</v>
      </c>
      <c r="Z126" s="129">
        <f t="shared" si="44"/>
        <v>1891.875</v>
      </c>
      <c r="AA126" s="129">
        <f t="shared" si="44"/>
        <v>1891.875</v>
      </c>
      <c r="AB126" s="129">
        <f t="shared" si="44"/>
        <v>1891.875</v>
      </c>
      <c r="AC126" s="129">
        <f t="shared" si="44"/>
        <v>1891.875</v>
      </c>
      <c r="AD126" s="129">
        <f t="shared" si="44"/>
        <v>1891.875</v>
      </c>
      <c r="AE126" s="129">
        <f t="shared" si="44"/>
        <v>0</v>
      </c>
      <c r="AF126" s="129">
        <f t="shared" si="44"/>
        <v>0</v>
      </c>
      <c r="AG126" s="129">
        <f t="shared" si="44"/>
        <v>0</v>
      </c>
    </row>
    <row r="127" spans="1:33" s="649" customFormat="1" ht="17.25" customHeight="1" outlineLevel="1">
      <c r="A127" s="128"/>
      <c r="B127" s="430" t="str">
        <f t="shared" si="43"/>
        <v/>
      </c>
      <c r="C127" s="128"/>
      <c r="D127" s="275"/>
      <c r="E127" s="128"/>
      <c r="F127" s="128"/>
      <c r="G127" s="128"/>
      <c r="H127" s="128"/>
      <c r="I127" s="332"/>
      <c r="J127" s="332"/>
      <c r="K127" s="332"/>
      <c r="L127" s="332"/>
      <c r="M127" s="332"/>
      <c r="N127" s="332"/>
      <c r="O127" s="332"/>
      <c r="P127" s="332"/>
      <c r="Q127" s="332"/>
      <c r="R127" s="332"/>
      <c r="S127" s="332"/>
      <c r="T127" s="332"/>
      <c r="U127" s="332"/>
      <c r="V127" s="332"/>
      <c r="W127" s="332"/>
      <c r="X127" s="332"/>
      <c r="Y127" s="332"/>
      <c r="Z127" s="332"/>
      <c r="AA127" s="332"/>
      <c r="AB127" s="332"/>
      <c r="AC127" s="332"/>
      <c r="AD127" s="332"/>
      <c r="AE127" s="332"/>
      <c r="AF127" s="332"/>
      <c r="AG127" s="332"/>
    </row>
    <row r="128" spans="1:33" s="649" customFormat="1" ht="17.25" customHeight="1" outlineLevel="1">
      <c r="A128" s="128"/>
      <c r="B128" s="430" t="str">
        <f t="shared" si="43"/>
        <v>3.</v>
      </c>
      <c r="C128" s="331" t="str">
        <f>C23</f>
        <v>Operational Staff</v>
      </c>
      <c r="D128" s="275"/>
      <c r="E128" s="128"/>
      <c r="F128" s="128"/>
      <c r="G128" s="128"/>
      <c r="H128" s="128"/>
      <c r="I128" s="332"/>
      <c r="J128" s="332"/>
      <c r="K128" s="332"/>
      <c r="L128" s="332"/>
      <c r="M128" s="332"/>
      <c r="N128" s="332"/>
      <c r="O128" s="332"/>
      <c r="P128" s="332"/>
      <c r="Q128" s="332"/>
      <c r="R128" s="332"/>
      <c r="S128" s="332"/>
      <c r="T128" s="332"/>
      <c r="U128" s="332"/>
      <c r="V128" s="332"/>
      <c r="W128" s="332"/>
      <c r="X128" s="332"/>
      <c r="Y128" s="332"/>
      <c r="Z128" s="332"/>
      <c r="AA128" s="332"/>
      <c r="AB128" s="332"/>
      <c r="AC128" s="332"/>
      <c r="AD128" s="332"/>
      <c r="AE128" s="332"/>
      <c r="AF128" s="332"/>
      <c r="AG128" s="332"/>
    </row>
    <row r="129" spans="1:33" s="649" customFormat="1" ht="17.25" customHeight="1" outlineLevel="1">
      <c r="A129" s="128"/>
      <c r="B129" s="430" t="str">
        <f t="shared" si="43"/>
        <v/>
      </c>
      <c r="C129" s="40" t="str">
        <f>Inputs!$C$82</f>
        <v>Recruiting Costs (one-time upon hiring)</v>
      </c>
      <c r="D129" s="8" t="str">
        <f>Currency_Label</f>
        <v>USD</v>
      </c>
      <c r="E129" s="147">
        <f>Inputs!G82</f>
        <v>0</v>
      </c>
      <c r="F129" s="275" t="s">
        <v>284</v>
      </c>
      <c r="G129" s="128"/>
      <c r="H129" s="128"/>
      <c r="I129" s="71">
        <f t="shared" ref="I129:I135" si="45">SUM(J129:AG129)</f>
        <v>0</v>
      </c>
      <c r="J129" s="233">
        <f t="shared" ref="J129:AG129" si="46">MAX(0,J28-I28)*$E129*J$6</f>
        <v>0</v>
      </c>
      <c r="K129" s="233">
        <f t="shared" si="46"/>
        <v>0</v>
      </c>
      <c r="L129" s="233">
        <f t="shared" si="46"/>
        <v>0</v>
      </c>
      <c r="M129" s="233">
        <f t="shared" si="46"/>
        <v>0</v>
      </c>
      <c r="N129" s="233">
        <f t="shared" si="46"/>
        <v>0</v>
      </c>
      <c r="O129" s="233">
        <f t="shared" si="46"/>
        <v>0</v>
      </c>
      <c r="P129" s="233">
        <f t="shared" si="46"/>
        <v>0</v>
      </c>
      <c r="Q129" s="233">
        <f t="shared" si="46"/>
        <v>0</v>
      </c>
      <c r="R129" s="233">
        <f t="shared" si="46"/>
        <v>0</v>
      </c>
      <c r="S129" s="233">
        <f t="shared" si="46"/>
        <v>0</v>
      </c>
      <c r="T129" s="233">
        <f t="shared" si="46"/>
        <v>0</v>
      </c>
      <c r="U129" s="233">
        <f t="shared" si="46"/>
        <v>0</v>
      </c>
      <c r="V129" s="233">
        <f t="shared" si="46"/>
        <v>0</v>
      </c>
      <c r="W129" s="233">
        <f t="shared" si="46"/>
        <v>0</v>
      </c>
      <c r="X129" s="233">
        <f t="shared" si="46"/>
        <v>0</v>
      </c>
      <c r="Y129" s="233">
        <f t="shared" si="46"/>
        <v>0</v>
      </c>
      <c r="Z129" s="233">
        <f t="shared" si="46"/>
        <v>0</v>
      </c>
      <c r="AA129" s="233">
        <f t="shared" si="46"/>
        <v>0</v>
      </c>
      <c r="AB129" s="233">
        <f t="shared" si="46"/>
        <v>0</v>
      </c>
      <c r="AC129" s="233">
        <f t="shared" si="46"/>
        <v>0</v>
      </c>
      <c r="AD129" s="233">
        <f t="shared" si="46"/>
        <v>0</v>
      </c>
      <c r="AE129" s="233">
        <f t="shared" si="46"/>
        <v>0</v>
      </c>
      <c r="AF129" s="233">
        <f t="shared" si="46"/>
        <v>0</v>
      </c>
      <c r="AG129" s="233">
        <f t="shared" si="46"/>
        <v>0</v>
      </c>
    </row>
    <row r="130" spans="1:33" s="649" customFormat="1" ht="17.25" customHeight="1" outlineLevel="1">
      <c r="A130" s="128"/>
      <c r="B130" s="430" t="str">
        <f t="shared" si="43"/>
        <v/>
      </c>
      <c r="C130" s="40" t="str">
        <f>Inputs!$C$83</f>
        <v>Travel &amp; Entertainment Costs</v>
      </c>
      <c r="D130" s="8" t="str">
        <f>Currency_Label</f>
        <v>USD</v>
      </c>
      <c r="E130" s="147">
        <f>Inputs!G83</f>
        <v>150</v>
      </c>
      <c r="F130" s="275" t="s">
        <v>285</v>
      </c>
      <c r="G130" s="128"/>
      <c r="H130" s="128"/>
      <c r="I130" s="71">
        <f t="shared" si="45"/>
        <v>7800</v>
      </c>
      <c r="J130" s="233">
        <f t="shared" ref="J130:S131" si="47">J$28*$E130*J$6</f>
        <v>150</v>
      </c>
      <c r="K130" s="233">
        <f t="shared" si="47"/>
        <v>150</v>
      </c>
      <c r="L130" s="233">
        <f t="shared" si="47"/>
        <v>150</v>
      </c>
      <c r="M130" s="233">
        <f t="shared" si="47"/>
        <v>150</v>
      </c>
      <c r="N130" s="233">
        <f t="shared" si="47"/>
        <v>150</v>
      </c>
      <c r="O130" s="233">
        <f t="shared" si="47"/>
        <v>150</v>
      </c>
      <c r="P130" s="233">
        <f t="shared" si="47"/>
        <v>150</v>
      </c>
      <c r="Q130" s="233">
        <f t="shared" si="47"/>
        <v>450</v>
      </c>
      <c r="R130" s="233">
        <f t="shared" si="47"/>
        <v>450</v>
      </c>
      <c r="S130" s="233">
        <f t="shared" si="47"/>
        <v>450</v>
      </c>
      <c r="T130" s="233">
        <f t="shared" ref="T130:AC131" si="48">T$28*$E130*T$6</f>
        <v>450</v>
      </c>
      <c r="U130" s="233">
        <f t="shared" si="48"/>
        <v>450</v>
      </c>
      <c r="V130" s="233">
        <f t="shared" si="48"/>
        <v>450</v>
      </c>
      <c r="W130" s="233">
        <f t="shared" si="48"/>
        <v>450</v>
      </c>
      <c r="X130" s="233">
        <f t="shared" si="48"/>
        <v>450</v>
      </c>
      <c r="Y130" s="233">
        <f t="shared" si="48"/>
        <v>450</v>
      </c>
      <c r="Z130" s="233">
        <f t="shared" si="48"/>
        <v>450</v>
      </c>
      <c r="AA130" s="233">
        <f t="shared" si="48"/>
        <v>450</v>
      </c>
      <c r="AB130" s="233">
        <f t="shared" si="48"/>
        <v>600</v>
      </c>
      <c r="AC130" s="233">
        <f t="shared" si="48"/>
        <v>600</v>
      </c>
      <c r="AD130" s="233">
        <f t="shared" ref="AD130:AG131" si="49">AD$28*$E130*AD$6</f>
        <v>600</v>
      </c>
      <c r="AE130" s="233">
        <f t="shared" si="49"/>
        <v>0</v>
      </c>
      <c r="AF130" s="233">
        <f t="shared" si="49"/>
        <v>0</v>
      </c>
      <c r="AG130" s="233">
        <f t="shared" si="49"/>
        <v>0</v>
      </c>
    </row>
    <row r="131" spans="1:33" s="649" customFormat="1" ht="17.25" customHeight="1" outlineLevel="1">
      <c r="A131" s="128"/>
      <c r="B131" s="430" t="str">
        <f t="shared" si="43"/>
        <v/>
      </c>
      <c r="C131" s="40" t="str">
        <f>Inputs!$C$84</f>
        <v>Communications Services</v>
      </c>
      <c r="D131" s="8" t="str">
        <f t="shared" ref="D131:D133" si="50">Currency_Label</f>
        <v>USD</v>
      </c>
      <c r="E131" s="147">
        <f>Inputs!G84</f>
        <v>50</v>
      </c>
      <c r="F131" s="275" t="s">
        <v>285</v>
      </c>
      <c r="G131" s="128"/>
      <c r="H131" s="128"/>
      <c r="I131" s="71">
        <f t="shared" si="45"/>
        <v>2600</v>
      </c>
      <c r="J131" s="233">
        <f t="shared" si="47"/>
        <v>50</v>
      </c>
      <c r="K131" s="233">
        <f t="shared" si="47"/>
        <v>50</v>
      </c>
      <c r="L131" s="233">
        <f t="shared" si="47"/>
        <v>50</v>
      </c>
      <c r="M131" s="233">
        <f t="shared" si="47"/>
        <v>50</v>
      </c>
      <c r="N131" s="233">
        <f t="shared" si="47"/>
        <v>50</v>
      </c>
      <c r="O131" s="233">
        <f t="shared" si="47"/>
        <v>50</v>
      </c>
      <c r="P131" s="233">
        <f t="shared" si="47"/>
        <v>50</v>
      </c>
      <c r="Q131" s="233">
        <f t="shared" si="47"/>
        <v>150</v>
      </c>
      <c r="R131" s="233">
        <f t="shared" si="47"/>
        <v>150</v>
      </c>
      <c r="S131" s="233">
        <f t="shared" si="47"/>
        <v>150</v>
      </c>
      <c r="T131" s="233">
        <f t="shared" si="48"/>
        <v>150</v>
      </c>
      <c r="U131" s="233">
        <f t="shared" si="48"/>
        <v>150</v>
      </c>
      <c r="V131" s="233">
        <f t="shared" si="48"/>
        <v>150</v>
      </c>
      <c r="W131" s="233">
        <f t="shared" si="48"/>
        <v>150</v>
      </c>
      <c r="X131" s="233">
        <f t="shared" si="48"/>
        <v>150</v>
      </c>
      <c r="Y131" s="233">
        <f t="shared" si="48"/>
        <v>150</v>
      </c>
      <c r="Z131" s="233">
        <f t="shared" si="48"/>
        <v>150</v>
      </c>
      <c r="AA131" s="233">
        <f t="shared" si="48"/>
        <v>150</v>
      </c>
      <c r="AB131" s="233">
        <f t="shared" si="48"/>
        <v>200</v>
      </c>
      <c r="AC131" s="233">
        <f t="shared" si="48"/>
        <v>200</v>
      </c>
      <c r="AD131" s="233">
        <f t="shared" si="49"/>
        <v>200</v>
      </c>
      <c r="AE131" s="233">
        <f t="shared" si="49"/>
        <v>0</v>
      </c>
      <c r="AF131" s="233">
        <f t="shared" si="49"/>
        <v>0</v>
      </c>
      <c r="AG131" s="233">
        <f t="shared" si="49"/>
        <v>0</v>
      </c>
    </row>
    <row r="132" spans="1:33" s="649" customFormat="1" ht="17.25" customHeight="1" outlineLevel="1">
      <c r="A132" s="128"/>
      <c r="B132" s="430"/>
      <c r="C132" s="40" t="str">
        <f>Inputs!$C$85</f>
        <v>Training Costs</v>
      </c>
      <c r="D132" s="8" t="str">
        <f t="shared" si="50"/>
        <v>USD</v>
      </c>
      <c r="E132" s="85">
        <f>Inputs!G85</f>
        <v>0.03</v>
      </c>
      <c r="F132" s="275" t="s">
        <v>268</v>
      </c>
      <c r="G132" s="128"/>
      <c r="H132" s="128"/>
      <c r="I132" s="71">
        <f t="shared" si="45"/>
        <v>4807.1875</v>
      </c>
      <c r="J132" s="233">
        <f t="shared" ref="J132:S134" si="51">J$64*$E132*J$6</f>
        <v>87.499999999999986</v>
      </c>
      <c r="K132" s="233">
        <f t="shared" si="51"/>
        <v>87.499999999999986</v>
      </c>
      <c r="L132" s="233">
        <f t="shared" si="51"/>
        <v>87.499999999999986</v>
      </c>
      <c r="M132" s="233">
        <f t="shared" si="51"/>
        <v>87.499999999999986</v>
      </c>
      <c r="N132" s="233">
        <f t="shared" si="51"/>
        <v>87.499999999999986</v>
      </c>
      <c r="O132" s="233">
        <f t="shared" si="51"/>
        <v>87.499999999999986</v>
      </c>
      <c r="P132" s="233">
        <f t="shared" si="51"/>
        <v>87.499999999999986</v>
      </c>
      <c r="Q132" s="233">
        <f t="shared" si="51"/>
        <v>275</v>
      </c>
      <c r="R132" s="233">
        <f t="shared" si="51"/>
        <v>275</v>
      </c>
      <c r="S132" s="233">
        <f t="shared" si="51"/>
        <v>275</v>
      </c>
      <c r="T132" s="233">
        <f t="shared" ref="T132:AC134" si="52">T$64*$E132*T$6</f>
        <v>281.875</v>
      </c>
      <c r="U132" s="233">
        <f t="shared" si="52"/>
        <v>281.875</v>
      </c>
      <c r="V132" s="233">
        <f t="shared" si="52"/>
        <v>281.875</v>
      </c>
      <c r="W132" s="233">
        <f t="shared" si="52"/>
        <v>281.875</v>
      </c>
      <c r="X132" s="233">
        <f t="shared" si="52"/>
        <v>281.875</v>
      </c>
      <c r="Y132" s="233">
        <f t="shared" si="52"/>
        <v>281.875</v>
      </c>
      <c r="Z132" s="233">
        <f t="shared" si="52"/>
        <v>281.875</v>
      </c>
      <c r="AA132" s="233">
        <f t="shared" si="52"/>
        <v>281.875</v>
      </c>
      <c r="AB132" s="233">
        <f t="shared" si="52"/>
        <v>371.56249999999994</v>
      </c>
      <c r="AC132" s="233">
        <f t="shared" si="52"/>
        <v>371.56249999999994</v>
      </c>
      <c r="AD132" s="233">
        <f t="shared" ref="AD132:AG134" si="53">AD$64*$E132*AD$6</f>
        <v>371.56249999999994</v>
      </c>
      <c r="AE132" s="233">
        <f t="shared" si="53"/>
        <v>0</v>
      </c>
      <c r="AF132" s="233">
        <f t="shared" si="53"/>
        <v>0</v>
      </c>
      <c r="AG132" s="233">
        <f t="shared" si="53"/>
        <v>0</v>
      </c>
    </row>
    <row r="133" spans="1:33" s="649" customFormat="1" ht="17.25" customHeight="1" outlineLevel="1">
      <c r="A133" s="128"/>
      <c r="B133" s="430"/>
      <c r="C133" s="40" t="str">
        <f>Inputs!$C$86</f>
        <v>Bonus at Plan Performance</v>
      </c>
      <c r="D133" s="8" t="str">
        <f t="shared" si="50"/>
        <v>USD</v>
      </c>
      <c r="E133" s="85">
        <f>Inputs!G86</f>
        <v>0</v>
      </c>
      <c r="F133" s="275" t="s">
        <v>268</v>
      </c>
      <c r="G133" s="128"/>
      <c r="H133" s="128"/>
      <c r="I133" s="71">
        <f t="shared" si="45"/>
        <v>0</v>
      </c>
      <c r="J133" s="233">
        <f t="shared" si="51"/>
        <v>0</v>
      </c>
      <c r="K133" s="233">
        <f t="shared" si="51"/>
        <v>0</v>
      </c>
      <c r="L133" s="233">
        <f t="shared" si="51"/>
        <v>0</v>
      </c>
      <c r="M133" s="233">
        <f t="shared" si="51"/>
        <v>0</v>
      </c>
      <c r="N133" s="233">
        <f t="shared" si="51"/>
        <v>0</v>
      </c>
      <c r="O133" s="233">
        <f t="shared" si="51"/>
        <v>0</v>
      </c>
      <c r="P133" s="233">
        <f t="shared" si="51"/>
        <v>0</v>
      </c>
      <c r="Q133" s="233">
        <f t="shared" si="51"/>
        <v>0</v>
      </c>
      <c r="R133" s="233">
        <f t="shared" si="51"/>
        <v>0</v>
      </c>
      <c r="S133" s="233">
        <f t="shared" si="51"/>
        <v>0</v>
      </c>
      <c r="T133" s="233">
        <f t="shared" si="52"/>
        <v>0</v>
      </c>
      <c r="U133" s="233">
        <f t="shared" si="52"/>
        <v>0</v>
      </c>
      <c r="V133" s="233">
        <f t="shared" si="52"/>
        <v>0</v>
      </c>
      <c r="W133" s="233">
        <f t="shared" si="52"/>
        <v>0</v>
      </c>
      <c r="X133" s="233">
        <f t="shared" si="52"/>
        <v>0</v>
      </c>
      <c r="Y133" s="233">
        <f t="shared" si="52"/>
        <v>0</v>
      </c>
      <c r="Z133" s="233">
        <f t="shared" si="52"/>
        <v>0</v>
      </c>
      <c r="AA133" s="233">
        <f t="shared" si="52"/>
        <v>0</v>
      </c>
      <c r="AB133" s="233">
        <f t="shared" si="52"/>
        <v>0</v>
      </c>
      <c r="AC133" s="233">
        <f t="shared" si="52"/>
        <v>0</v>
      </c>
      <c r="AD133" s="233">
        <f t="shared" si="53"/>
        <v>0</v>
      </c>
      <c r="AE133" s="233">
        <f t="shared" si="53"/>
        <v>0</v>
      </c>
      <c r="AF133" s="233">
        <f t="shared" si="53"/>
        <v>0</v>
      </c>
      <c r="AG133" s="233">
        <f t="shared" si="53"/>
        <v>0</v>
      </c>
    </row>
    <row r="134" spans="1:33" s="649" customFormat="1" ht="17.25" customHeight="1" outlineLevel="1">
      <c r="A134" s="128"/>
      <c r="B134" s="430" t="str">
        <f t="shared" ref="B134:B140" si="54">IF(B27="","",B27)</f>
        <v/>
      </c>
      <c r="C134" s="40" t="str">
        <f>Inputs!$C$87</f>
        <v>Spare</v>
      </c>
      <c r="D134" s="8" t="str">
        <f>Currency_Label</f>
        <v>USD</v>
      </c>
      <c r="E134" s="85">
        <f>Inputs!G87</f>
        <v>0</v>
      </c>
      <c r="F134" s="275" t="s">
        <v>268</v>
      </c>
      <c r="G134" s="128"/>
      <c r="H134" s="128"/>
      <c r="I134" s="71">
        <f t="shared" si="45"/>
        <v>0</v>
      </c>
      <c r="J134" s="233">
        <f t="shared" si="51"/>
        <v>0</v>
      </c>
      <c r="K134" s="233">
        <f t="shared" si="51"/>
        <v>0</v>
      </c>
      <c r="L134" s="233">
        <f t="shared" si="51"/>
        <v>0</v>
      </c>
      <c r="M134" s="233">
        <f t="shared" si="51"/>
        <v>0</v>
      </c>
      <c r="N134" s="233">
        <f t="shared" si="51"/>
        <v>0</v>
      </c>
      <c r="O134" s="233">
        <f t="shared" si="51"/>
        <v>0</v>
      </c>
      <c r="P134" s="233">
        <f t="shared" si="51"/>
        <v>0</v>
      </c>
      <c r="Q134" s="233">
        <f t="shared" si="51"/>
        <v>0</v>
      </c>
      <c r="R134" s="233">
        <f t="shared" si="51"/>
        <v>0</v>
      </c>
      <c r="S134" s="233">
        <f t="shared" si="51"/>
        <v>0</v>
      </c>
      <c r="T134" s="233">
        <f t="shared" si="52"/>
        <v>0</v>
      </c>
      <c r="U134" s="233">
        <f t="shared" si="52"/>
        <v>0</v>
      </c>
      <c r="V134" s="233">
        <f t="shared" si="52"/>
        <v>0</v>
      </c>
      <c r="W134" s="233">
        <f t="shared" si="52"/>
        <v>0</v>
      </c>
      <c r="X134" s="233">
        <f t="shared" si="52"/>
        <v>0</v>
      </c>
      <c r="Y134" s="233">
        <f t="shared" si="52"/>
        <v>0</v>
      </c>
      <c r="Z134" s="233">
        <f t="shared" si="52"/>
        <v>0</v>
      </c>
      <c r="AA134" s="233">
        <f t="shared" si="52"/>
        <v>0</v>
      </c>
      <c r="AB134" s="233">
        <f t="shared" si="52"/>
        <v>0</v>
      </c>
      <c r="AC134" s="233">
        <f t="shared" si="52"/>
        <v>0</v>
      </c>
      <c r="AD134" s="233">
        <f t="shared" si="53"/>
        <v>0</v>
      </c>
      <c r="AE134" s="233">
        <f t="shared" si="53"/>
        <v>0</v>
      </c>
      <c r="AF134" s="233">
        <f t="shared" si="53"/>
        <v>0</v>
      </c>
      <c r="AG134" s="233">
        <f t="shared" si="53"/>
        <v>0</v>
      </c>
    </row>
    <row r="135" spans="1:33" s="649" customFormat="1" ht="17.25" customHeight="1" outlineLevel="1">
      <c r="A135" s="128"/>
      <c r="B135" s="430" t="str">
        <f t="shared" si="54"/>
        <v/>
      </c>
      <c r="C135" s="75" t="str">
        <f>C28</f>
        <v xml:space="preserve">     Subtotal</v>
      </c>
      <c r="D135" s="8" t="str">
        <f>Currency_Label</f>
        <v>USD</v>
      </c>
      <c r="E135" s="36"/>
      <c r="F135" s="36"/>
      <c r="G135" s="36"/>
      <c r="H135" s="36"/>
      <c r="I135" s="71">
        <f t="shared" si="45"/>
        <v>15207.1875</v>
      </c>
      <c r="J135" s="129">
        <f>SUM(J129:J134)</f>
        <v>287.5</v>
      </c>
      <c r="K135" s="129">
        <f t="shared" ref="K135:AG135" si="55">SUM(K129:K134)</f>
        <v>287.5</v>
      </c>
      <c r="L135" s="129">
        <f t="shared" si="55"/>
        <v>287.5</v>
      </c>
      <c r="M135" s="129">
        <f t="shared" si="55"/>
        <v>287.5</v>
      </c>
      <c r="N135" s="129">
        <f t="shared" si="55"/>
        <v>287.5</v>
      </c>
      <c r="O135" s="129">
        <f t="shared" si="55"/>
        <v>287.5</v>
      </c>
      <c r="P135" s="129">
        <f t="shared" si="55"/>
        <v>287.5</v>
      </c>
      <c r="Q135" s="129">
        <f t="shared" si="55"/>
        <v>875</v>
      </c>
      <c r="R135" s="129">
        <f t="shared" si="55"/>
        <v>875</v>
      </c>
      <c r="S135" s="129">
        <f t="shared" si="55"/>
        <v>875</v>
      </c>
      <c r="T135" s="129">
        <f t="shared" si="55"/>
        <v>881.875</v>
      </c>
      <c r="U135" s="129">
        <f t="shared" si="55"/>
        <v>881.875</v>
      </c>
      <c r="V135" s="129">
        <f t="shared" si="55"/>
        <v>881.875</v>
      </c>
      <c r="W135" s="129">
        <f t="shared" si="55"/>
        <v>881.875</v>
      </c>
      <c r="X135" s="129">
        <f t="shared" si="55"/>
        <v>881.875</v>
      </c>
      <c r="Y135" s="129">
        <f t="shared" si="55"/>
        <v>881.875</v>
      </c>
      <c r="Z135" s="129">
        <f t="shared" si="55"/>
        <v>881.875</v>
      </c>
      <c r="AA135" s="129">
        <f t="shared" si="55"/>
        <v>881.875</v>
      </c>
      <c r="AB135" s="129">
        <f t="shared" si="55"/>
        <v>1171.5625</v>
      </c>
      <c r="AC135" s="129">
        <f t="shared" si="55"/>
        <v>1171.5625</v>
      </c>
      <c r="AD135" s="129">
        <f t="shared" si="55"/>
        <v>1171.5625</v>
      </c>
      <c r="AE135" s="129">
        <f t="shared" si="55"/>
        <v>0</v>
      </c>
      <c r="AF135" s="129">
        <f t="shared" si="55"/>
        <v>0</v>
      </c>
      <c r="AG135" s="129">
        <f t="shared" si="55"/>
        <v>0</v>
      </c>
    </row>
    <row r="136" spans="1:33" s="649" customFormat="1" ht="17.25" customHeight="1" outlineLevel="1">
      <c r="A136" s="128"/>
      <c r="B136" s="430" t="str">
        <f t="shared" si="54"/>
        <v/>
      </c>
      <c r="C136" s="128"/>
      <c r="D136" s="275"/>
      <c r="E136" s="128"/>
      <c r="F136" s="128"/>
      <c r="G136" s="128"/>
      <c r="H136" s="128"/>
      <c r="I136" s="332"/>
      <c r="J136" s="332"/>
      <c r="K136" s="332"/>
      <c r="L136" s="332"/>
      <c r="M136" s="332"/>
      <c r="N136" s="332"/>
      <c r="O136" s="332"/>
      <c r="P136" s="332"/>
      <c r="Q136" s="332"/>
      <c r="R136" s="332"/>
      <c r="S136" s="332"/>
      <c r="T136" s="332"/>
      <c r="U136" s="332"/>
      <c r="V136" s="332"/>
      <c r="W136" s="332"/>
      <c r="X136" s="332"/>
      <c r="Y136" s="332"/>
      <c r="Z136" s="332"/>
      <c r="AA136" s="332"/>
      <c r="AB136" s="332"/>
      <c r="AC136" s="332"/>
      <c r="AD136" s="332"/>
      <c r="AE136" s="332"/>
      <c r="AF136" s="332"/>
      <c r="AG136" s="332"/>
    </row>
    <row r="137" spans="1:33" s="649" customFormat="1" ht="17.25" customHeight="1" outlineLevel="1">
      <c r="A137" s="128"/>
      <c r="B137" s="430" t="str">
        <f t="shared" si="54"/>
        <v>4.</v>
      </c>
      <c r="C137" s="331" t="str">
        <f>C30</f>
        <v>Sales, Marketing &amp; Distribution Staff</v>
      </c>
      <c r="D137" s="275"/>
      <c r="E137" s="128"/>
      <c r="F137" s="128"/>
      <c r="G137" s="128"/>
      <c r="H137" s="128"/>
      <c r="I137" s="332"/>
      <c r="J137" s="332"/>
      <c r="K137" s="332"/>
      <c r="L137" s="332"/>
      <c r="M137" s="332"/>
      <c r="N137" s="332"/>
      <c r="O137" s="332"/>
      <c r="P137" s="332"/>
      <c r="Q137" s="332"/>
      <c r="R137" s="332"/>
      <c r="S137" s="332"/>
      <c r="T137" s="332"/>
      <c r="U137" s="332"/>
      <c r="V137" s="332"/>
      <c r="W137" s="332"/>
      <c r="X137" s="332"/>
      <c r="Y137" s="332"/>
      <c r="Z137" s="332"/>
      <c r="AA137" s="332"/>
      <c r="AB137" s="332"/>
      <c r="AC137" s="332"/>
      <c r="AD137" s="332"/>
      <c r="AE137" s="332"/>
      <c r="AF137" s="332"/>
      <c r="AG137" s="332"/>
    </row>
    <row r="138" spans="1:33" s="649" customFormat="1" ht="17.25" customHeight="1" outlineLevel="1">
      <c r="A138" s="128"/>
      <c r="B138" s="430" t="str">
        <f t="shared" si="54"/>
        <v/>
      </c>
      <c r="C138" s="40" t="str">
        <f>Inputs!$C$82</f>
        <v>Recruiting Costs (one-time upon hiring)</v>
      </c>
      <c r="D138" s="8" t="str">
        <f>Currency_Label</f>
        <v>USD</v>
      </c>
      <c r="E138" s="147">
        <f>Inputs!H82</f>
        <v>1500</v>
      </c>
      <c r="F138" s="275" t="s">
        <v>284</v>
      </c>
      <c r="G138" s="128"/>
      <c r="H138" s="128"/>
      <c r="I138" s="71">
        <f t="shared" ref="I138:I144" si="56">SUM(J138:AG138)</f>
        <v>4500</v>
      </c>
      <c r="J138" s="233">
        <f t="shared" ref="J138:AG138" si="57">MAX(0,J35-I35)*$E138*J$6</f>
        <v>1500</v>
      </c>
      <c r="K138" s="233">
        <f t="shared" si="57"/>
        <v>0</v>
      </c>
      <c r="L138" s="233">
        <f t="shared" si="57"/>
        <v>0</v>
      </c>
      <c r="M138" s="233">
        <f t="shared" si="57"/>
        <v>0</v>
      </c>
      <c r="N138" s="233">
        <f t="shared" si="57"/>
        <v>0</v>
      </c>
      <c r="O138" s="233">
        <f t="shared" si="57"/>
        <v>1500</v>
      </c>
      <c r="P138" s="233">
        <f t="shared" si="57"/>
        <v>0</v>
      </c>
      <c r="Q138" s="233">
        <f t="shared" si="57"/>
        <v>0</v>
      </c>
      <c r="R138" s="233">
        <f t="shared" si="57"/>
        <v>0</v>
      </c>
      <c r="S138" s="233">
        <f t="shared" si="57"/>
        <v>0</v>
      </c>
      <c r="T138" s="233">
        <f t="shared" si="57"/>
        <v>0</v>
      </c>
      <c r="U138" s="233">
        <f t="shared" si="57"/>
        <v>0</v>
      </c>
      <c r="V138" s="233">
        <f t="shared" si="57"/>
        <v>0</v>
      </c>
      <c r="W138" s="233">
        <f t="shared" si="57"/>
        <v>1500</v>
      </c>
      <c r="X138" s="233">
        <f t="shared" si="57"/>
        <v>0</v>
      </c>
      <c r="Y138" s="233">
        <f t="shared" si="57"/>
        <v>0</v>
      </c>
      <c r="Z138" s="233">
        <f t="shared" si="57"/>
        <v>0</v>
      </c>
      <c r="AA138" s="233">
        <f t="shared" si="57"/>
        <v>0</v>
      </c>
      <c r="AB138" s="233">
        <f t="shared" si="57"/>
        <v>0</v>
      </c>
      <c r="AC138" s="233">
        <f t="shared" si="57"/>
        <v>0</v>
      </c>
      <c r="AD138" s="233">
        <f t="shared" si="57"/>
        <v>0</v>
      </c>
      <c r="AE138" s="233">
        <f t="shared" si="57"/>
        <v>0</v>
      </c>
      <c r="AF138" s="233">
        <f t="shared" si="57"/>
        <v>0</v>
      </c>
      <c r="AG138" s="233">
        <f t="shared" si="57"/>
        <v>0</v>
      </c>
    </row>
    <row r="139" spans="1:33" s="649" customFormat="1" ht="17.25" customHeight="1" outlineLevel="1">
      <c r="A139" s="128"/>
      <c r="B139" s="430" t="str">
        <f t="shared" si="54"/>
        <v/>
      </c>
      <c r="C139" s="40" t="str">
        <f>Inputs!$C$83</f>
        <v>Travel &amp; Entertainment Costs</v>
      </c>
      <c r="D139" s="8" t="str">
        <f t="shared" ref="D139:D142" si="58">Currency_Label</f>
        <v>USD</v>
      </c>
      <c r="E139" s="147">
        <f>Inputs!H83</f>
        <v>550</v>
      </c>
      <c r="F139" s="275" t="s">
        <v>285</v>
      </c>
      <c r="G139" s="128"/>
      <c r="H139" s="128"/>
      <c r="I139" s="71">
        <f t="shared" si="56"/>
        <v>24750</v>
      </c>
      <c r="J139" s="233">
        <f t="shared" ref="J139:S140" si="59">J$35*$E139*J$6</f>
        <v>550</v>
      </c>
      <c r="K139" s="233">
        <f t="shared" si="59"/>
        <v>550</v>
      </c>
      <c r="L139" s="233">
        <f t="shared" si="59"/>
        <v>550</v>
      </c>
      <c r="M139" s="233">
        <f t="shared" si="59"/>
        <v>550</v>
      </c>
      <c r="N139" s="233">
        <f t="shared" si="59"/>
        <v>550</v>
      </c>
      <c r="O139" s="233">
        <f t="shared" si="59"/>
        <v>1100</v>
      </c>
      <c r="P139" s="233">
        <f t="shared" si="59"/>
        <v>1100</v>
      </c>
      <c r="Q139" s="233">
        <f t="shared" si="59"/>
        <v>1100</v>
      </c>
      <c r="R139" s="233">
        <f t="shared" si="59"/>
        <v>1100</v>
      </c>
      <c r="S139" s="233">
        <f t="shared" si="59"/>
        <v>1100</v>
      </c>
      <c r="T139" s="233">
        <f t="shared" ref="T139:AC140" si="60">T$35*$E139*T$6</f>
        <v>1100</v>
      </c>
      <c r="U139" s="233">
        <f t="shared" si="60"/>
        <v>1100</v>
      </c>
      <c r="V139" s="233">
        <f t="shared" si="60"/>
        <v>1100</v>
      </c>
      <c r="W139" s="233">
        <f t="shared" si="60"/>
        <v>1650</v>
      </c>
      <c r="X139" s="233">
        <f t="shared" si="60"/>
        <v>1650</v>
      </c>
      <c r="Y139" s="233">
        <f t="shared" si="60"/>
        <v>1650</v>
      </c>
      <c r="Z139" s="233">
        <f t="shared" si="60"/>
        <v>1650</v>
      </c>
      <c r="AA139" s="233">
        <f t="shared" si="60"/>
        <v>1650</v>
      </c>
      <c r="AB139" s="233">
        <f t="shared" si="60"/>
        <v>1650</v>
      </c>
      <c r="AC139" s="233">
        <f t="shared" si="60"/>
        <v>1650</v>
      </c>
      <c r="AD139" s="233">
        <f t="shared" ref="AD139:AG140" si="61">AD$35*$E139*AD$6</f>
        <v>1650</v>
      </c>
      <c r="AE139" s="233">
        <f t="shared" si="61"/>
        <v>0</v>
      </c>
      <c r="AF139" s="233">
        <f t="shared" si="61"/>
        <v>0</v>
      </c>
      <c r="AG139" s="233">
        <f t="shared" si="61"/>
        <v>0</v>
      </c>
    </row>
    <row r="140" spans="1:33" s="649" customFormat="1" ht="17.25" customHeight="1" outlineLevel="1">
      <c r="A140" s="128"/>
      <c r="B140" s="430" t="str">
        <f t="shared" si="54"/>
        <v/>
      </c>
      <c r="C140" s="40" t="str">
        <f>Inputs!$C$84</f>
        <v>Communications Services</v>
      </c>
      <c r="D140" s="8" t="str">
        <f t="shared" si="58"/>
        <v>USD</v>
      </c>
      <c r="E140" s="147">
        <f>Inputs!H84</f>
        <v>100</v>
      </c>
      <c r="F140" s="275" t="s">
        <v>285</v>
      </c>
      <c r="G140" s="128"/>
      <c r="H140" s="128"/>
      <c r="I140" s="71">
        <f t="shared" si="56"/>
        <v>4500</v>
      </c>
      <c r="J140" s="233">
        <f t="shared" si="59"/>
        <v>100</v>
      </c>
      <c r="K140" s="233">
        <f t="shared" si="59"/>
        <v>100</v>
      </c>
      <c r="L140" s="233">
        <f t="shared" si="59"/>
        <v>100</v>
      </c>
      <c r="M140" s="233">
        <f t="shared" si="59"/>
        <v>100</v>
      </c>
      <c r="N140" s="233">
        <f t="shared" si="59"/>
        <v>100</v>
      </c>
      <c r="O140" s="233">
        <f t="shared" si="59"/>
        <v>200</v>
      </c>
      <c r="P140" s="233">
        <f t="shared" si="59"/>
        <v>200</v>
      </c>
      <c r="Q140" s="233">
        <f t="shared" si="59"/>
        <v>200</v>
      </c>
      <c r="R140" s="233">
        <f t="shared" si="59"/>
        <v>200</v>
      </c>
      <c r="S140" s="233">
        <f t="shared" si="59"/>
        <v>200</v>
      </c>
      <c r="T140" s="233">
        <f t="shared" si="60"/>
        <v>200</v>
      </c>
      <c r="U140" s="233">
        <f t="shared" si="60"/>
        <v>200</v>
      </c>
      <c r="V140" s="233">
        <f t="shared" si="60"/>
        <v>200</v>
      </c>
      <c r="W140" s="233">
        <f t="shared" si="60"/>
        <v>300</v>
      </c>
      <c r="X140" s="233">
        <f t="shared" si="60"/>
        <v>300</v>
      </c>
      <c r="Y140" s="233">
        <f t="shared" si="60"/>
        <v>300</v>
      </c>
      <c r="Z140" s="233">
        <f t="shared" si="60"/>
        <v>300</v>
      </c>
      <c r="AA140" s="233">
        <f t="shared" si="60"/>
        <v>300</v>
      </c>
      <c r="AB140" s="233">
        <f t="shared" si="60"/>
        <v>300</v>
      </c>
      <c r="AC140" s="233">
        <f t="shared" si="60"/>
        <v>300</v>
      </c>
      <c r="AD140" s="233">
        <f t="shared" si="61"/>
        <v>300</v>
      </c>
      <c r="AE140" s="233">
        <f t="shared" si="61"/>
        <v>0</v>
      </c>
      <c r="AF140" s="233">
        <f t="shared" si="61"/>
        <v>0</v>
      </c>
      <c r="AG140" s="233">
        <f t="shared" si="61"/>
        <v>0</v>
      </c>
    </row>
    <row r="141" spans="1:33" s="649" customFormat="1" ht="17.25" customHeight="1" outlineLevel="1">
      <c r="A141" s="128"/>
      <c r="B141" s="430"/>
      <c r="C141" s="40" t="str">
        <f>Inputs!$C$85</f>
        <v>Training Costs</v>
      </c>
      <c r="D141" s="8" t="str">
        <f t="shared" si="58"/>
        <v>USD</v>
      </c>
      <c r="E141" s="85">
        <f>Inputs!H85</f>
        <v>0.02</v>
      </c>
      <c r="F141" s="275" t="s">
        <v>268</v>
      </c>
      <c r="G141" s="128"/>
      <c r="H141" s="128"/>
      <c r="I141" s="71">
        <f t="shared" si="56"/>
        <v>3050.0000000000005</v>
      </c>
      <c r="J141" s="233">
        <f t="shared" ref="J141:S143" si="62">J$71*$E141*J$6</f>
        <v>66.666666666666671</v>
      </c>
      <c r="K141" s="233">
        <f t="shared" si="62"/>
        <v>66.666666666666671</v>
      </c>
      <c r="L141" s="233">
        <f t="shared" si="62"/>
        <v>66.666666666666671</v>
      </c>
      <c r="M141" s="233">
        <f t="shared" si="62"/>
        <v>66.666666666666671</v>
      </c>
      <c r="N141" s="233">
        <f t="shared" si="62"/>
        <v>66.666666666666671</v>
      </c>
      <c r="O141" s="233">
        <f t="shared" si="62"/>
        <v>133.33333333333334</v>
      </c>
      <c r="P141" s="233">
        <f t="shared" si="62"/>
        <v>133.33333333333334</v>
      </c>
      <c r="Q141" s="233">
        <f t="shared" si="62"/>
        <v>133.33333333333334</v>
      </c>
      <c r="R141" s="233">
        <f t="shared" si="62"/>
        <v>133.33333333333334</v>
      </c>
      <c r="S141" s="233">
        <f t="shared" si="62"/>
        <v>133.33333333333334</v>
      </c>
      <c r="T141" s="233">
        <f t="shared" ref="T141:AC143" si="63">T$71*$E141*T$6</f>
        <v>136.66666666666666</v>
      </c>
      <c r="U141" s="233">
        <f t="shared" si="63"/>
        <v>136.66666666666666</v>
      </c>
      <c r="V141" s="233">
        <f t="shared" si="63"/>
        <v>136.66666666666666</v>
      </c>
      <c r="W141" s="233">
        <f t="shared" si="63"/>
        <v>205</v>
      </c>
      <c r="X141" s="233">
        <f t="shared" si="63"/>
        <v>205</v>
      </c>
      <c r="Y141" s="233">
        <f t="shared" si="63"/>
        <v>205</v>
      </c>
      <c r="Z141" s="233">
        <f t="shared" si="63"/>
        <v>205</v>
      </c>
      <c r="AA141" s="233">
        <f t="shared" si="63"/>
        <v>205</v>
      </c>
      <c r="AB141" s="233">
        <f t="shared" si="63"/>
        <v>205</v>
      </c>
      <c r="AC141" s="233">
        <f t="shared" si="63"/>
        <v>205</v>
      </c>
      <c r="AD141" s="233">
        <f t="shared" ref="AD141:AG143" si="64">AD$71*$E141*AD$6</f>
        <v>205</v>
      </c>
      <c r="AE141" s="233">
        <f t="shared" si="64"/>
        <v>0</v>
      </c>
      <c r="AF141" s="233">
        <f t="shared" si="64"/>
        <v>0</v>
      </c>
      <c r="AG141" s="233">
        <f t="shared" si="64"/>
        <v>0</v>
      </c>
    </row>
    <row r="142" spans="1:33" s="649" customFormat="1" ht="17.25" customHeight="1" outlineLevel="1">
      <c r="A142" s="128"/>
      <c r="B142" s="430"/>
      <c r="C142" s="40" t="str">
        <f>Inputs!$C$86</f>
        <v>Bonus at Plan Performance</v>
      </c>
      <c r="D142" s="8" t="str">
        <f t="shared" si="58"/>
        <v>USD</v>
      </c>
      <c r="E142" s="85">
        <f>Inputs!H86</f>
        <v>0.05</v>
      </c>
      <c r="F142" s="275" t="s">
        <v>268</v>
      </c>
      <c r="G142" s="128"/>
      <c r="H142" s="128"/>
      <c r="I142" s="71">
        <f t="shared" si="56"/>
        <v>7625</v>
      </c>
      <c r="J142" s="233">
        <f t="shared" si="62"/>
        <v>166.66666666666669</v>
      </c>
      <c r="K142" s="233">
        <f t="shared" si="62"/>
        <v>166.66666666666669</v>
      </c>
      <c r="L142" s="233">
        <f t="shared" si="62"/>
        <v>166.66666666666669</v>
      </c>
      <c r="M142" s="233">
        <f t="shared" si="62"/>
        <v>166.66666666666669</v>
      </c>
      <c r="N142" s="233">
        <f t="shared" si="62"/>
        <v>166.66666666666669</v>
      </c>
      <c r="O142" s="233">
        <f t="shared" si="62"/>
        <v>333.33333333333337</v>
      </c>
      <c r="P142" s="233">
        <f t="shared" si="62"/>
        <v>333.33333333333337</v>
      </c>
      <c r="Q142" s="233">
        <f t="shared" si="62"/>
        <v>333.33333333333337</v>
      </c>
      <c r="R142" s="233">
        <f t="shared" si="62"/>
        <v>333.33333333333337</v>
      </c>
      <c r="S142" s="233">
        <f t="shared" si="62"/>
        <v>333.33333333333337</v>
      </c>
      <c r="T142" s="233">
        <f t="shared" si="63"/>
        <v>341.66666666666669</v>
      </c>
      <c r="U142" s="233">
        <f t="shared" si="63"/>
        <v>341.66666666666669</v>
      </c>
      <c r="V142" s="233">
        <f t="shared" si="63"/>
        <v>341.66666666666669</v>
      </c>
      <c r="W142" s="233">
        <f t="shared" si="63"/>
        <v>512.5</v>
      </c>
      <c r="X142" s="233">
        <f t="shared" si="63"/>
        <v>512.5</v>
      </c>
      <c r="Y142" s="233">
        <f t="shared" si="63"/>
        <v>512.5</v>
      </c>
      <c r="Z142" s="233">
        <f t="shared" si="63"/>
        <v>512.5</v>
      </c>
      <c r="AA142" s="233">
        <f t="shared" si="63"/>
        <v>512.5</v>
      </c>
      <c r="AB142" s="233">
        <f t="shared" si="63"/>
        <v>512.5</v>
      </c>
      <c r="AC142" s="233">
        <f t="shared" si="63"/>
        <v>512.5</v>
      </c>
      <c r="AD142" s="233">
        <f t="shared" si="64"/>
        <v>512.5</v>
      </c>
      <c r="AE142" s="233">
        <f t="shared" si="64"/>
        <v>0</v>
      </c>
      <c r="AF142" s="233">
        <f t="shared" si="64"/>
        <v>0</v>
      </c>
      <c r="AG142" s="233">
        <f t="shared" si="64"/>
        <v>0</v>
      </c>
    </row>
    <row r="143" spans="1:33" s="649" customFormat="1" ht="17.25" customHeight="1" outlineLevel="1">
      <c r="A143" s="128"/>
      <c r="B143" s="430" t="str">
        <f t="shared" ref="B143:B149" si="65">IF(B34="","",B34)</f>
        <v/>
      </c>
      <c r="C143" s="40" t="str">
        <f>Inputs!$C$87</f>
        <v>Spare</v>
      </c>
      <c r="D143" s="8" t="str">
        <f>Currency_Label</f>
        <v>USD</v>
      </c>
      <c r="E143" s="85">
        <f>Inputs!H87</f>
        <v>0</v>
      </c>
      <c r="F143" s="275" t="s">
        <v>268</v>
      </c>
      <c r="G143" s="128"/>
      <c r="H143" s="128"/>
      <c r="I143" s="71">
        <f t="shared" si="56"/>
        <v>0</v>
      </c>
      <c r="J143" s="233">
        <f t="shared" si="62"/>
        <v>0</v>
      </c>
      <c r="K143" s="233">
        <f t="shared" si="62"/>
        <v>0</v>
      </c>
      <c r="L143" s="233">
        <f t="shared" si="62"/>
        <v>0</v>
      </c>
      <c r="M143" s="233">
        <f t="shared" si="62"/>
        <v>0</v>
      </c>
      <c r="N143" s="233">
        <f t="shared" si="62"/>
        <v>0</v>
      </c>
      <c r="O143" s="233">
        <f t="shared" si="62"/>
        <v>0</v>
      </c>
      <c r="P143" s="233">
        <f t="shared" si="62"/>
        <v>0</v>
      </c>
      <c r="Q143" s="233">
        <f t="shared" si="62"/>
        <v>0</v>
      </c>
      <c r="R143" s="233">
        <f t="shared" si="62"/>
        <v>0</v>
      </c>
      <c r="S143" s="233">
        <f t="shared" si="62"/>
        <v>0</v>
      </c>
      <c r="T143" s="233">
        <f t="shared" si="63"/>
        <v>0</v>
      </c>
      <c r="U143" s="233">
        <f t="shared" si="63"/>
        <v>0</v>
      </c>
      <c r="V143" s="233">
        <f t="shared" si="63"/>
        <v>0</v>
      </c>
      <c r="W143" s="233">
        <f t="shared" si="63"/>
        <v>0</v>
      </c>
      <c r="X143" s="233">
        <f t="shared" si="63"/>
        <v>0</v>
      </c>
      <c r="Y143" s="233">
        <f t="shared" si="63"/>
        <v>0</v>
      </c>
      <c r="Z143" s="233">
        <f t="shared" si="63"/>
        <v>0</v>
      </c>
      <c r="AA143" s="233">
        <f t="shared" si="63"/>
        <v>0</v>
      </c>
      <c r="AB143" s="233">
        <f t="shared" si="63"/>
        <v>0</v>
      </c>
      <c r="AC143" s="233">
        <f t="shared" si="63"/>
        <v>0</v>
      </c>
      <c r="AD143" s="233">
        <f t="shared" si="64"/>
        <v>0</v>
      </c>
      <c r="AE143" s="233">
        <f t="shared" si="64"/>
        <v>0</v>
      </c>
      <c r="AF143" s="233">
        <f t="shared" si="64"/>
        <v>0</v>
      </c>
      <c r="AG143" s="233">
        <f t="shared" si="64"/>
        <v>0</v>
      </c>
    </row>
    <row r="144" spans="1:33" s="649" customFormat="1" ht="17.25" customHeight="1" outlineLevel="1">
      <c r="A144" s="128"/>
      <c r="B144" s="430" t="str">
        <f t="shared" si="65"/>
        <v/>
      </c>
      <c r="C144" s="75" t="str">
        <f>C35</f>
        <v xml:space="preserve">     Subtotal</v>
      </c>
      <c r="D144" s="8" t="str">
        <f>Currency_Label</f>
        <v>USD</v>
      </c>
      <c r="E144" s="36"/>
      <c r="F144" s="36"/>
      <c r="G144" s="36"/>
      <c r="H144" s="36"/>
      <c r="I144" s="71">
        <f t="shared" si="56"/>
        <v>44424.999999999993</v>
      </c>
      <c r="J144" s="129">
        <f>SUM(J138:J143)</f>
        <v>2383.333333333333</v>
      </c>
      <c r="K144" s="129">
        <f t="shared" ref="K144:AG144" si="66">SUM(K138:K143)</f>
        <v>883.33333333333326</v>
      </c>
      <c r="L144" s="129">
        <f t="shared" si="66"/>
        <v>883.33333333333326</v>
      </c>
      <c r="M144" s="129">
        <f t="shared" si="66"/>
        <v>883.33333333333326</v>
      </c>
      <c r="N144" s="129">
        <f t="shared" si="66"/>
        <v>883.33333333333326</v>
      </c>
      <c r="O144" s="129">
        <f t="shared" si="66"/>
        <v>3266.666666666667</v>
      </c>
      <c r="P144" s="129">
        <f t="shared" si="66"/>
        <v>1766.6666666666665</v>
      </c>
      <c r="Q144" s="129">
        <f t="shared" si="66"/>
        <v>1766.6666666666665</v>
      </c>
      <c r="R144" s="129">
        <f t="shared" si="66"/>
        <v>1766.6666666666665</v>
      </c>
      <c r="S144" s="129">
        <f t="shared" si="66"/>
        <v>1766.6666666666665</v>
      </c>
      <c r="T144" s="129">
        <f t="shared" si="66"/>
        <v>1778.3333333333335</v>
      </c>
      <c r="U144" s="129">
        <f t="shared" si="66"/>
        <v>1778.3333333333335</v>
      </c>
      <c r="V144" s="129">
        <f t="shared" si="66"/>
        <v>1778.3333333333335</v>
      </c>
      <c r="W144" s="129">
        <f t="shared" si="66"/>
        <v>4167.5</v>
      </c>
      <c r="X144" s="129">
        <f t="shared" si="66"/>
        <v>2667.5</v>
      </c>
      <c r="Y144" s="129">
        <f t="shared" si="66"/>
        <v>2667.5</v>
      </c>
      <c r="Z144" s="129">
        <f t="shared" si="66"/>
        <v>2667.5</v>
      </c>
      <c r="AA144" s="129">
        <f t="shared" si="66"/>
        <v>2667.5</v>
      </c>
      <c r="AB144" s="129">
        <f t="shared" si="66"/>
        <v>2667.5</v>
      </c>
      <c r="AC144" s="129">
        <f t="shared" si="66"/>
        <v>2667.5</v>
      </c>
      <c r="AD144" s="129">
        <f t="shared" si="66"/>
        <v>2667.5</v>
      </c>
      <c r="AE144" s="129">
        <f t="shared" si="66"/>
        <v>0</v>
      </c>
      <c r="AF144" s="129">
        <f t="shared" si="66"/>
        <v>0</v>
      </c>
      <c r="AG144" s="129">
        <f t="shared" si="66"/>
        <v>0</v>
      </c>
    </row>
    <row r="145" spans="1:33" s="649" customFormat="1" ht="17.25" customHeight="1" outlineLevel="1">
      <c r="A145" s="128"/>
      <c r="B145" s="430" t="str">
        <f t="shared" si="65"/>
        <v/>
      </c>
      <c r="C145" s="128"/>
      <c r="D145" s="275"/>
      <c r="E145" s="128"/>
      <c r="F145" s="128"/>
      <c r="G145" s="128"/>
      <c r="H145" s="128"/>
      <c r="I145" s="332"/>
      <c r="J145" s="332"/>
      <c r="K145" s="332"/>
      <c r="L145" s="332"/>
      <c r="M145" s="332"/>
      <c r="N145" s="332"/>
      <c r="O145" s="332"/>
      <c r="P145" s="332"/>
      <c r="Q145" s="332"/>
      <c r="R145" s="332"/>
      <c r="S145" s="332"/>
      <c r="T145" s="332"/>
      <c r="U145" s="332"/>
      <c r="V145" s="332"/>
      <c r="W145" s="332"/>
      <c r="X145" s="332"/>
      <c r="Y145" s="332"/>
      <c r="Z145" s="332"/>
      <c r="AA145" s="332"/>
      <c r="AB145" s="332"/>
      <c r="AC145" s="332"/>
      <c r="AD145" s="332"/>
      <c r="AE145" s="332"/>
      <c r="AF145" s="332"/>
      <c r="AG145" s="332"/>
    </row>
    <row r="146" spans="1:33" s="649" customFormat="1" ht="17.25" customHeight="1" outlineLevel="1">
      <c r="A146" s="128"/>
      <c r="B146" s="430" t="str">
        <f t="shared" si="65"/>
        <v>5.</v>
      </c>
      <c r="C146" s="331" t="str">
        <f>C37</f>
        <v>Research &amp; Development</v>
      </c>
      <c r="D146" s="275"/>
      <c r="E146" s="128"/>
      <c r="F146" s="128"/>
      <c r="G146" s="128"/>
      <c r="H146" s="128"/>
      <c r="I146" s="332"/>
      <c r="J146" s="332"/>
      <c r="K146" s="332"/>
      <c r="L146" s="332"/>
      <c r="M146" s="332"/>
      <c r="N146" s="332"/>
      <c r="O146" s="332"/>
      <c r="P146" s="332"/>
      <c r="Q146" s="332"/>
      <c r="R146" s="332"/>
      <c r="S146" s="332"/>
      <c r="T146" s="332"/>
      <c r="U146" s="332"/>
      <c r="V146" s="332"/>
      <c r="W146" s="332"/>
      <c r="X146" s="332"/>
      <c r="Y146" s="332"/>
      <c r="Z146" s="332"/>
      <c r="AA146" s="332"/>
      <c r="AB146" s="332"/>
      <c r="AC146" s="332"/>
      <c r="AD146" s="332"/>
      <c r="AE146" s="332"/>
      <c r="AF146" s="332"/>
      <c r="AG146" s="332"/>
    </row>
    <row r="147" spans="1:33" s="649" customFormat="1" ht="17.25" customHeight="1" outlineLevel="1">
      <c r="A147" s="128"/>
      <c r="B147" s="430" t="str">
        <f t="shared" si="65"/>
        <v/>
      </c>
      <c r="C147" s="40" t="str">
        <f>Inputs!$C$82</f>
        <v>Recruiting Costs (one-time upon hiring)</v>
      </c>
      <c r="D147" s="8" t="str">
        <f>Currency_Label</f>
        <v>USD</v>
      </c>
      <c r="E147" s="147">
        <f>Inputs!I82</f>
        <v>1000</v>
      </c>
      <c r="F147" s="275" t="s">
        <v>284</v>
      </c>
      <c r="G147" s="128"/>
      <c r="H147" s="128"/>
      <c r="I147" s="71">
        <f t="shared" ref="I147:I153" si="67">SUM(J147:AG147)</f>
        <v>1000</v>
      </c>
      <c r="J147" s="233">
        <f t="shared" ref="J147:AG147" si="68">MAX(0,J42-I42)*$E147*J$6</f>
        <v>0</v>
      </c>
      <c r="K147" s="233">
        <f t="shared" si="68"/>
        <v>0</v>
      </c>
      <c r="L147" s="233">
        <f t="shared" si="68"/>
        <v>0</v>
      </c>
      <c r="M147" s="233">
        <f t="shared" si="68"/>
        <v>0</v>
      </c>
      <c r="N147" s="233">
        <f t="shared" si="68"/>
        <v>0</v>
      </c>
      <c r="O147" s="233">
        <f t="shared" si="68"/>
        <v>1000</v>
      </c>
      <c r="P147" s="233">
        <f t="shared" si="68"/>
        <v>0</v>
      </c>
      <c r="Q147" s="233">
        <f t="shared" si="68"/>
        <v>0</v>
      </c>
      <c r="R147" s="233">
        <f t="shared" si="68"/>
        <v>0</v>
      </c>
      <c r="S147" s="233">
        <f t="shared" si="68"/>
        <v>0</v>
      </c>
      <c r="T147" s="233">
        <f t="shared" si="68"/>
        <v>0</v>
      </c>
      <c r="U147" s="233">
        <f t="shared" si="68"/>
        <v>0</v>
      </c>
      <c r="V147" s="233">
        <f t="shared" si="68"/>
        <v>0</v>
      </c>
      <c r="W147" s="233">
        <f t="shared" si="68"/>
        <v>0</v>
      </c>
      <c r="X147" s="233">
        <f t="shared" si="68"/>
        <v>0</v>
      </c>
      <c r="Y147" s="233">
        <f t="shared" si="68"/>
        <v>0</v>
      </c>
      <c r="Z147" s="233">
        <f t="shared" si="68"/>
        <v>0</v>
      </c>
      <c r="AA147" s="233">
        <f t="shared" si="68"/>
        <v>0</v>
      </c>
      <c r="AB147" s="233">
        <f t="shared" si="68"/>
        <v>0</v>
      </c>
      <c r="AC147" s="233">
        <f t="shared" si="68"/>
        <v>0</v>
      </c>
      <c r="AD147" s="233">
        <f t="shared" si="68"/>
        <v>0</v>
      </c>
      <c r="AE147" s="233">
        <f t="shared" si="68"/>
        <v>0</v>
      </c>
      <c r="AF147" s="233">
        <f t="shared" si="68"/>
        <v>0</v>
      </c>
      <c r="AG147" s="233">
        <f t="shared" si="68"/>
        <v>0</v>
      </c>
    </row>
    <row r="148" spans="1:33" s="649" customFormat="1" ht="17.25" customHeight="1" outlineLevel="1">
      <c r="A148" s="128"/>
      <c r="B148" s="430" t="str">
        <f t="shared" si="65"/>
        <v/>
      </c>
      <c r="C148" s="40" t="str">
        <f>Inputs!$C$83</f>
        <v>Travel &amp; Entertainment Costs</v>
      </c>
      <c r="D148" s="8" t="str">
        <f>Currency_Label</f>
        <v>USD</v>
      </c>
      <c r="E148" s="147">
        <f>Inputs!I83</f>
        <v>100</v>
      </c>
      <c r="F148" s="275" t="s">
        <v>285</v>
      </c>
      <c r="G148" s="128"/>
      <c r="H148" s="128"/>
      <c r="I148" s="71">
        <f t="shared" si="67"/>
        <v>1600</v>
      </c>
      <c r="J148" s="233">
        <f t="shared" ref="J148:S149" si="69">J$42*$E148*J$6</f>
        <v>0</v>
      </c>
      <c r="K148" s="233">
        <f t="shared" si="69"/>
        <v>0</v>
      </c>
      <c r="L148" s="233">
        <f t="shared" si="69"/>
        <v>0</v>
      </c>
      <c r="M148" s="233">
        <f t="shared" si="69"/>
        <v>0</v>
      </c>
      <c r="N148" s="233">
        <f t="shared" si="69"/>
        <v>0</v>
      </c>
      <c r="O148" s="233">
        <f t="shared" si="69"/>
        <v>100</v>
      </c>
      <c r="P148" s="233">
        <f t="shared" si="69"/>
        <v>100</v>
      </c>
      <c r="Q148" s="233">
        <f t="shared" si="69"/>
        <v>100</v>
      </c>
      <c r="R148" s="233">
        <f t="shared" si="69"/>
        <v>100</v>
      </c>
      <c r="S148" s="233">
        <f t="shared" si="69"/>
        <v>100</v>
      </c>
      <c r="T148" s="233">
        <f t="shared" ref="T148:AC149" si="70">T$42*$E148*T$6</f>
        <v>100</v>
      </c>
      <c r="U148" s="233">
        <f t="shared" si="70"/>
        <v>100</v>
      </c>
      <c r="V148" s="233">
        <f t="shared" si="70"/>
        <v>100</v>
      </c>
      <c r="W148" s="233">
        <f t="shared" si="70"/>
        <v>100</v>
      </c>
      <c r="X148" s="233">
        <f t="shared" si="70"/>
        <v>100</v>
      </c>
      <c r="Y148" s="233">
        <f t="shared" si="70"/>
        <v>100</v>
      </c>
      <c r="Z148" s="233">
        <f t="shared" si="70"/>
        <v>100</v>
      </c>
      <c r="AA148" s="233">
        <f t="shared" si="70"/>
        <v>100</v>
      </c>
      <c r="AB148" s="233">
        <f t="shared" si="70"/>
        <v>100</v>
      </c>
      <c r="AC148" s="233">
        <f t="shared" si="70"/>
        <v>100</v>
      </c>
      <c r="AD148" s="233">
        <f t="shared" ref="AD148:AG149" si="71">AD$42*$E148*AD$6</f>
        <v>100</v>
      </c>
      <c r="AE148" s="233">
        <f t="shared" si="71"/>
        <v>0</v>
      </c>
      <c r="AF148" s="233">
        <f t="shared" si="71"/>
        <v>0</v>
      </c>
      <c r="AG148" s="233">
        <f t="shared" si="71"/>
        <v>0</v>
      </c>
    </row>
    <row r="149" spans="1:33" s="649" customFormat="1" ht="17.25" customHeight="1" outlineLevel="1">
      <c r="A149" s="128"/>
      <c r="B149" s="430" t="str">
        <f t="shared" si="65"/>
        <v/>
      </c>
      <c r="C149" s="40" t="str">
        <f>Inputs!$C$84</f>
        <v>Communications Services</v>
      </c>
      <c r="D149" s="8" t="str">
        <f t="shared" ref="D149:D151" si="72">Currency_Label</f>
        <v>USD</v>
      </c>
      <c r="E149" s="147">
        <f>Inputs!I84</f>
        <v>50</v>
      </c>
      <c r="F149" s="275" t="s">
        <v>285</v>
      </c>
      <c r="G149" s="128"/>
      <c r="H149" s="128"/>
      <c r="I149" s="71">
        <f t="shared" si="67"/>
        <v>800</v>
      </c>
      <c r="J149" s="233">
        <f t="shared" si="69"/>
        <v>0</v>
      </c>
      <c r="K149" s="233">
        <f t="shared" si="69"/>
        <v>0</v>
      </c>
      <c r="L149" s="233">
        <f t="shared" si="69"/>
        <v>0</v>
      </c>
      <c r="M149" s="233">
        <f t="shared" si="69"/>
        <v>0</v>
      </c>
      <c r="N149" s="233">
        <f t="shared" si="69"/>
        <v>0</v>
      </c>
      <c r="O149" s="233">
        <f t="shared" si="69"/>
        <v>50</v>
      </c>
      <c r="P149" s="233">
        <f t="shared" si="69"/>
        <v>50</v>
      </c>
      <c r="Q149" s="233">
        <f t="shared" si="69"/>
        <v>50</v>
      </c>
      <c r="R149" s="233">
        <f t="shared" si="69"/>
        <v>50</v>
      </c>
      <c r="S149" s="233">
        <f t="shared" si="69"/>
        <v>50</v>
      </c>
      <c r="T149" s="233">
        <f t="shared" si="70"/>
        <v>50</v>
      </c>
      <c r="U149" s="233">
        <f t="shared" si="70"/>
        <v>50</v>
      </c>
      <c r="V149" s="233">
        <f t="shared" si="70"/>
        <v>50</v>
      </c>
      <c r="W149" s="233">
        <f t="shared" si="70"/>
        <v>50</v>
      </c>
      <c r="X149" s="233">
        <f t="shared" si="70"/>
        <v>50</v>
      </c>
      <c r="Y149" s="233">
        <f t="shared" si="70"/>
        <v>50</v>
      </c>
      <c r="Z149" s="233">
        <f t="shared" si="70"/>
        <v>50</v>
      </c>
      <c r="AA149" s="233">
        <f t="shared" si="70"/>
        <v>50</v>
      </c>
      <c r="AB149" s="233">
        <f t="shared" si="70"/>
        <v>50</v>
      </c>
      <c r="AC149" s="233">
        <f t="shared" si="70"/>
        <v>50</v>
      </c>
      <c r="AD149" s="233">
        <f t="shared" si="71"/>
        <v>50</v>
      </c>
      <c r="AE149" s="233">
        <f t="shared" si="71"/>
        <v>0</v>
      </c>
      <c r="AF149" s="233">
        <f t="shared" si="71"/>
        <v>0</v>
      </c>
      <c r="AG149" s="233">
        <f t="shared" si="71"/>
        <v>0</v>
      </c>
    </row>
    <row r="150" spans="1:33" s="649" customFormat="1" ht="17.25" customHeight="1" outlineLevel="1">
      <c r="A150" s="128"/>
      <c r="B150" s="430"/>
      <c r="C150" s="40" t="str">
        <f>Inputs!$C$85</f>
        <v>Training Costs</v>
      </c>
      <c r="D150" s="8" t="str">
        <f t="shared" si="72"/>
        <v>USD</v>
      </c>
      <c r="E150" s="85">
        <f>Inputs!I85</f>
        <v>0.05</v>
      </c>
      <c r="F150" s="275" t="s">
        <v>268</v>
      </c>
      <c r="G150" s="128"/>
      <c r="H150" s="128"/>
      <c r="I150" s="71">
        <f t="shared" si="67"/>
        <v>3041.25</v>
      </c>
      <c r="J150" s="233">
        <f t="shared" ref="J150:S152" si="73">J$78*$E150*J$6</f>
        <v>0</v>
      </c>
      <c r="K150" s="233">
        <f t="shared" si="73"/>
        <v>0</v>
      </c>
      <c r="L150" s="233">
        <f t="shared" si="73"/>
        <v>0</v>
      </c>
      <c r="M150" s="233">
        <f t="shared" si="73"/>
        <v>0</v>
      </c>
      <c r="N150" s="233">
        <f t="shared" si="73"/>
        <v>0</v>
      </c>
      <c r="O150" s="233">
        <f t="shared" si="73"/>
        <v>187.5</v>
      </c>
      <c r="P150" s="233">
        <f t="shared" si="73"/>
        <v>187.5</v>
      </c>
      <c r="Q150" s="233">
        <f t="shared" si="73"/>
        <v>187.5</v>
      </c>
      <c r="R150" s="233">
        <f t="shared" si="73"/>
        <v>187.5</v>
      </c>
      <c r="S150" s="233">
        <f t="shared" si="73"/>
        <v>187.5</v>
      </c>
      <c r="T150" s="233">
        <f t="shared" ref="T150:AC152" si="74">T$78*$E150*T$6</f>
        <v>191.25</v>
      </c>
      <c r="U150" s="233">
        <f t="shared" si="74"/>
        <v>191.25</v>
      </c>
      <c r="V150" s="233">
        <f t="shared" si="74"/>
        <v>191.25</v>
      </c>
      <c r="W150" s="233">
        <f t="shared" si="74"/>
        <v>191.25</v>
      </c>
      <c r="X150" s="233">
        <f t="shared" si="74"/>
        <v>191.25</v>
      </c>
      <c r="Y150" s="233">
        <f t="shared" si="74"/>
        <v>191.25</v>
      </c>
      <c r="Z150" s="233">
        <f t="shared" si="74"/>
        <v>191.25</v>
      </c>
      <c r="AA150" s="233">
        <f t="shared" si="74"/>
        <v>191.25</v>
      </c>
      <c r="AB150" s="233">
        <f t="shared" si="74"/>
        <v>191.25</v>
      </c>
      <c r="AC150" s="233">
        <f t="shared" si="74"/>
        <v>191.25</v>
      </c>
      <c r="AD150" s="233">
        <f t="shared" ref="AD150:AG152" si="75">AD$78*$E150*AD$6</f>
        <v>191.25</v>
      </c>
      <c r="AE150" s="233">
        <f t="shared" si="75"/>
        <v>0</v>
      </c>
      <c r="AF150" s="233">
        <f t="shared" si="75"/>
        <v>0</v>
      </c>
      <c r="AG150" s="233">
        <f t="shared" si="75"/>
        <v>0</v>
      </c>
    </row>
    <row r="151" spans="1:33" s="649" customFormat="1" ht="17.25" customHeight="1" outlineLevel="1">
      <c r="A151" s="128"/>
      <c r="B151" s="430"/>
      <c r="C151" s="40" t="str">
        <f>Inputs!$C$86</f>
        <v>Bonus at Plan Performance</v>
      </c>
      <c r="D151" s="8" t="str">
        <f t="shared" si="72"/>
        <v>USD</v>
      </c>
      <c r="E151" s="85">
        <f>Inputs!I86</f>
        <v>0.02</v>
      </c>
      <c r="F151" s="275" t="s">
        <v>268</v>
      </c>
      <c r="G151" s="128"/>
      <c r="H151" s="128"/>
      <c r="I151" s="71">
        <f t="shared" si="67"/>
        <v>1216.5</v>
      </c>
      <c r="J151" s="233">
        <f t="shared" si="73"/>
        <v>0</v>
      </c>
      <c r="K151" s="233">
        <f t="shared" si="73"/>
        <v>0</v>
      </c>
      <c r="L151" s="233">
        <f t="shared" si="73"/>
        <v>0</v>
      </c>
      <c r="M151" s="233">
        <f t="shared" si="73"/>
        <v>0</v>
      </c>
      <c r="N151" s="233">
        <f t="shared" si="73"/>
        <v>0</v>
      </c>
      <c r="O151" s="233">
        <f t="shared" si="73"/>
        <v>75</v>
      </c>
      <c r="P151" s="233">
        <f t="shared" si="73"/>
        <v>75</v>
      </c>
      <c r="Q151" s="233">
        <f t="shared" si="73"/>
        <v>75</v>
      </c>
      <c r="R151" s="233">
        <f t="shared" si="73"/>
        <v>75</v>
      </c>
      <c r="S151" s="233">
        <f t="shared" si="73"/>
        <v>75</v>
      </c>
      <c r="T151" s="233">
        <f t="shared" si="74"/>
        <v>76.5</v>
      </c>
      <c r="U151" s="233">
        <f t="shared" si="74"/>
        <v>76.5</v>
      </c>
      <c r="V151" s="233">
        <f t="shared" si="74"/>
        <v>76.5</v>
      </c>
      <c r="W151" s="233">
        <f t="shared" si="74"/>
        <v>76.5</v>
      </c>
      <c r="X151" s="233">
        <f t="shared" si="74"/>
        <v>76.5</v>
      </c>
      <c r="Y151" s="233">
        <f t="shared" si="74"/>
        <v>76.5</v>
      </c>
      <c r="Z151" s="233">
        <f t="shared" si="74"/>
        <v>76.5</v>
      </c>
      <c r="AA151" s="233">
        <f t="shared" si="74"/>
        <v>76.5</v>
      </c>
      <c r="AB151" s="233">
        <f t="shared" si="74"/>
        <v>76.5</v>
      </c>
      <c r="AC151" s="233">
        <f t="shared" si="74"/>
        <v>76.5</v>
      </c>
      <c r="AD151" s="233">
        <f t="shared" si="75"/>
        <v>76.5</v>
      </c>
      <c r="AE151" s="233">
        <f t="shared" si="75"/>
        <v>0</v>
      </c>
      <c r="AF151" s="233">
        <f t="shared" si="75"/>
        <v>0</v>
      </c>
      <c r="AG151" s="233">
        <f t="shared" si="75"/>
        <v>0</v>
      </c>
    </row>
    <row r="152" spans="1:33" s="649" customFormat="1" ht="17.25" customHeight="1" outlineLevel="1">
      <c r="A152" s="128"/>
      <c r="B152" s="430" t="str">
        <f>IF(B41="","",B41)</f>
        <v/>
      </c>
      <c r="C152" s="40" t="str">
        <f>Inputs!$C$87</f>
        <v>Spare</v>
      </c>
      <c r="D152" s="8" t="str">
        <f>Currency_Label</f>
        <v>USD</v>
      </c>
      <c r="E152" s="85">
        <f>Inputs!I87</f>
        <v>0</v>
      </c>
      <c r="F152" s="275" t="s">
        <v>268</v>
      </c>
      <c r="G152" s="128"/>
      <c r="H152" s="128"/>
      <c r="I152" s="71">
        <f t="shared" si="67"/>
        <v>0</v>
      </c>
      <c r="J152" s="233">
        <f t="shared" si="73"/>
        <v>0</v>
      </c>
      <c r="K152" s="233">
        <f t="shared" si="73"/>
        <v>0</v>
      </c>
      <c r="L152" s="233">
        <f t="shared" si="73"/>
        <v>0</v>
      </c>
      <c r="M152" s="233">
        <f t="shared" si="73"/>
        <v>0</v>
      </c>
      <c r="N152" s="233">
        <f t="shared" si="73"/>
        <v>0</v>
      </c>
      <c r="O152" s="233">
        <f t="shared" si="73"/>
        <v>0</v>
      </c>
      <c r="P152" s="233">
        <f t="shared" si="73"/>
        <v>0</v>
      </c>
      <c r="Q152" s="233">
        <f t="shared" si="73"/>
        <v>0</v>
      </c>
      <c r="R152" s="233">
        <f t="shared" si="73"/>
        <v>0</v>
      </c>
      <c r="S152" s="233">
        <f t="shared" si="73"/>
        <v>0</v>
      </c>
      <c r="T152" s="233">
        <f t="shared" si="74"/>
        <v>0</v>
      </c>
      <c r="U152" s="233">
        <f t="shared" si="74"/>
        <v>0</v>
      </c>
      <c r="V152" s="233">
        <f t="shared" si="74"/>
        <v>0</v>
      </c>
      <c r="W152" s="233">
        <f t="shared" si="74"/>
        <v>0</v>
      </c>
      <c r="X152" s="233">
        <f t="shared" si="74"/>
        <v>0</v>
      </c>
      <c r="Y152" s="233">
        <f t="shared" si="74"/>
        <v>0</v>
      </c>
      <c r="Z152" s="233">
        <f t="shared" si="74"/>
        <v>0</v>
      </c>
      <c r="AA152" s="233">
        <f t="shared" si="74"/>
        <v>0</v>
      </c>
      <c r="AB152" s="233">
        <f t="shared" si="74"/>
        <v>0</v>
      </c>
      <c r="AC152" s="233">
        <f t="shared" si="74"/>
        <v>0</v>
      </c>
      <c r="AD152" s="233">
        <f t="shared" si="75"/>
        <v>0</v>
      </c>
      <c r="AE152" s="233">
        <f t="shared" si="75"/>
        <v>0</v>
      </c>
      <c r="AF152" s="233">
        <f t="shared" si="75"/>
        <v>0</v>
      </c>
      <c r="AG152" s="233">
        <f t="shared" si="75"/>
        <v>0</v>
      </c>
    </row>
    <row r="153" spans="1:33" s="649" customFormat="1" ht="17.25" customHeight="1" outlineLevel="1">
      <c r="A153" s="128"/>
      <c r="B153" s="430" t="str">
        <f>IF(B42="","",B42)</f>
        <v/>
      </c>
      <c r="C153" s="75" t="str">
        <f>C42</f>
        <v xml:space="preserve">     Subtotal</v>
      </c>
      <c r="D153" s="8" t="str">
        <f>Currency_Label</f>
        <v>USD</v>
      </c>
      <c r="E153" s="36"/>
      <c r="F153" s="36"/>
      <c r="G153" s="36"/>
      <c r="H153" s="36"/>
      <c r="I153" s="71">
        <f t="shared" si="67"/>
        <v>7657.75</v>
      </c>
      <c r="J153" s="129">
        <f>SUM(J147:J152)</f>
        <v>0</v>
      </c>
      <c r="K153" s="129">
        <f t="shared" ref="K153:AG153" si="76">SUM(K147:K152)</f>
        <v>0</v>
      </c>
      <c r="L153" s="129">
        <f t="shared" si="76"/>
        <v>0</v>
      </c>
      <c r="M153" s="129">
        <f t="shared" si="76"/>
        <v>0</v>
      </c>
      <c r="N153" s="129">
        <f t="shared" si="76"/>
        <v>0</v>
      </c>
      <c r="O153" s="129">
        <f t="shared" si="76"/>
        <v>1412.5</v>
      </c>
      <c r="P153" s="129">
        <f t="shared" si="76"/>
        <v>412.5</v>
      </c>
      <c r="Q153" s="129">
        <f t="shared" si="76"/>
        <v>412.5</v>
      </c>
      <c r="R153" s="129">
        <f t="shared" si="76"/>
        <v>412.5</v>
      </c>
      <c r="S153" s="129">
        <f t="shared" si="76"/>
        <v>412.5</v>
      </c>
      <c r="T153" s="129">
        <f t="shared" si="76"/>
        <v>417.75</v>
      </c>
      <c r="U153" s="129">
        <f t="shared" si="76"/>
        <v>417.75</v>
      </c>
      <c r="V153" s="129">
        <f t="shared" si="76"/>
        <v>417.75</v>
      </c>
      <c r="W153" s="129">
        <f t="shared" si="76"/>
        <v>417.75</v>
      </c>
      <c r="X153" s="129">
        <f t="shared" si="76"/>
        <v>417.75</v>
      </c>
      <c r="Y153" s="129">
        <f t="shared" si="76"/>
        <v>417.75</v>
      </c>
      <c r="Z153" s="129">
        <f t="shared" si="76"/>
        <v>417.75</v>
      </c>
      <c r="AA153" s="129">
        <f t="shared" si="76"/>
        <v>417.75</v>
      </c>
      <c r="AB153" s="129">
        <f t="shared" si="76"/>
        <v>417.75</v>
      </c>
      <c r="AC153" s="129">
        <f t="shared" si="76"/>
        <v>417.75</v>
      </c>
      <c r="AD153" s="129">
        <f t="shared" si="76"/>
        <v>417.75</v>
      </c>
      <c r="AE153" s="129">
        <f t="shared" si="76"/>
        <v>0</v>
      </c>
      <c r="AF153" s="129">
        <f t="shared" si="76"/>
        <v>0</v>
      </c>
      <c r="AG153" s="129">
        <f t="shared" si="76"/>
        <v>0</v>
      </c>
    </row>
    <row r="154" spans="1:33" s="649" customFormat="1" ht="11.25" customHeight="1" outlineLevel="1">
      <c r="A154" s="128"/>
      <c r="B154" s="128"/>
      <c r="C154" s="128"/>
      <c r="D154" s="275"/>
      <c r="E154" s="128"/>
      <c r="F154" s="128"/>
      <c r="G154" s="128"/>
      <c r="H154" s="128"/>
      <c r="I154" s="332"/>
      <c r="J154" s="332"/>
      <c r="K154" s="332"/>
      <c r="L154" s="332"/>
      <c r="M154" s="332"/>
      <c r="N154" s="332"/>
      <c r="O154" s="332"/>
      <c r="P154" s="332"/>
      <c r="Q154" s="332"/>
      <c r="R154" s="332"/>
      <c r="S154" s="332"/>
      <c r="T154" s="332"/>
      <c r="U154" s="332"/>
      <c r="V154" s="332"/>
      <c r="W154" s="332"/>
      <c r="X154" s="332"/>
      <c r="Y154" s="332"/>
      <c r="Z154" s="332"/>
      <c r="AA154" s="332"/>
      <c r="AB154" s="332"/>
      <c r="AC154" s="332"/>
      <c r="AD154" s="332"/>
      <c r="AE154" s="332"/>
      <c r="AF154" s="332"/>
      <c r="AG154" s="332"/>
    </row>
    <row r="155" spans="1:33" s="649" customFormat="1" ht="17.25" customHeight="1" outlineLevel="1" thickBot="1">
      <c r="A155" s="128"/>
      <c r="B155" s="128"/>
      <c r="C155" s="268" t="s">
        <v>286</v>
      </c>
      <c r="D155" s="412" t="str">
        <f>Currency_Label</f>
        <v>USD</v>
      </c>
      <c r="E155" s="36"/>
      <c r="F155" s="36"/>
      <c r="G155" s="36"/>
      <c r="H155" s="36"/>
      <c r="I155" s="71">
        <f>SUM(J155:AG155)</f>
        <v>107850.5625</v>
      </c>
      <c r="J155" s="711">
        <f>J126+J135+J144+J153</f>
        <v>8645.8333333333321</v>
      </c>
      <c r="K155" s="711">
        <f t="shared" ref="K155:AG155" si="77">K126+K135+K144+K153</f>
        <v>2145.833333333333</v>
      </c>
      <c r="L155" s="711">
        <f t="shared" si="77"/>
        <v>2145.833333333333</v>
      </c>
      <c r="M155" s="711">
        <f t="shared" si="77"/>
        <v>2145.833333333333</v>
      </c>
      <c r="N155" s="711">
        <f t="shared" si="77"/>
        <v>2145.833333333333</v>
      </c>
      <c r="O155" s="711">
        <f t="shared" si="77"/>
        <v>5941.666666666667</v>
      </c>
      <c r="P155" s="711">
        <f t="shared" si="77"/>
        <v>3441.6666666666665</v>
      </c>
      <c r="Q155" s="711">
        <f t="shared" si="77"/>
        <v>4029.1666666666665</v>
      </c>
      <c r="R155" s="711">
        <f t="shared" si="77"/>
        <v>4029.1666666666665</v>
      </c>
      <c r="S155" s="711">
        <f t="shared" si="77"/>
        <v>4029.1666666666665</v>
      </c>
      <c r="T155" s="711">
        <f t="shared" si="77"/>
        <v>9969.8333333333339</v>
      </c>
      <c r="U155" s="711">
        <f t="shared" si="77"/>
        <v>4969.8333333333339</v>
      </c>
      <c r="V155" s="711">
        <f t="shared" si="77"/>
        <v>4969.8333333333339</v>
      </c>
      <c r="W155" s="711">
        <f t="shared" si="77"/>
        <v>7359</v>
      </c>
      <c r="X155" s="711">
        <f t="shared" si="77"/>
        <v>5859</v>
      </c>
      <c r="Y155" s="711">
        <f t="shared" si="77"/>
        <v>5859</v>
      </c>
      <c r="Z155" s="711">
        <f t="shared" si="77"/>
        <v>5859</v>
      </c>
      <c r="AA155" s="711">
        <f t="shared" si="77"/>
        <v>5859</v>
      </c>
      <c r="AB155" s="711">
        <f t="shared" si="77"/>
        <v>6148.6875</v>
      </c>
      <c r="AC155" s="711">
        <f t="shared" si="77"/>
        <v>6148.6875</v>
      </c>
      <c r="AD155" s="711">
        <f t="shared" si="77"/>
        <v>6148.6875</v>
      </c>
      <c r="AE155" s="711">
        <f t="shared" si="77"/>
        <v>0</v>
      </c>
      <c r="AF155" s="711">
        <f t="shared" si="77"/>
        <v>0</v>
      </c>
      <c r="AG155" s="711">
        <f t="shared" si="77"/>
        <v>0</v>
      </c>
    </row>
    <row r="156" spans="1:33" s="649" customFormat="1" ht="11.25" customHeight="1" outlineLevel="1" thickTop="1">
      <c r="A156" s="128"/>
      <c r="B156" s="128"/>
      <c r="C156" s="128"/>
      <c r="D156" s="275"/>
      <c r="E156" s="128"/>
      <c r="F156" s="128"/>
      <c r="G156" s="128"/>
      <c r="H156" s="128"/>
      <c r="I156" s="128"/>
      <c r="J156" s="128"/>
      <c r="K156" s="128"/>
      <c r="L156" s="128"/>
      <c r="M156" s="287"/>
      <c r="N156" s="287"/>
      <c r="O156" s="287"/>
      <c r="P156" s="287"/>
      <c r="Q156" s="287"/>
      <c r="R156" s="287"/>
      <c r="S156" s="287"/>
      <c r="T156" s="287"/>
      <c r="U156" s="287"/>
      <c r="V156" s="287"/>
      <c r="W156" s="287"/>
      <c r="X156" s="287"/>
      <c r="Y156" s="287"/>
      <c r="Z156" s="287"/>
      <c r="AA156" s="287"/>
      <c r="AB156" s="287"/>
      <c r="AC156" s="287"/>
      <c r="AD156" s="287"/>
      <c r="AE156" s="287"/>
      <c r="AF156" s="287"/>
      <c r="AG156" s="287"/>
    </row>
    <row r="157" spans="1:33" s="649" customFormat="1" ht="17.25" customHeight="1" outlineLevel="1" thickBot="1">
      <c r="A157" s="128"/>
      <c r="B157" s="128"/>
      <c r="C157" s="268" t="str">
        <f>CHOOSE(language,"Total HR (w/o Direct Labour Costs)","Total HR (w/o Direct Labor Costs)")</f>
        <v>Total HR (w/o Direct Labor Costs)</v>
      </c>
      <c r="D157" s="412" t="str">
        <f>Currency_Label</f>
        <v>USD</v>
      </c>
      <c r="E157" s="36"/>
      <c r="F157" s="36"/>
      <c r="G157" s="36"/>
      <c r="H157" s="36"/>
      <c r="I157" s="141">
        <f>SUM(J157:AG157)</f>
        <v>732592.75000000012</v>
      </c>
      <c r="J157" s="712">
        <f>J80+J114+J155</f>
        <v>21666.666666666668</v>
      </c>
      <c r="K157" s="712">
        <f t="shared" ref="K157:AG157" si="78">K80+K114+K155</f>
        <v>15166.666666666668</v>
      </c>
      <c r="L157" s="712">
        <f t="shared" si="78"/>
        <v>15166.666666666668</v>
      </c>
      <c r="M157" s="712">
        <f t="shared" si="78"/>
        <v>15166.666666666668</v>
      </c>
      <c r="N157" s="712">
        <f t="shared" si="78"/>
        <v>15166.666666666668</v>
      </c>
      <c r="O157" s="712">
        <f t="shared" si="78"/>
        <v>27816.666666666668</v>
      </c>
      <c r="P157" s="712">
        <f t="shared" si="78"/>
        <v>25316.666666666668</v>
      </c>
      <c r="Q157" s="712">
        <f t="shared" si="78"/>
        <v>33716.666666666664</v>
      </c>
      <c r="R157" s="712">
        <f t="shared" si="78"/>
        <v>33716.666666666664</v>
      </c>
      <c r="S157" s="712">
        <f t="shared" si="78"/>
        <v>33716.666666666664</v>
      </c>
      <c r="T157" s="712">
        <f t="shared" si="78"/>
        <v>44646.916666666672</v>
      </c>
      <c r="U157" s="712">
        <f t="shared" si="78"/>
        <v>39646.916666666672</v>
      </c>
      <c r="V157" s="712">
        <f t="shared" si="78"/>
        <v>39646.916666666672</v>
      </c>
      <c r="W157" s="712">
        <f t="shared" si="78"/>
        <v>46306.916666666672</v>
      </c>
      <c r="X157" s="712">
        <f t="shared" si="78"/>
        <v>44806.916666666672</v>
      </c>
      <c r="Y157" s="712">
        <f t="shared" si="78"/>
        <v>44806.916666666672</v>
      </c>
      <c r="Z157" s="712">
        <f t="shared" si="78"/>
        <v>44806.916666666672</v>
      </c>
      <c r="AA157" s="712">
        <f t="shared" si="78"/>
        <v>44806.916666666672</v>
      </c>
      <c r="AB157" s="712">
        <f t="shared" si="78"/>
        <v>48833.583333333328</v>
      </c>
      <c r="AC157" s="712">
        <f t="shared" si="78"/>
        <v>48833.583333333328</v>
      </c>
      <c r="AD157" s="712">
        <f t="shared" si="78"/>
        <v>48833.583333333328</v>
      </c>
      <c r="AE157" s="712">
        <f t="shared" si="78"/>
        <v>0</v>
      </c>
      <c r="AF157" s="712">
        <f t="shared" si="78"/>
        <v>0</v>
      </c>
      <c r="AG157" s="712">
        <f t="shared" si="78"/>
        <v>0</v>
      </c>
    </row>
    <row r="158" spans="1:33" s="649" customFormat="1" ht="17.25" customHeight="1" thickTop="1">
      <c r="A158" s="128"/>
      <c r="B158" s="128"/>
      <c r="C158" s="128"/>
      <c r="D158" s="275"/>
      <c r="E158" s="128"/>
      <c r="F158" s="128"/>
      <c r="G158" s="128"/>
      <c r="H158" s="128"/>
      <c r="I158" s="128"/>
      <c r="J158" s="128"/>
      <c r="K158" s="128"/>
      <c r="L158" s="128"/>
      <c r="M158" s="287"/>
      <c r="N158" s="287"/>
      <c r="O158" s="287"/>
      <c r="P158" s="287"/>
      <c r="Q158" s="287"/>
      <c r="R158" s="287"/>
      <c r="S158" s="287"/>
      <c r="T158" s="287"/>
      <c r="U158" s="287"/>
      <c r="V158" s="287"/>
      <c r="W158" s="287"/>
      <c r="X158" s="287"/>
      <c r="Y158" s="287"/>
      <c r="Z158" s="287"/>
      <c r="AA158" s="287"/>
      <c r="AB158" s="287"/>
      <c r="AC158" s="287"/>
      <c r="AD158" s="287"/>
      <c r="AE158" s="287"/>
      <c r="AF158" s="287"/>
      <c r="AG158" s="287"/>
    </row>
    <row r="159" spans="1:33" s="649" customFormat="1" ht="24" customHeight="1" thickBot="1">
      <c r="A159" s="323"/>
      <c r="B159" s="323"/>
      <c r="C159" s="323" t="str">
        <f>CHOOSE(language,"Summary (with direct labour costs)","Summary (with direct labor costs)")</f>
        <v>Summary (with direct labor costs)</v>
      </c>
      <c r="D159" s="323"/>
      <c r="E159" s="323"/>
      <c r="F159" s="323"/>
      <c r="G159" s="323"/>
      <c r="H159" s="323"/>
      <c r="I159" s="323"/>
      <c r="J159" s="323"/>
      <c r="K159" s="323"/>
      <c r="L159" s="323"/>
      <c r="M159" s="323"/>
      <c r="N159" s="323"/>
      <c r="O159" s="323"/>
      <c r="P159" s="323"/>
      <c r="Q159" s="323"/>
      <c r="R159" s="323"/>
      <c r="S159" s="323"/>
      <c r="T159" s="323"/>
      <c r="U159" s="323"/>
      <c r="V159" s="323"/>
      <c r="W159" s="323"/>
      <c r="X159" s="323"/>
      <c r="Y159" s="323"/>
      <c r="Z159" s="323"/>
      <c r="AA159" s="323"/>
      <c r="AB159" s="323"/>
      <c r="AC159" s="323"/>
      <c r="AD159" s="323"/>
      <c r="AE159" s="323"/>
      <c r="AF159" s="323"/>
      <c r="AG159" s="323"/>
    </row>
    <row r="160" spans="1:33" s="203" customFormat="1" ht="17.25" customHeight="1" outlineLevel="1">
      <c r="A160" s="894"/>
      <c r="B160" s="241"/>
      <c r="C160" s="40" t="str">
        <f>C12</f>
        <v>Direct Labor Staff</v>
      </c>
      <c r="D160" s="412" t="str">
        <f t="shared" ref="D160:D165" si="79">Currency_Label</f>
        <v>USD</v>
      </c>
      <c r="E160" s="241"/>
      <c r="F160" s="241"/>
      <c r="G160" s="241"/>
      <c r="H160" s="241"/>
      <c r="I160" s="71">
        <f t="shared" ref="I160:I165" si="80">SUM(J160:AG160)</f>
        <v>150592.5</v>
      </c>
      <c r="J160" s="233">
        <f>'Costs 02'!J286</f>
        <v>4250</v>
      </c>
      <c r="K160" s="233">
        <f>'Costs 02'!K286</f>
        <v>4250</v>
      </c>
      <c r="L160" s="233">
        <f>'Costs 02'!L286</f>
        <v>4250</v>
      </c>
      <c r="M160" s="233">
        <f>'Costs 02'!M286</f>
        <v>4250</v>
      </c>
      <c r="N160" s="233">
        <f>'Costs 02'!N286</f>
        <v>4250</v>
      </c>
      <c r="O160" s="233">
        <f>'Costs 02'!O286</f>
        <v>4250</v>
      </c>
      <c r="P160" s="233">
        <f>'Costs 02'!P286</f>
        <v>6333.333333333333</v>
      </c>
      <c r="Q160" s="233">
        <f>'Costs 02'!Q286</f>
        <v>8416.6666666666679</v>
      </c>
      <c r="R160" s="233">
        <f>'Costs 02'!R286</f>
        <v>8416.6666666666679</v>
      </c>
      <c r="S160" s="233">
        <f>'Costs 02'!S286</f>
        <v>8416.6666666666679</v>
      </c>
      <c r="T160" s="233">
        <f>'Costs 02'!T286</f>
        <v>8500.8333333333321</v>
      </c>
      <c r="U160" s="233">
        <f>'Costs 02'!U286</f>
        <v>8500.8333333333321</v>
      </c>
      <c r="V160" s="233">
        <f>'Costs 02'!V286</f>
        <v>8500.8333333333321</v>
      </c>
      <c r="W160" s="233">
        <f>'Costs 02'!W286</f>
        <v>8500.8333333333321</v>
      </c>
      <c r="X160" s="233">
        <f>'Costs 02'!X286</f>
        <v>8500.8333333333321</v>
      </c>
      <c r="Y160" s="233">
        <f>'Costs 02'!Y286</f>
        <v>8500.8333333333321</v>
      </c>
      <c r="Z160" s="233">
        <f>'Costs 02'!Z286</f>
        <v>8500.8333333333321</v>
      </c>
      <c r="AA160" s="233">
        <f>'Costs 02'!AA286</f>
        <v>8500.8333333333321</v>
      </c>
      <c r="AB160" s="233">
        <f>'Costs 02'!AB286</f>
        <v>8500.8333333333321</v>
      </c>
      <c r="AC160" s="233">
        <f>'Costs 02'!AC286</f>
        <v>8500.8333333333321</v>
      </c>
      <c r="AD160" s="233">
        <f>'Costs 02'!AD286</f>
        <v>8500.8333333333321</v>
      </c>
      <c r="AE160" s="233">
        <f>'Costs 02'!AE286</f>
        <v>0</v>
      </c>
      <c r="AF160" s="233">
        <f>'Costs 02'!AF286</f>
        <v>0</v>
      </c>
      <c r="AG160" s="233">
        <f>'Costs 02'!AG286</f>
        <v>0</v>
      </c>
    </row>
    <row r="161" spans="1:33" s="203" customFormat="1" ht="17.25" customHeight="1" outlineLevel="1">
      <c r="A161" s="894"/>
      <c r="B161" s="241"/>
      <c r="C161" s="40" t="str">
        <f>C16</f>
        <v>Management &amp; Administration Staff</v>
      </c>
      <c r="D161" s="412" t="str">
        <f t="shared" si="79"/>
        <v>USD</v>
      </c>
      <c r="E161" s="241"/>
      <c r="F161" s="241"/>
      <c r="G161" s="241"/>
      <c r="H161" s="241"/>
      <c r="I161" s="71">
        <f t="shared" si="80"/>
        <v>198347.08333333334</v>
      </c>
      <c r="J161" s="233">
        <f t="shared" ref="J161:AG161" si="81">J57+J91+J126</f>
        <v>11183.333333333334</v>
      </c>
      <c r="K161" s="233">
        <f t="shared" si="81"/>
        <v>6183.3333333333339</v>
      </c>
      <c r="L161" s="233">
        <f t="shared" si="81"/>
        <v>6183.3333333333339</v>
      </c>
      <c r="M161" s="233">
        <f t="shared" si="81"/>
        <v>6183.3333333333339</v>
      </c>
      <c r="N161" s="233">
        <f t="shared" si="81"/>
        <v>6183.3333333333339</v>
      </c>
      <c r="O161" s="233">
        <f t="shared" si="81"/>
        <v>6183.3333333333339</v>
      </c>
      <c r="P161" s="233">
        <f t="shared" si="81"/>
        <v>6183.3333333333339</v>
      </c>
      <c r="Q161" s="233">
        <f t="shared" si="81"/>
        <v>6183.3333333333339</v>
      </c>
      <c r="R161" s="233">
        <f t="shared" si="81"/>
        <v>6183.3333333333339</v>
      </c>
      <c r="S161" s="233">
        <f t="shared" si="81"/>
        <v>6183.3333333333339</v>
      </c>
      <c r="T161" s="233">
        <f t="shared" si="81"/>
        <v>16501.25</v>
      </c>
      <c r="U161" s="233">
        <f t="shared" si="81"/>
        <v>11501.25</v>
      </c>
      <c r="V161" s="233">
        <f t="shared" si="81"/>
        <v>11501.25</v>
      </c>
      <c r="W161" s="233">
        <f t="shared" si="81"/>
        <v>11501.25</v>
      </c>
      <c r="X161" s="233">
        <f t="shared" si="81"/>
        <v>11501.25</v>
      </c>
      <c r="Y161" s="233">
        <f t="shared" si="81"/>
        <v>11501.25</v>
      </c>
      <c r="Z161" s="233">
        <f t="shared" si="81"/>
        <v>11501.25</v>
      </c>
      <c r="AA161" s="233">
        <f t="shared" si="81"/>
        <v>11501.25</v>
      </c>
      <c r="AB161" s="233">
        <f t="shared" si="81"/>
        <v>11501.25</v>
      </c>
      <c r="AC161" s="233">
        <f t="shared" si="81"/>
        <v>11501.25</v>
      </c>
      <c r="AD161" s="233">
        <f t="shared" si="81"/>
        <v>11501.25</v>
      </c>
      <c r="AE161" s="233">
        <f t="shared" si="81"/>
        <v>0</v>
      </c>
      <c r="AF161" s="233">
        <f t="shared" si="81"/>
        <v>0</v>
      </c>
      <c r="AG161" s="233">
        <f t="shared" si="81"/>
        <v>0</v>
      </c>
    </row>
    <row r="162" spans="1:33" s="203" customFormat="1" ht="17.25" customHeight="1" outlineLevel="1">
      <c r="A162" s="894"/>
      <c r="B162" s="241"/>
      <c r="C162" s="40" t="str">
        <f>C23</f>
        <v>Operational Staff</v>
      </c>
      <c r="D162" s="412" t="str">
        <f t="shared" si="79"/>
        <v>USD</v>
      </c>
      <c r="E162" s="241"/>
      <c r="F162" s="241"/>
      <c r="G162" s="241"/>
      <c r="H162" s="241"/>
      <c r="I162" s="71">
        <f t="shared" si="80"/>
        <v>215506.66666666669</v>
      </c>
      <c r="J162" s="233">
        <f t="shared" ref="J162:AG162" si="82">J64+J98+J135</f>
        <v>3933.333333333333</v>
      </c>
      <c r="K162" s="233">
        <f t="shared" si="82"/>
        <v>3933.333333333333</v>
      </c>
      <c r="L162" s="233">
        <f t="shared" si="82"/>
        <v>3933.333333333333</v>
      </c>
      <c r="M162" s="233">
        <f t="shared" si="82"/>
        <v>3933.333333333333</v>
      </c>
      <c r="N162" s="233">
        <f t="shared" si="82"/>
        <v>3933.333333333333</v>
      </c>
      <c r="O162" s="233">
        <f t="shared" si="82"/>
        <v>3933.333333333333</v>
      </c>
      <c r="P162" s="233">
        <f t="shared" si="82"/>
        <v>3933.333333333333</v>
      </c>
      <c r="Q162" s="233">
        <f t="shared" si="82"/>
        <v>12333.333333333332</v>
      </c>
      <c r="R162" s="233">
        <f t="shared" si="82"/>
        <v>12333.333333333332</v>
      </c>
      <c r="S162" s="233">
        <f t="shared" si="82"/>
        <v>12333.333333333332</v>
      </c>
      <c r="T162" s="233">
        <f t="shared" si="82"/>
        <v>12626.666666666668</v>
      </c>
      <c r="U162" s="233">
        <f t="shared" si="82"/>
        <v>12626.666666666668</v>
      </c>
      <c r="V162" s="233">
        <f t="shared" si="82"/>
        <v>12626.666666666668</v>
      </c>
      <c r="W162" s="233">
        <f t="shared" si="82"/>
        <v>12626.666666666668</v>
      </c>
      <c r="X162" s="233">
        <f t="shared" si="82"/>
        <v>12626.666666666668</v>
      </c>
      <c r="Y162" s="233">
        <f t="shared" si="82"/>
        <v>12626.666666666668</v>
      </c>
      <c r="Z162" s="233">
        <f t="shared" si="82"/>
        <v>12626.666666666668</v>
      </c>
      <c r="AA162" s="233">
        <f t="shared" si="82"/>
        <v>12626.666666666668</v>
      </c>
      <c r="AB162" s="233">
        <f t="shared" si="82"/>
        <v>16653.333333333332</v>
      </c>
      <c r="AC162" s="233">
        <f t="shared" si="82"/>
        <v>16653.333333333332</v>
      </c>
      <c r="AD162" s="233">
        <f t="shared" si="82"/>
        <v>16653.333333333332</v>
      </c>
      <c r="AE162" s="233">
        <f t="shared" si="82"/>
        <v>0</v>
      </c>
      <c r="AF162" s="233">
        <f t="shared" si="82"/>
        <v>0</v>
      </c>
      <c r="AG162" s="233">
        <f t="shared" si="82"/>
        <v>0</v>
      </c>
    </row>
    <row r="163" spans="1:33" ht="17.25" customHeight="1" outlineLevel="1">
      <c r="A163" s="894"/>
      <c r="B163" s="241"/>
      <c r="C163" s="40" t="str">
        <f>C30</f>
        <v>Sales, Marketing &amp; Distribution Staff</v>
      </c>
      <c r="D163" s="412" t="str">
        <f t="shared" si="79"/>
        <v>USD</v>
      </c>
      <c r="E163" s="241"/>
      <c r="F163" s="241"/>
      <c r="G163" s="241"/>
      <c r="H163" s="241"/>
      <c r="I163" s="71">
        <f t="shared" si="80"/>
        <v>235050</v>
      </c>
      <c r="J163" s="233">
        <f t="shared" ref="J163:AG163" si="83">J71+J105+J144</f>
        <v>6550</v>
      </c>
      <c r="K163" s="233">
        <f t="shared" si="83"/>
        <v>5050</v>
      </c>
      <c r="L163" s="233">
        <f t="shared" si="83"/>
        <v>5050</v>
      </c>
      <c r="M163" s="233">
        <f t="shared" si="83"/>
        <v>5050</v>
      </c>
      <c r="N163" s="233">
        <f t="shared" si="83"/>
        <v>5050</v>
      </c>
      <c r="O163" s="233">
        <f t="shared" si="83"/>
        <v>11600</v>
      </c>
      <c r="P163" s="233">
        <f t="shared" si="83"/>
        <v>10100</v>
      </c>
      <c r="Q163" s="233">
        <f t="shared" si="83"/>
        <v>10100</v>
      </c>
      <c r="R163" s="233">
        <f t="shared" si="83"/>
        <v>10100</v>
      </c>
      <c r="S163" s="233">
        <f t="shared" si="83"/>
        <v>10100</v>
      </c>
      <c r="T163" s="233">
        <f t="shared" si="83"/>
        <v>10320</v>
      </c>
      <c r="U163" s="233">
        <f t="shared" si="83"/>
        <v>10320</v>
      </c>
      <c r="V163" s="233">
        <f t="shared" si="83"/>
        <v>10320</v>
      </c>
      <c r="W163" s="233">
        <f t="shared" si="83"/>
        <v>16980</v>
      </c>
      <c r="X163" s="233">
        <f t="shared" si="83"/>
        <v>15480</v>
      </c>
      <c r="Y163" s="233">
        <f t="shared" si="83"/>
        <v>15480</v>
      </c>
      <c r="Z163" s="233">
        <f t="shared" si="83"/>
        <v>15480</v>
      </c>
      <c r="AA163" s="233">
        <f t="shared" si="83"/>
        <v>15480</v>
      </c>
      <c r="AB163" s="233">
        <f t="shared" si="83"/>
        <v>15480</v>
      </c>
      <c r="AC163" s="233">
        <f t="shared" si="83"/>
        <v>15480</v>
      </c>
      <c r="AD163" s="233">
        <f t="shared" si="83"/>
        <v>15480</v>
      </c>
      <c r="AE163" s="233">
        <f t="shared" si="83"/>
        <v>0</v>
      </c>
      <c r="AF163" s="233">
        <f t="shared" si="83"/>
        <v>0</v>
      </c>
      <c r="AG163" s="233">
        <f t="shared" si="83"/>
        <v>0</v>
      </c>
    </row>
    <row r="164" spans="1:33" s="241" customFormat="1" ht="17.25" customHeight="1" outlineLevel="1">
      <c r="C164" s="40" t="str">
        <f>C37</f>
        <v>Research &amp; Development</v>
      </c>
      <c r="D164" s="412" t="str">
        <f t="shared" si="79"/>
        <v>USD</v>
      </c>
      <c r="I164" s="71">
        <f t="shared" si="80"/>
        <v>83689</v>
      </c>
      <c r="J164" s="233">
        <f t="shared" ref="J164:AG164" si="84">J78+J112+J153</f>
        <v>0</v>
      </c>
      <c r="K164" s="233">
        <f t="shared" si="84"/>
        <v>0</v>
      </c>
      <c r="L164" s="233">
        <f t="shared" si="84"/>
        <v>0</v>
      </c>
      <c r="M164" s="233">
        <f t="shared" si="84"/>
        <v>0</v>
      </c>
      <c r="N164" s="233">
        <f t="shared" si="84"/>
        <v>0</v>
      </c>
      <c r="O164" s="233">
        <f t="shared" si="84"/>
        <v>6100</v>
      </c>
      <c r="P164" s="233">
        <f t="shared" si="84"/>
        <v>5100</v>
      </c>
      <c r="Q164" s="233">
        <f t="shared" si="84"/>
        <v>5100</v>
      </c>
      <c r="R164" s="233">
        <f t="shared" si="84"/>
        <v>5100</v>
      </c>
      <c r="S164" s="233">
        <f t="shared" si="84"/>
        <v>5100</v>
      </c>
      <c r="T164" s="233">
        <f t="shared" si="84"/>
        <v>5199</v>
      </c>
      <c r="U164" s="233">
        <f t="shared" si="84"/>
        <v>5199</v>
      </c>
      <c r="V164" s="233">
        <f t="shared" si="84"/>
        <v>5199</v>
      </c>
      <c r="W164" s="233">
        <f t="shared" si="84"/>
        <v>5199</v>
      </c>
      <c r="X164" s="233">
        <f t="shared" si="84"/>
        <v>5199</v>
      </c>
      <c r="Y164" s="233">
        <f t="shared" si="84"/>
        <v>5199</v>
      </c>
      <c r="Z164" s="233">
        <f t="shared" si="84"/>
        <v>5199</v>
      </c>
      <c r="AA164" s="233">
        <f t="shared" si="84"/>
        <v>5199</v>
      </c>
      <c r="AB164" s="233">
        <f t="shared" si="84"/>
        <v>5199</v>
      </c>
      <c r="AC164" s="233">
        <f t="shared" si="84"/>
        <v>5199</v>
      </c>
      <c r="AD164" s="233">
        <f t="shared" si="84"/>
        <v>5199</v>
      </c>
      <c r="AE164" s="233">
        <f t="shared" si="84"/>
        <v>0</v>
      </c>
      <c r="AF164" s="233">
        <f t="shared" si="84"/>
        <v>0</v>
      </c>
      <c r="AG164" s="233">
        <f t="shared" si="84"/>
        <v>0</v>
      </c>
    </row>
    <row r="165" spans="1:33" s="241" customFormat="1" ht="17.25" customHeight="1" outlineLevel="1" thickBot="1">
      <c r="C165" s="268" t="str">
        <f>CHOOSE(language,"Total (with direct labour costs)","Total (with direct labor costs)")</f>
        <v>Total (with direct labor costs)</v>
      </c>
      <c r="D165" s="412" t="str">
        <f t="shared" si="79"/>
        <v>USD</v>
      </c>
      <c r="E165" s="894"/>
      <c r="F165" s="894"/>
      <c r="G165" s="894"/>
      <c r="H165" s="894"/>
      <c r="I165" s="141">
        <f t="shared" si="80"/>
        <v>883185.24999999988</v>
      </c>
      <c r="J165" s="712">
        <f>SUM(J160:J164)</f>
        <v>25916.666666666668</v>
      </c>
      <c r="K165" s="712">
        <f t="shared" ref="K165:AG165" si="85">SUM(K160:K164)</f>
        <v>19416.666666666668</v>
      </c>
      <c r="L165" s="712">
        <f t="shared" si="85"/>
        <v>19416.666666666668</v>
      </c>
      <c r="M165" s="712">
        <f t="shared" si="85"/>
        <v>19416.666666666668</v>
      </c>
      <c r="N165" s="712">
        <f t="shared" si="85"/>
        <v>19416.666666666668</v>
      </c>
      <c r="O165" s="712">
        <f t="shared" si="85"/>
        <v>32066.666666666668</v>
      </c>
      <c r="P165" s="712">
        <f t="shared" si="85"/>
        <v>31650</v>
      </c>
      <c r="Q165" s="712">
        <f t="shared" si="85"/>
        <v>42133.333333333336</v>
      </c>
      <c r="R165" s="712">
        <f t="shared" si="85"/>
        <v>42133.333333333336</v>
      </c>
      <c r="S165" s="712">
        <f t="shared" si="85"/>
        <v>42133.333333333336</v>
      </c>
      <c r="T165" s="712">
        <f t="shared" si="85"/>
        <v>53147.75</v>
      </c>
      <c r="U165" s="712">
        <f t="shared" si="85"/>
        <v>48147.75</v>
      </c>
      <c r="V165" s="712">
        <f t="shared" si="85"/>
        <v>48147.75</v>
      </c>
      <c r="W165" s="712">
        <f t="shared" si="85"/>
        <v>54807.75</v>
      </c>
      <c r="X165" s="712">
        <f t="shared" si="85"/>
        <v>53307.75</v>
      </c>
      <c r="Y165" s="712">
        <f t="shared" si="85"/>
        <v>53307.75</v>
      </c>
      <c r="Z165" s="712">
        <f t="shared" si="85"/>
        <v>53307.75</v>
      </c>
      <c r="AA165" s="712">
        <f t="shared" si="85"/>
        <v>53307.75</v>
      </c>
      <c r="AB165" s="712">
        <f t="shared" si="85"/>
        <v>57334.416666666664</v>
      </c>
      <c r="AC165" s="712">
        <f t="shared" si="85"/>
        <v>57334.416666666664</v>
      </c>
      <c r="AD165" s="712">
        <f t="shared" si="85"/>
        <v>57334.416666666664</v>
      </c>
      <c r="AE165" s="712">
        <f t="shared" si="85"/>
        <v>0</v>
      </c>
      <c r="AF165" s="712">
        <f t="shared" si="85"/>
        <v>0</v>
      </c>
      <c r="AG165" s="712">
        <f t="shared" si="85"/>
        <v>0</v>
      </c>
    </row>
    <row r="166" spans="1:33" s="241" customFormat="1" ht="17.25" customHeight="1" outlineLevel="1" thickTop="1"/>
    <row r="167" spans="1:33" s="241" customFormat="1" ht="17.25" customHeight="1"/>
    <row r="168" spans="1:33" s="241" customFormat="1" ht="17.25" customHeight="1"/>
    <row r="169" spans="1:33" s="241" customFormat="1" ht="17.25" customHeight="1"/>
    <row r="170" spans="1:33" s="241" customFormat="1" ht="17.25" customHeight="1"/>
    <row r="171" spans="1:33" s="894" customFormat="1" ht="17.25" customHeight="1"/>
    <row r="172" spans="1:33" s="894" customFormat="1" ht="17.25" customHeight="1"/>
    <row r="173" spans="1:33" s="894" customFormat="1" ht="17.25" customHeight="1"/>
    <row r="174" spans="1:33" s="894" customFormat="1" ht="17.25" customHeight="1"/>
    <row r="175" spans="1:33" s="894" customFormat="1" ht="17.25" customHeight="1"/>
    <row r="176" spans="1:33" s="894" customFormat="1" ht="17.25" customHeight="1"/>
    <row r="177" s="894" customFormat="1" ht="17.25" customHeight="1"/>
    <row r="178" s="894" customFormat="1" ht="17.25" customHeight="1"/>
    <row r="179" s="894" customFormat="1" ht="17.25" customHeight="1"/>
    <row r="180" s="894" customFormat="1" ht="17.25" customHeight="1"/>
    <row r="181" s="894" customFormat="1" ht="17.25" customHeight="1"/>
    <row r="182" s="894" customFormat="1" ht="17.25" customHeight="1"/>
    <row r="183" s="894" customFormat="1" ht="17.25" customHeight="1"/>
    <row r="184" s="894" customFormat="1" ht="17.25" customHeight="1"/>
    <row r="185" s="894" customFormat="1" ht="17.25" customHeight="1"/>
    <row r="186" s="894" customFormat="1" ht="17.25" customHeight="1"/>
    <row r="187" s="894" customFormat="1" ht="17.25" customHeight="1"/>
    <row r="188" s="894" customFormat="1" ht="17.25" customHeight="1"/>
    <row r="189" s="894" customFormat="1" ht="17.25" customHeight="1"/>
    <row r="190" s="894" customFormat="1" ht="17.25" customHeight="1"/>
    <row r="191" s="241" customFormat="1" ht="17.25" customHeight="1"/>
    <row r="192" s="241" customFormat="1" ht="17.25" customHeight="1"/>
    <row r="193" s="241" customFormat="1" ht="17.25" customHeight="1"/>
    <row r="194" s="241" customFormat="1" ht="17.25" customHeight="1"/>
  </sheetData>
  <sheetProtection password="F66A" sheet="1"/>
  <conditionalFormatting sqref="J45:X45">
    <cfRule type="iconSet" priority="162">
      <iconSet iconSet="3Arrows">
        <cfvo type="percent" val="0"/>
        <cfvo type="num" val="0"/>
        <cfvo type="num" val="1"/>
      </iconSet>
    </cfRule>
  </conditionalFormatting>
  <conditionalFormatting sqref="J45:X45">
    <cfRule type="iconSet" priority="161">
      <iconSet iconSet="3Arrows">
        <cfvo type="percent" val="0"/>
        <cfvo type="num" val="0"/>
        <cfvo type="num" val="1"/>
      </iconSet>
    </cfRule>
  </conditionalFormatting>
  <conditionalFormatting sqref="W19:AG19 J17:AG17 J20:AG20 U18:AG18 J24:AG27 J31:AG34 J38:AG41">
    <cfRule type="expression" dxfId="372" priority="60" stopIfTrue="1">
      <formula>J$6=0</formula>
    </cfRule>
  </conditionalFormatting>
  <conditionalFormatting sqref="J18:T18">
    <cfRule type="expression" dxfId="371" priority="59" stopIfTrue="1">
      <formula>J$6=0</formula>
    </cfRule>
  </conditionalFormatting>
  <conditionalFormatting sqref="D3">
    <cfRule type="cellIs" dxfId="370" priority="45" operator="notEqual">
      <formula>0</formula>
    </cfRule>
  </conditionalFormatting>
  <conditionalFormatting sqref="E87">
    <cfRule type="cellIs" dxfId="369" priority="32" stopIfTrue="1" operator="equal">
      <formula>1</formula>
    </cfRule>
  </conditionalFormatting>
  <conditionalFormatting sqref="E88">
    <cfRule type="cellIs" dxfId="368" priority="31" stopIfTrue="1" operator="equal">
      <formula>1</formula>
    </cfRule>
  </conditionalFormatting>
  <conditionalFormatting sqref="E89">
    <cfRule type="cellIs" dxfId="367" priority="30" stopIfTrue="1" operator="equal">
      <formula>1</formula>
    </cfRule>
  </conditionalFormatting>
  <conditionalFormatting sqref="E90">
    <cfRule type="cellIs" dxfId="366" priority="29" stopIfTrue="1" operator="equal">
      <formula>1</formula>
    </cfRule>
  </conditionalFormatting>
  <conditionalFormatting sqref="E95">
    <cfRule type="cellIs" dxfId="365" priority="27" stopIfTrue="1" operator="equal">
      <formula>1</formula>
    </cfRule>
  </conditionalFormatting>
  <conditionalFormatting sqref="E96">
    <cfRule type="cellIs" dxfId="364" priority="26" stopIfTrue="1" operator="equal">
      <formula>1</formula>
    </cfRule>
  </conditionalFormatting>
  <conditionalFormatting sqref="E97">
    <cfRule type="cellIs" dxfId="363" priority="25" stopIfTrue="1" operator="equal">
      <formula>1</formula>
    </cfRule>
  </conditionalFormatting>
  <conditionalFormatting sqref="E101">
    <cfRule type="cellIs" dxfId="362" priority="24" stopIfTrue="1" operator="equal">
      <formula>1</formula>
    </cfRule>
  </conditionalFormatting>
  <conditionalFormatting sqref="E102">
    <cfRule type="cellIs" dxfId="361" priority="23" stopIfTrue="1" operator="equal">
      <formula>1</formula>
    </cfRule>
  </conditionalFormatting>
  <conditionalFormatting sqref="E103">
    <cfRule type="cellIs" dxfId="360" priority="22" stopIfTrue="1" operator="equal">
      <formula>1</formula>
    </cfRule>
  </conditionalFormatting>
  <conditionalFormatting sqref="E104">
    <cfRule type="cellIs" dxfId="359" priority="21" stopIfTrue="1" operator="equal">
      <formula>1</formula>
    </cfRule>
  </conditionalFormatting>
  <conditionalFormatting sqref="E108">
    <cfRule type="cellIs" dxfId="358" priority="20" stopIfTrue="1" operator="equal">
      <formula>1</formula>
    </cfRule>
  </conditionalFormatting>
  <conditionalFormatting sqref="E109">
    <cfRule type="cellIs" dxfId="357" priority="19" stopIfTrue="1" operator="equal">
      <formula>1</formula>
    </cfRule>
  </conditionalFormatting>
  <conditionalFormatting sqref="E110">
    <cfRule type="cellIs" dxfId="356" priority="18" stopIfTrue="1" operator="equal">
      <formula>1</formula>
    </cfRule>
  </conditionalFormatting>
  <conditionalFormatting sqref="E111">
    <cfRule type="cellIs" dxfId="355" priority="17" stopIfTrue="1" operator="equal">
      <formula>1</formula>
    </cfRule>
  </conditionalFormatting>
  <conditionalFormatting sqref="E94">
    <cfRule type="cellIs" dxfId="354" priority="16" stopIfTrue="1" operator="equal">
      <formula>1</formula>
    </cfRule>
  </conditionalFormatting>
  <conditionalFormatting sqref="J19:V19">
    <cfRule type="expression" dxfId="353" priority="15" stopIfTrue="1">
      <formula>J$6=0</formula>
    </cfRule>
  </conditionalFormatting>
  <conditionalFormatting sqref="K19:V19">
    <cfRule type="expression" dxfId="352" priority="14" stopIfTrue="1">
      <formula>K$6=0</formula>
    </cfRule>
  </conditionalFormatting>
  <conditionalFormatting sqref="Y45:AG45">
    <cfRule type="iconSet" priority="3742">
      <iconSet iconSet="3Arrows">
        <cfvo type="percent" val="0"/>
        <cfvo type="num" val="0"/>
        <cfvo type="num" val="1"/>
      </iconSet>
    </cfRule>
  </conditionalFormatting>
  <conditionalFormatting sqref="K6:L6">
    <cfRule type="cellIs" dxfId="351" priority="9" stopIfTrue="1" operator="equal">
      <formula>1</formula>
    </cfRule>
  </conditionalFormatting>
  <conditionalFormatting sqref="J4">
    <cfRule type="expression" dxfId="350" priority="8" stopIfTrue="1">
      <formula>J$6=1</formula>
    </cfRule>
  </conditionalFormatting>
  <conditionalFormatting sqref="M6:Q6">
    <cfRule type="cellIs" dxfId="349" priority="7" stopIfTrue="1" operator="equal">
      <formula>1</formula>
    </cfRule>
  </conditionalFormatting>
  <conditionalFormatting sqref="J5">
    <cfRule type="expression" dxfId="348" priority="6" stopIfTrue="1">
      <formula>J$6=1</formula>
    </cfRule>
  </conditionalFormatting>
  <conditionalFormatting sqref="R6:AG6">
    <cfRule type="cellIs" dxfId="347" priority="5" stopIfTrue="1" operator="equal">
      <formula>1</formula>
    </cfRule>
  </conditionalFormatting>
  <conditionalFormatting sqref="J6:AG6">
    <cfRule type="cellIs" dxfId="346" priority="4" stopIfTrue="1" operator="equal">
      <formula>1</formula>
    </cfRule>
  </conditionalFormatting>
  <conditionalFormatting sqref="K4:AG4">
    <cfRule type="expression" dxfId="345" priority="3" stopIfTrue="1">
      <formula>K$6=1</formula>
    </cfRule>
  </conditionalFormatting>
  <conditionalFormatting sqref="L5:AG5">
    <cfRule type="expression" dxfId="344" priority="2" stopIfTrue="1">
      <formula>L$6=1</formula>
    </cfRule>
  </conditionalFormatting>
  <conditionalFormatting sqref="K5:AG5">
    <cfRule type="expression" dxfId="343" priority="1" stopIfTrue="1">
      <formula>K$6=1</formula>
    </cfRule>
  </conditionalFormatting>
  <dataValidations count="1">
    <dataValidation type="list" allowBlank="1" showInputMessage="1" showErrorMessage="1" sqref="E38:E41 E17:E20 E24:E27 E31:E34">
      <formula1>"1,0"</formula1>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Kosten01">
    <tabColor rgb="FFFFFF00"/>
    <pageSetUpPr autoPageBreaks="0"/>
  </sheetPr>
  <dimension ref="A1:BU255"/>
  <sheetViews>
    <sheetView showGridLines="0" zoomScaleNormal="100" zoomScaleSheetLayoutView="85"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1"/>
  <cols>
    <col min="1" max="1" width="3.42578125" style="117" customWidth="1"/>
    <col min="2" max="2" width="4.140625" style="117" customWidth="1"/>
    <col min="3" max="3" width="56" style="117" customWidth="1"/>
    <col min="4" max="4" width="16.5703125" style="117" customWidth="1"/>
    <col min="5" max="5" width="12.28515625" style="117" customWidth="1"/>
    <col min="6" max="8" width="11" style="117" customWidth="1"/>
    <col min="9" max="33" width="11.42578125" style="117" customWidth="1"/>
    <col min="34" max="73" width="0" style="117" hidden="1" customWidth="1"/>
    <col min="74" max="16384" width="11.42578125" style="117" hidden="1"/>
  </cols>
  <sheetData>
    <row r="1" spans="1:33" ht="20.25">
      <c r="A1" s="41" t="s">
        <v>256</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c r="A7" s="894"/>
      <c r="B7" s="241"/>
      <c r="C7" s="241" t="str">
        <f>Timing!C17</f>
        <v>Month of model</v>
      </c>
      <c r="D7" s="275" t="str">
        <f>Timing!D17</f>
        <v>#</v>
      </c>
      <c r="E7" s="241"/>
      <c r="F7" s="241"/>
      <c r="G7" s="241"/>
      <c r="H7" s="241"/>
      <c r="I7" s="241"/>
      <c r="J7" s="241">
        <f>Timing!J17</f>
        <v>1</v>
      </c>
      <c r="K7" s="241">
        <f>Timing!K17</f>
        <v>2</v>
      </c>
      <c r="L7" s="241">
        <f>Timing!L17</f>
        <v>3</v>
      </c>
      <c r="M7" s="241">
        <f>Timing!M17</f>
        <v>4</v>
      </c>
      <c r="N7" s="241">
        <f>Timing!N17</f>
        <v>5</v>
      </c>
      <c r="O7" s="241">
        <f>Timing!O17</f>
        <v>6</v>
      </c>
      <c r="P7" s="241">
        <f>Timing!P17</f>
        <v>7</v>
      </c>
      <c r="Q7" s="241">
        <f>Timing!Q17</f>
        <v>8</v>
      </c>
      <c r="R7" s="241">
        <f>Timing!R17</f>
        <v>9</v>
      </c>
      <c r="S7" s="241">
        <f>Timing!S17</f>
        <v>10</v>
      </c>
      <c r="T7" s="241">
        <f>Timing!T17</f>
        <v>11</v>
      </c>
      <c r="U7" s="241">
        <f>Timing!U17</f>
        <v>12</v>
      </c>
      <c r="V7" s="241">
        <f>Timing!V17</f>
        <v>13</v>
      </c>
      <c r="W7" s="241">
        <f>Timing!W17</f>
        <v>14</v>
      </c>
      <c r="X7" s="241">
        <f>Timing!X17</f>
        <v>15</v>
      </c>
      <c r="Y7" s="241">
        <f>Timing!Y17</f>
        <v>16</v>
      </c>
      <c r="Z7" s="241">
        <f>Timing!Z17</f>
        <v>17</v>
      </c>
      <c r="AA7" s="241">
        <f>Timing!AA17</f>
        <v>18</v>
      </c>
      <c r="AB7" s="241">
        <f>Timing!AB17</f>
        <v>19</v>
      </c>
      <c r="AC7" s="241">
        <f>Timing!AC17</f>
        <v>20</v>
      </c>
      <c r="AD7" s="241">
        <f>Timing!AD17</f>
        <v>21</v>
      </c>
      <c r="AE7" s="241">
        <f>Timing!AE17</f>
        <v>22</v>
      </c>
      <c r="AF7" s="241">
        <f>Timing!AF17</f>
        <v>23</v>
      </c>
      <c r="AG7" s="241">
        <f>Timing!AG17</f>
        <v>24</v>
      </c>
    </row>
    <row r="8" spans="1:33" s="203" customFormat="1">
      <c r="A8" s="894"/>
      <c r="B8" s="241"/>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row>
    <row r="9" spans="1:33" s="203" customFormat="1">
      <c r="A9" s="894"/>
      <c r="B9" s="241"/>
      <c r="C9" s="241"/>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row>
    <row r="10" spans="1:33" ht="24" customHeight="1" thickBot="1">
      <c r="A10" s="323"/>
      <c r="B10" s="323"/>
      <c r="C10" s="323" t="s">
        <v>246</v>
      </c>
      <c r="D10" s="323"/>
      <c r="E10" s="323"/>
      <c r="F10" s="323"/>
      <c r="G10" s="323"/>
      <c r="H10" s="323"/>
      <c r="I10" s="323"/>
      <c r="J10" s="323"/>
      <c r="K10" s="323"/>
      <c r="L10" s="323"/>
      <c r="M10" s="323"/>
      <c r="N10" s="323"/>
      <c r="O10" s="323"/>
      <c r="P10" s="323"/>
      <c r="Q10" s="323"/>
      <c r="R10" s="323"/>
      <c r="S10" s="323"/>
      <c r="T10" s="323"/>
      <c r="U10" s="323"/>
      <c r="V10" s="323"/>
      <c r="W10" s="323"/>
      <c r="X10" s="323"/>
      <c r="Y10" s="323"/>
      <c r="Z10" s="323"/>
      <c r="AA10" s="323"/>
      <c r="AB10" s="323"/>
      <c r="AC10" s="323"/>
      <c r="AD10" s="323"/>
      <c r="AE10" s="323"/>
      <c r="AF10" s="323"/>
      <c r="AG10" s="323"/>
    </row>
    <row r="11" spans="1:33" s="130" customFormat="1" ht="19.5" customHeight="1" outlineLevel="1">
      <c r="A11" s="894"/>
      <c r="B11" s="279" t="s">
        <v>33</v>
      </c>
      <c r="C11" s="279" t="s">
        <v>215</v>
      </c>
      <c r="D11" s="241"/>
      <c r="E11" s="241"/>
      <c r="F11" s="325"/>
      <c r="G11" s="241"/>
      <c r="H11" s="241"/>
      <c r="I11" s="241"/>
      <c r="J11" s="325" t="s">
        <v>207</v>
      </c>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row>
    <row r="12" spans="1:33" s="130" customFormat="1" ht="19.5" customHeight="1" outlineLevel="1">
      <c r="A12" s="894"/>
      <c r="B12" s="241"/>
      <c r="C12" s="24" t="str">
        <f>Product_01</f>
        <v>Desktops</v>
      </c>
      <c r="D12" s="8" t="str">
        <f t="shared" ref="D12:D22" si="0">Currency_Label</f>
        <v>USD</v>
      </c>
      <c r="E12" s="241"/>
      <c r="F12" s="241"/>
      <c r="G12" s="241"/>
      <c r="H12" s="241"/>
      <c r="I12" s="71">
        <f t="shared" ref="I12:I22" si="1">SUMPRODUCT((J$6:AG$6),(J12:AG12))</f>
        <v>0</v>
      </c>
      <c r="J12" s="269"/>
      <c r="K12" s="269"/>
      <c r="L12" s="269"/>
      <c r="M12" s="269"/>
      <c r="N12" s="269"/>
      <c r="O12" s="269"/>
      <c r="P12" s="269"/>
      <c r="Q12" s="269"/>
      <c r="R12" s="269"/>
      <c r="S12" s="269"/>
      <c r="T12" s="269"/>
      <c r="U12" s="269"/>
      <c r="V12" s="269"/>
      <c r="W12" s="269"/>
      <c r="X12" s="269"/>
      <c r="Y12" s="269"/>
      <c r="Z12" s="269"/>
      <c r="AA12" s="269"/>
      <c r="AB12" s="269"/>
      <c r="AC12" s="269"/>
      <c r="AD12" s="269"/>
      <c r="AE12" s="269"/>
      <c r="AF12" s="269"/>
      <c r="AG12" s="269"/>
    </row>
    <row r="13" spans="1:33" s="130" customFormat="1" ht="19.5" customHeight="1" outlineLevel="1">
      <c r="A13" s="894"/>
      <c r="B13" s="241"/>
      <c r="C13" s="24" t="str">
        <f>Product_02</f>
        <v>Workstations</v>
      </c>
      <c r="D13" s="8" t="str">
        <f t="shared" si="0"/>
        <v>USD</v>
      </c>
      <c r="E13" s="241"/>
      <c r="F13" s="241"/>
      <c r="G13" s="241"/>
      <c r="H13" s="241"/>
      <c r="I13" s="71">
        <f t="shared" si="1"/>
        <v>0</v>
      </c>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row>
    <row r="14" spans="1:33" s="649" customFormat="1" ht="19.5" customHeight="1" outlineLevel="1">
      <c r="A14" s="894"/>
      <c r="B14" s="287"/>
      <c r="C14" s="24" t="str">
        <f>Product_03</f>
        <v>Notebooks</v>
      </c>
      <c r="D14" s="8" t="str">
        <f t="shared" si="0"/>
        <v>USD</v>
      </c>
      <c r="E14" s="287"/>
      <c r="F14" s="287"/>
      <c r="G14" s="287"/>
      <c r="H14" s="287"/>
      <c r="I14" s="71">
        <f t="shared" si="1"/>
        <v>0</v>
      </c>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row>
    <row r="15" spans="1:33" s="649" customFormat="1" ht="19.5" customHeight="1" outlineLevel="1">
      <c r="A15" s="894"/>
      <c r="B15" s="287"/>
      <c r="C15" s="24" t="str">
        <f>Product_04</f>
        <v>Software Products</v>
      </c>
      <c r="D15" s="8" t="str">
        <f t="shared" si="0"/>
        <v>USD</v>
      </c>
      <c r="E15" s="287"/>
      <c r="F15" s="287"/>
      <c r="G15" s="287"/>
      <c r="H15" s="287"/>
      <c r="I15" s="71">
        <f t="shared" si="1"/>
        <v>0</v>
      </c>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row>
    <row r="16" spans="1:33" s="649" customFormat="1" ht="19.5" customHeight="1" outlineLevel="1">
      <c r="A16" s="894"/>
      <c r="B16" s="287"/>
      <c r="C16" s="24" t="str">
        <f>Product_05</f>
        <v>Net work infrastructure solutions</v>
      </c>
      <c r="D16" s="8" t="str">
        <f t="shared" si="0"/>
        <v>USD</v>
      </c>
      <c r="E16" s="287"/>
      <c r="F16" s="287"/>
      <c r="G16" s="287"/>
      <c r="H16" s="287"/>
      <c r="I16" s="71">
        <f t="shared" si="1"/>
        <v>0</v>
      </c>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row>
    <row r="17" spans="1:33" s="649" customFormat="1" ht="19.5" customHeight="1" outlineLevel="1">
      <c r="A17" s="894"/>
      <c r="B17" s="287"/>
      <c r="C17" s="24" t="str">
        <f>Product_06</f>
        <v>Repair Services</v>
      </c>
      <c r="D17" s="8" t="str">
        <f t="shared" si="0"/>
        <v>USD</v>
      </c>
      <c r="E17" s="287"/>
      <c r="F17" s="287"/>
      <c r="G17" s="287"/>
      <c r="H17" s="287"/>
      <c r="I17" s="71">
        <f t="shared" si="1"/>
        <v>0</v>
      </c>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row>
    <row r="18" spans="1:33" s="649" customFormat="1" ht="19.5" customHeight="1" outlineLevel="1">
      <c r="A18" s="894"/>
      <c r="B18" s="287"/>
      <c r="C18" s="24" t="str">
        <f>Product_07</f>
        <v>Integration Services</v>
      </c>
      <c r="D18" s="8" t="str">
        <f t="shared" si="0"/>
        <v>USD</v>
      </c>
      <c r="E18" s="287"/>
      <c r="F18" s="287"/>
      <c r="G18" s="287"/>
      <c r="H18" s="287"/>
      <c r="I18" s="71">
        <f t="shared" si="1"/>
        <v>0</v>
      </c>
      <c r="J18" s="269"/>
      <c r="K18" s="269"/>
      <c r="L18" s="269"/>
      <c r="M18" s="269"/>
      <c r="N18" s="269"/>
      <c r="O18" s="269"/>
      <c r="P18" s="269"/>
      <c r="Q18" s="269"/>
      <c r="R18" s="269"/>
      <c r="S18" s="269"/>
      <c r="T18" s="269"/>
      <c r="U18" s="269"/>
      <c r="V18" s="269"/>
      <c r="W18" s="269"/>
      <c r="X18" s="269"/>
      <c r="Y18" s="269"/>
      <c r="Z18" s="269"/>
      <c r="AA18" s="269"/>
      <c r="AB18" s="269"/>
      <c r="AC18" s="269"/>
      <c r="AD18" s="269"/>
      <c r="AE18" s="269"/>
      <c r="AF18" s="269"/>
      <c r="AG18" s="269"/>
    </row>
    <row r="19" spans="1:33" s="649" customFormat="1" ht="19.5" customHeight="1" outlineLevel="1">
      <c r="A19" s="894"/>
      <c r="B19" s="287"/>
      <c r="C19" s="24" t="str">
        <f>Product_08</f>
        <v>Consulting Services</v>
      </c>
      <c r="D19" s="8" t="str">
        <f t="shared" si="0"/>
        <v>USD</v>
      </c>
      <c r="E19" s="287"/>
      <c r="F19" s="287"/>
      <c r="G19" s="287"/>
      <c r="H19" s="287"/>
      <c r="I19" s="71">
        <f t="shared" si="1"/>
        <v>0</v>
      </c>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row>
    <row r="20" spans="1:33" s="130" customFormat="1" ht="19.5" customHeight="1" outlineLevel="1">
      <c r="A20" s="894"/>
      <c r="B20" s="241"/>
      <c r="C20" s="24" t="str">
        <f>Product_09</f>
        <v>Spare Parts</v>
      </c>
      <c r="D20" s="8" t="str">
        <f t="shared" si="0"/>
        <v>USD</v>
      </c>
      <c r="E20" s="241"/>
      <c r="F20" s="241"/>
      <c r="G20" s="241"/>
      <c r="H20" s="241"/>
      <c r="I20" s="71">
        <f t="shared" si="1"/>
        <v>0</v>
      </c>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row>
    <row r="21" spans="1:33" s="130" customFormat="1" ht="19.5" customHeight="1" outlineLevel="1">
      <c r="A21" s="894"/>
      <c r="B21" s="241"/>
      <c r="C21" s="24" t="str">
        <f>Product_10</f>
        <v>License Fees</v>
      </c>
      <c r="D21" s="8" t="str">
        <f t="shared" si="0"/>
        <v>USD</v>
      </c>
      <c r="E21" s="241"/>
      <c r="F21" s="241"/>
      <c r="G21" s="241"/>
      <c r="H21" s="241"/>
      <c r="I21" s="71">
        <f t="shared" si="1"/>
        <v>0</v>
      </c>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row>
    <row r="22" spans="1:33" s="130" customFormat="1" ht="19.5" customHeight="1" outlineLevel="1">
      <c r="A22" s="894"/>
      <c r="B22" s="241"/>
      <c r="C22" s="121" t="s">
        <v>237</v>
      </c>
      <c r="D22" s="8" t="str">
        <f t="shared" si="0"/>
        <v>USD</v>
      </c>
      <c r="E22" s="241"/>
      <c r="F22" s="241"/>
      <c r="G22" s="241"/>
      <c r="H22" s="241"/>
      <c r="I22" s="71">
        <f t="shared" si="1"/>
        <v>0</v>
      </c>
      <c r="J22" s="690">
        <f t="shared" ref="J22:AG22" si="2">SUM(J12:J21)</f>
        <v>0</v>
      </c>
      <c r="K22" s="690">
        <f t="shared" si="2"/>
        <v>0</v>
      </c>
      <c r="L22" s="690">
        <f t="shared" si="2"/>
        <v>0</v>
      </c>
      <c r="M22" s="690">
        <f t="shared" si="2"/>
        <v>0</v>
      </c>
      <c r="N22" s="690">
        <f t="shared" si="2"/>
        <v>0</v>
      </c>
      <c r="O22" s="690">
        <f t="shared" si="2"/>
        <v>0</v>
      </c>
      <c r="P22" s="690">
        <f t="shared" si="2"/>
        <v>0</v>
      </c>
      <c r="Q22" s="690">
        <f t="shared" si="2"/>
        <v>0</v>
      </c>
      <c r="R22" s="690">
        <f t="shared" si="2"/>
        <v>0</v>
      </c>
      <c r="S22" s="690">
        <f t="shared" si="2"/>
        <v>0</v>
      </c>
      <c r="T22" s="690">
        <f t="shared" si="2"/>
        <v>0</v>
      </c>
      <c r="U22" s="690">
        <f t="shared" si="2"/>
        <v>0</v>
      </c>
      <c r="V22" s="690">
        <f t="shared" si="2"/>
        <v>0</v>
      </c>
      <c r="W22" s="690">
        <f t="shared" si="2"/>
        <v>0</v>
      </c>
      <c r="X22" s="690">
        <f t="shared" si="2"/>
        <v>0</v>
      </c>
      <c r="Y22" s="690">
        <f t="shared" si="2"/>
        <v>0</v>
      </c>
      <c r="Z22" s="690">
        <f t="shared" si="2"/>
        <v>0</v>
      </c>
      <c r="AA22" s="690">
        <f t="shared" si="2"/>
        <v>0</v>
      </c>
      <c r="AB22" s="690">
        <f t="shared" si="2"/>
        <v>0</v>
      </c>
      <c r="AC22" s="690">
        <f t="shared" si="2"/>
        <v>0</v>
      </c>
      <c r="AD22" s="690">
        <f t="shared" si="2"/>
        <v>0</v>
      </c>
      <c r="AE22" s="690">
        <f t="shared" si="2"/>
        <v>0</v>
      </c>
      <c r="AF22" s="690">
        <f t="shared" si="2"/>
        <v>0</v>
      </c>
      <c r="AG22" s="690">
        <f t="shared" si="2"/>
        <v>0</v>
      </c>
    </row>
    <row r="23" spans="1:33" s="130" customFormat="1" ht="19.5" customHeight="1" outlineLevel="1">
      <c r="A23" s="894"/>
      <c r="B23" s="241"/>
      <c r="C23" s="326"/>
      <c r="D23" s="241"/>
      <c r="E23" s="241"/>
      <c r="F23" s="241"/>
      <c r="G23" s="241"/>
      <c r="H23" s="241"/>
      <c r="I23" s="241"/>
      <c r="J23" s="241"/>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row>
    <row r="24" spans="1:33" s="130" customFormat="1" ht="19.5" customHeight="1" outlineLevel="1">
      <c r="A24" s="894"/>
      <c r="B24" s="279" t="s">
        <v>34</v>
      </c>
      <c r="C24" s="279" t="s">
        <v>234</v>
      </c>
      <c r="D24" s="241"/>
      <c r="E24" s="241"/>
      <c r="F24" s="325"/>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row>
    <row r="25" spans="1:33" s="649" customFormat="1" ht="17.25" customHeight="1" outlineLevel="1">
      <c r="A25" s="894"/>
      <c r="B25" s="287"/>
      <c r="C25" s="273" t="str">
        <f>Product_01</f>
        <v>Desktops</v>
      </c>
      <c r="D25" s="328" t="s">
        <v>235</v>
      </c>
      <c r="E25" s="287"/>
      <c r="F25" s="287"/>
      <c r="G25" s="287"/>
      <c r="H25" s="287"/>
      <c r="I25" s="287"/>
      <c r="J25" s="325" t="s">
        <v>207</v>
      </c>
      <c r="K25" s="287"/>
      <c r="L25" s="287"/>
      <c r="M25" s="287"/>
      <c r="N25" s="287"/>
      <c r="O25" s="287"/>
      <c r="P25" s="287"/>
      <c r="Q25" s="287"/>
      <c r="R25" s="287"/>
      <c r="S25" s="287"/>
      <c r="T25" s="287"/>
      <c r="U25" s="287"/>
      <c r="V25" s="287"/>
      <c r="W25" s="287"/>
      <c r="X25" s="287"/>
      <c r="Y25" s="287"/>
      <c r="Z25" s="287"/>
      <c r="AA25" s="287"/>
      <c r="AB25" s="287"/>
      <c r="AC25" s="287"/>
      <c r="AD25" s="287"/>
      <c r="AE25" s="287"/>
      <c r="AF25" s="287"/>
      <c r="AG25" s="287"/>
    </row>
    <row r="26" spans="1:33" s="130" customFormat="1" ht="19.5" customHeight="1" outlineLevel="1">
      <c r="A26" s="894"/>
      <c r="B26" s="528"/>
      <c r="C26" s="24" t="str">
        <f>"Sales quantity: "&amp;C25</f>
        <v>Sales quantity: Desktops</v>
      </c>
      <c r="D26" s="8" t="s">
        <v>208</v>
      </c>
      <c r="E26" s="241"/>
      <c r="F26" s="241"/>
      <c r="G26" s="241"/>
      <c r="H26" s="241"/>
      <c r="I26" s="71">
        <f>SUMPRODUCT((J$6:AG$6),(J26:AG26))</f>
        <v>726</v>
      </c>
      <c r="J26" s="70">
        <f>Sales!J25*J6</f>
        <v>35</v>
      </c>
      <c r="K26" s="70">
        <f>Sales!K25*K6</f>
        <v>37</v>
      </c>
      <c r="L26" s="70">
        <f>Sales!L25*L6</f>
        <v>37</v>
      </c>
      <c r="M26" s="70">
        <f>Sales!M25*M6</f>
        <v>37</v>
      </c>
      <c r="N26" s="70">
        <f>Sales!N25*N6</f>
        <v>37</v>
      </c>
      <c r="O26" s="70">
        <f>Sales!O25*O6</f>
        <v>37</v>
      </c>
      <c r="P26" s="70">
        <f>Sales!P25*P6</f>
        <v>37</v>
      </c>
      <c r="Q26" s="70">
        <f>Sales!Q25*Q6</f>
        <v>33</v>
      </c>
      <c r="R26" s="70">
        <f>Sales!R25*R6</f>
        <v>33</v>
      </c>
      <c r="S26" s="70">
        <f>Sales!S25*S6</f>
        <v>33</v>
      </c>
      <c r="T26" s="70">
        <f>Sales!T25*T6</f>
        <v>33</v>
      </c>
      <c r="U26" s="70">
        <f>Sales!U25*U6</f>
        <v>33</v>
      </c>
      <c r="V26" s="70">
        <f>Sales!V25*V6</f>
        <v>33</v>
      </c>
      <c r="W26" s="70">
        <f>Sales!W25*W6</f>
        <v>33</v>
      </c>
      <c r="X26" s="70">
        <f>Sales!X25*X6</f>
        <v>33</v>
      </c>
      <c r="Y26" s="70">
        <f>Sales!Y25*Y6</f>
        <v>33</v>
      </c>
      <c r="Z26" s="70">
        <f>Sales!Z25*Z6</f>
        <v>33</v>
      </c>
      <c r="AA26" s="70">
        <f>Sales!AA25*AA6</f>
        <v>33</v>
      </c>
      <c r="AB26" s="70">
        <f>Sales!AB25*AB6</f>
        <v>33</v>
      </c>
      <c r="AC26" s="70">
        <f>Sales!AC25*AC6</f>
        <v>33</v>
      </c>
      <c r="AD26" s="70">
        <f>Sales!AD25*AD6</f>
        <v>40</v>
      </c>
      <c r="AE26" s="70">
        <f>Sales!AE25*AE6</f>
        <v>0</v>
      </c>
      <c r="AF26" s="70">
        <f>Sales!AF25*AF6</f>
        <v>0</v>
      </c>
      <c r="AG26" s="70">
        <f>Sales!AG25*AG6</f>
        <v>0</v>
      </c>
    </row>
    <row r="27" spans="1:33" s="130" customFormat="1" ht="19.5" customHeight="1" outlineLevel="1">
      <c r="A27" s="894"/>
      <c r="B27" s="528"/>
      <c r="C27" s="24" t="str">
        <f>"   Cost of Materials/Goods: "&amp;C25 &amp;" (per unit)"</f>
        <v xml:space="preserve">   Cost of Materials/Goods: Desktops (per unit)</v>
      </c>
      <c r="D27" s="8" t="str">
        <f>Currency_Label &amp;"/per unit"</f>
        <v>USD/per unit</v>
      </c>
      <c r="E27" s="241"/>
      <c r="F27" s="241"/>
      <c r="G27" s="241"/>
      <c r="H27" s="241"/>
      <c r="I27" s="241"/>
      <c r="J27" s="270">
        <v>600</v>
      </c>
      <c r="K27" s="270">
        <v>600</v>
      </c>
      <c r="L27" s="270">
        <v>600</v>
      </c>
      <c r="M27" s="270">
        <v>600</v>
      </c>
      <c r="N27" s="270">
        <v>600</v>
      </c>
      <c r="O27" s="270">
        <v>600</v>
      </c>
      <c r="P27" s="270">
        <v>600</v>
      </c>
      <c r="Q27" s="270">
        <v>600</v>
      </c>
      <c r="R27" s="270">
        <v>600</v>
      </c>
      <c r="S27" s="270">
        <v>600</v>
      </c>
      <c r="T27" s="270">
        <v>600</v>
      </c>
      <c r="U27" s="270">
        <v>600</v>
      </c>
      <c r="V27" s="270">
        <v>600</v>
      </c>
      <c r="W27" s="270">
        <v>600</v>
      </c>
      <c r="X27" s="270">
        <v>600</v>
      </c>
      <c r="Y27" s="270">
        <v>600</v>
      </c>
      <c r="Z27" s="270">
        <v>600</v>
      </c>
      <c r="AA27" s="270">
        <v>600</v>
      </c>
      <c r="AB27" s="270">
        <v>600</v>
      </c>
      <c r="AC27" s="270">
        <v>600</v>
      </c>
      <c r="AD27" s="270">
        <v>600</v>
      </c>
      <c r="AE27" s="270">
        <v>600</v>
      </c>
      <c r="AF27" s="270">
        <v>600</v>
      </c>
      <c r="AG27" s="270">
        <v>600</v>
      </c>
    </row>
    <row r="28" spans="1:33" s="649" customFormat="1" ht="19.5" customHeight="1" outlineLevel="1">
      <c r="A28" s="894"/>
      <c r="B28" s="528"/>
      <c r="C28" s="24" t="str">
        <f>"Cost of Materials/Goods: "&amp;C25</f>
        <v>Cost of Materials/Goods: Desktops</v>
      </c>
      <c r="D28" s="8" t="str">
        <f>Currency_Label</f>
        <v>USD</v>
      </c>
      <c r="E28" s="287"/>
      <c r="F28" s="287"/>
      <c r="G28" s="287"/>
      <c r="H28" s="287"/>
      <c r="I28" s="71">
        <f>SUM(J28:AG28)</f>
        <v>435600</v>
      </c>
      <c r="J28" s="690">
        <f t="shared" ref="J28:AG28" si="3">J26*J27*J$6</f>
        <v>21000</v>
      </c>
      <c r="K28" s="690">
        <f t="shared" si="3"/>
        <v>22200</v>
      </c>
      <c r="L28" s="690">
        <f t="shared" si="3"/>
        <v>22200</v>
      </c>
      <c r="M28" s="690">
        <f t="shared" si="3"/>
        <v>22200</v>
      </c>
      <c r="N28" s="690">
        <f t="shared" si="3"/>
        <v>22200</v>
      </c>
      <c r="O28" s="690">
        <f t="shared" si="3"/>
        <v>22200</v>
      </c>
      <c r="P28" s="690">
        <f t="shared" si="3"/>
        <v>22200</v>
      </c>
      <c r="Q28" s="690">
        <f t="shared" si="3"/>
        <v>19800</v>
      </c>
      <c r="R28" s="690">
        <f t="shared" si="3"/>
        <v>19800</v>
      </c>
      <c r="S28" s="690">
        <f t="shared" si="3"/>
        <v>19800</v>
      </c>
      <c r="T28" s="690">
        <f t="shared" si="3"/>
        <v>19800</v>
      </c>
      <c r="U28" s="690">
        <f t="shared" si="3"/>
        <v>19800</v>
      </c>
      <c r="V28" s="690">
        <f t="shared" si="3"/>
        <v>19800</v>
      </c>
      <c r="W28" s="690">
        <f t="shared" si="3"/>
        <v>19800</v>
      </c>
      <c r="X28" s="690">
        <f t="shared" si="3"/>
        <v>19800</v>
      </c>
      <c r="Y28" s="690">
        <f t="shared" si="3"/>
        <v>19800</v>
      </c>
      <c r="Z28" s="690">
        <f t="shared" si="3"/>
        <v>19800</v>
      </c>
      <c r="AA28" s="690">
        <f t="shared" si="3"/>
        <v>19800</v>
      </c>
      <c r="AB28" s="690">
        <f t="shared" si="3"/>
        <v>19800</v>
      </c>
      <c r="AC28" s="690">
        <f t="shared" si="3"/>
        <v>19800</v>
      </c>
      <c r="AD28" s="690">
        <f t="shared" si="3"/>
        <v>24000</v>
      </c>
      <c r="AE28" s="690">
        <f t="shared" si="3"/>
        <v>0</v>
      </c>
      <c r="AF28" s="690">
        <f t="shared" si="3"/>
        <v>0</v>
      </c>
      <c r="AG28" s="690">
        <f t="shared" si="3"/>
        <v>0</v>
      </c>
    </row>
    <row r="29" spans="1:33" s="649" customFormat="1" ht="19.5" customHeight="1" outlineLevel="1">
      <c r="A29" s="894"/>
      <c r="B29" s="528"/>
      <c r="C29" s="273" t="str">
        <f>Product_02</f>
        <v>Workstations</v>
      </c>
      <c r="D29" s="287"/>
      <c r="E29" s="287"/>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row>
    <row r="30" spans="1:33" s="130" customFormat="1" ht="19.5" customHeight="1" outlineLevel="1">
      <c r="A30" s="894"/>
      <c r="B30" s="528"/>
      <c r="C30" s="24" t="str">
        <f>"Sales quantity: "&amp;C29</f>
        <v>Sales quantity: Workstations</v>
      </c>
      <c r="D30" s="8" t="s">
        <v>208</v>
      </c>
      <c r="E30" s="287"/>
      <c r="F30" s="241"/>
      <c r="G30" s="241"/>
      <c r="H30" s="241"/>
      <c r="I30" s="71">
        <f>SUMPRODUCT((J$6:AG$6),(J30:AG30))</f>
        <v>230</v>
      </c>
      <c r="J30" s="70">
        <f>Sales!J29*J6</f>
        <v>8</v>
      </c>
      <c r="K30" s="70">
        <f>Sales!K29*K6</f>
        <v>10</v>
      </c>
      <c r="L30" s="70">
        <f>Sales!L29*L6</f>
        <v>10</v>
      </c>
      <c r="M30" s="70">
        <f>Sales!M29*M6</f>
        <v>10</v>
      </c>
      <c r="N30" s="70">
        <f>Sales!N29*N6</f>
        <v>10</v>
      </c>
      <c r="O30" s="70">
        <f>Sales!O29*O6</f>
        <v>10</v>
      </c>
      <c r="P30" s="70">
        <f>Sales!P29*P6</f>
        <v>10</v>
      </c>
      <c r="Q30" s="70">
        <f>Sales!Q29*Q6</f>
        <v>10</v>
      </c>
      <c r="R30" s="70">
        <f>Sales!R29*R6</f>
        <v>10</v>
      </c>
      <c r="S30" s="70">
        <f>Sales!S29*S6</f>
        <v>12</v>
      </c>
      <c r="T30" s="70">
        <f>Sales!T29*T6</f>
        <v>12</v>
      </c>
      <c r="U30" s="70">
        <f>Sales!U29*U6</f>
        <v>12</v>
      </c>
      <c r="V30" s="70">
        <f>Sales!V29*V6</f>
        <v>12</v>
      </c>
      <c r="W30" s="70">
        <f>Sales!W29*W6</f>
        <v>12</v>
      </c>
      <c r="X30" s="70">
        <f>Sales!X29*X6</f>
        <v>12</v>
      </c>
      <c r="Y30" s="70">
        <f>Sales!Y29*Y6</f>
        <v>12</v>
      </c>
      <c r="Z30" s="70">
        <f>Sales!Z29*Z6</f>
        <v>12</v>
      </c>
      <c r="AA30" s="70">
        <f>Sales!AA29*AA6</f>
        <v>12</v>
      </c>
      <c r="AB30" s="70">
        <f>Sales!AB29*AB6</f>
        <v>12</v>
      </c>
      <c r="AC30" s="70">
        <f>Sales!AC29*AC6</f>
        <v>11</v>
      </c>
      <c r="AD30" s="70">
        <f>Sales!AD29*AD6</f>
        <v>11</v>
      </c>
      <c r="AE30" s="70">
        <f>Sales!AE29*AE6</f>
        <v>0</v>
      </c>
      <c r="AF30" s="70">
        <f>Sales!AF29*AF6</f>
        <v>0</v>
      </c>
      <c r="AG30" s="70">
        <f>Sales!AG29*AG6</f>
        <v>0</v>
      </c>
    </row>
    <row r="31" spans="1:33" s="130" customFormat="1" ht="19.5" customHeight="1" outlineLevel="1">
      <c r="A31" s="894"/>
      <c r="B31" s="528"/>
      <c r="C31" s="24" t="str">
        <f>"   Cost of Materials/Goods: "&amp;C29 &amp;" (per unit)"</f>
        <v xml:space="preserve">   Cost of Materials/Goods: Workstations (per unit)</v>
      </c>
      <c r="D31" s="8" t="str">
        <f>Currency_Label &amp;"/per unit"</f>
        <v>USD/per unit</v>
      </c>
      <c r="E31" s="287"/>
      <c r="F31" s="241"/>
      <c r="G31" s="241"/>
      <c r="H31" s="241"/>
      <c r="I31" s="241"/>
      <c r="J31" s="270">
        <v>1600</v>
      </c>
      <c r="K31" s="270">
        <v>1600</v>
      </c>
      <c r="L31" s="270">
        <v>1600</v>
      </c>
      <c r="M31" s="270">
        <v>1600</v>
      </c>
      <c r="N31" s="270">
        <v>1600</v>
      </c>
      <c r="O31" s="270">
        <v>1600</v>
      </c>
      <c r="P31" s="270">
        <v>1600</v>
      </c>
      <c r="Q31" s="270">
        <v>1600</v>
      </c>
      <c r="R31" s="270">
        <v>1600</v>
      </c>
      <c r="S31" s="270">
        <v>1600</v>
      </c>
      <c r="T31" s="270">
        <v>1600</v>
      </c>
      <c r="U31" s="270">
        <v>1600</v>
      </c>
      <c r="V31" s="270">
        <v>1600</v>
      </c>
      <c r="W31" s="270">
        <v>1600</v>
      </c>
      <c r="X31" s="270">
        <v>1600</v>
      </c>
      <c r="Y31" s="270">
        <v>1600</v>
      </c>
      <c r="Z31" s="270">
        <v>1600</v>
      </c>
      <c r="AA31" s="270">
        <v>1600</v>
      </c>
      <c r="AB31" s="270">
        <v>1600</v>
      </c>
      <c r="AC31" s="270">
        <v>1600</v>
      </c>
      <c r="AD31" s="270">
        <v>1600</v>
      </c>
      <c r="AE31" s="270">
        <v>1600</v>
      </c>
      <c r="AF31" s="270">
        <v>1600</v>
      </c>
      <c r="AG31" s="270">
        <v>1600</v>
      </c>
    </row>
    <row r="32" spans="1:33" s="649" customFormat="1" ht="19.5" customHeight="1" outlineLevel="1">
      <c r="A32" s="894"/>
      <c r="B32" s="528"/>
      <c r="C32" s="24" t="str">
        <f>"Cost of Materials/Goods: "&amp;C29</f>
        <v>Cost of Materials/Goods: Workstations</v>
      </c>
      <c r="D32" s="8" t="str">
        <f>Currency_Label</f>
        <v>USD</v>
      </c>
      <c r="E32" s="287"/>
      <c r="F32" s="287"/>
      <c r="G32" s="287"/>
      <c r="H32" s="287"/>
      <c r="I32" s="71">
        <f>SUM(J32:AG32)</f>
        <v>368000</v>
      </c>
      <c r="J32" s="690">
        <f t="shared" ref="J32:AG32" si="4">J30*J31*J$6</f>
        <v>12800</v>
      </c>
      <c r="K32" s="690">
        <f t="shared" si="4"/>
        <v>16000</v>
      </c>
      <c r="L32" s="690">
        <f t="shared" si="4"/>
        <v>16000</v>
      </c>
      <c r="M32" s="690">
        <f t="shared" si="4"/>
        <v>16000</v>
      </c>
      <c r="N32" s="690">
        <f t="shared" si="4"/>
        <v>16000</v>
      </c>
      <c r="O32" s="690">
        <f t="shared" si="4"/>
        <v>16000</v>
      </c>
      <c r="P32" s="690">
        <f t="shared" si="4"/>
        <v>16000</v>
      </c>
      <c r="Q32" s="690">
        <f t="shared" si="4"/>
        <v>16000</v>
      </c>
      <c r="R32" s="690">
        <f t="shared" si="4"/>
        <v>16000</v>
      </c>
      <c r="S32" s="690">
        <f t="shared" si="4"/>
        <v>19200</v>
      </c>
      <c r="T32" s="690">
        <f t="shared" si="4"/>
        <v>19200</v>
      </c>
      <c r="U32" s="690">
        <f t="shared" si="4"/>
        <v>19200</v>
      </c>
      <c r="V32" s="690">
        <f t="shared" si="4"/>
        <v>19200</v>
      </c>
      <c r="W32" s="690">
        <f t="shared" si="4"/>
        <v>19200</v>
      </c>
      <c r="X32" s="690">
        <f t="shared" si="4"/>
        <v>19200</v>
      </c>
      <c r="Y32" s="690">
        <f t="shared" si="4"/>
        <v>19200</v>
      </c>
      <c r="Z32" s="690">
        <f t="shared" si="4"/>
        <v>19200</v>
      </c>
      <c r="AA32" s="690">
        <f t="shared" si="4"/>
        <v>19200</v>
      </c>
      <c r="AB32" s="690">
        <f t="shared" si="4"/>
        <v>19200</v>
      </c>
      <c r="AC32" s="690">
        <f t="shared" si="4"/>
        <v>17600</v>
      </c>
      <c r="AD32" s="690">
        <f t="shared" si="4"/>
        <v>17600</v>
      </c>
      <c r="AE32" s="690">
        <f t="shared" si="4"/>
        <v>0</v>
      </c>
      <c r="AF32" s="690">
        <f t="shared" si="4"/>
        <v>0</v>
      </c>
      <c r="AG32" s="690">
        <f t="shared" si="4"/>
        <v>0</v>
      </c>
    </row>
    <row r="33" spans="1:33" s="649" customFormat="1" ht="19.5" customHeight="1" outlineLevel="1">
      <c r="A33" s="894"/>
      <c r="B33" s="528"/>
      <c r="C33" s="273" t="str">
        <f>Product_03</f>
        <v>Notebooks</v>
      </c>
      <c r="D33" s="287"/>
      <c r="E33" s="287"/>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E33" s="287"/>
      <c r="AF33" s="287"/>
      <c r="AG33" s="287"/>
    </row>
    <row r="34" spans="1:33" s="130" customFormat="1" ht="19.5" customHeight="1" outlineLevel="1">
      <c r="A34" s="894"/>
      <c r="B34" s="528"/>
      <c r="C34" s="24" t="str">
        <f>"Sales quantity: "&amp;C33</f>
        <v>Sales quantity: Notebooks</v>
      </c>
      <c r="D34" s="8" t="s">
        <v>208</v>
      </c>
      <c r="E34" s="287"/>
      <c r="F34" s="241"/>
      <c r="G34" s="241"/>
      <c r="H34" s="241"/>
      <c r="I34" s="71">
        <f>SUMPRODUCT((J$6:AG$6),(J34:AG34))</f>
        <v>448</v>
      </c>
      <c r="J34" s="70">
        <f>Sales!J33*J6</f>
        <v>20</v>
      </c>
      <c r="K34" s="70">
        <f>Sales!K33*K6</f>
        <v>20</v>
      </c>
      <c r="L34" s="70">
        <f>Sales!L33*L6</f>
        <v>20</v>
      </c>
      <c r="M34" s="70">
        <f>Sales!M33*M6</f>
        <v>20</v>
      </c>
      <c r="N34" s="70">
        <f>Sales!N33*N6</f>
        <v>20</v>
      </c>
      <c r="O34" s="70">
        <f>Sales!O33*O6</f>
        <v>20</v>
      </c>
      <c r="P34" s="70">
        <f>Sales!P33*P6</f>
        <v>20</v>
      </c>
      <c r="Q34" s="70">
        <f>Sales!Q33*Q6</f>
        <v>22</v>
      </c>
      <c r="R34" s="70">
        <f>Sales!R33*R6</f>
        <v>22</v>
      </c>
      <c r="S34" s="70">
        <f>Sales!S33*S6</f>
        <v>22</v>
      </c>
      <c r="T34" s="70">
        <f>Sales!T33*T6</f>
        <v>22</v>
      </c>
      <c r="U34" s="70">
        <f>Sales!U33*U6</f>
        <v>22</v>
      </c>
      <c r="V34" s="70">
        <f>Sales!V33*V6</f>
        <v>22</v>
      </c>
      <c r="W34" s="70">
        <f>Sales!W33*W6</f>
        <v>22</v>
      </c>
      <c r="X34" s="70">
        <f>Sales!X33*X6</f>
        <v>22</v>
      </c>
      <c r="Y34" s="70">
        <f>Sales!Y33*Y6</f>
        <v>22</v>
      </c>
      <c r="Z34" s="70">
        <f>Sales!Z33*Z6</f>
        <v>22</v>
      </c>
      <c r="AA34" s="70">
        <f>Sales!AA33*AA6</f>
        <v>22</v>
      </c>
      <c r="AB34" s="70">
        <f>Sales!AB33*AB6</f>
        <v>22</v>
      </c>
      <c r="AC34" s="70">
        <f>Sales!AC33*AC6</f>
        <v>22</v>
      </c>
      <c r="AD34" s="70">
        <f>Sales!AD33*AD6</f>
        <v>22</v>
      </c>
      <c r="AE34" s="70">
        <f>Sales!AE33*AE6</f>
        <v>0</v>
      </c>
      <c r="AF34" s="70">
        <f>Sales!AF33*AF6</f>
        <v>0</v>
      </c>
      <c r="AG34" s="70">
        <f>Sales!AG33*AG6</f>
        <v>0</v>
      </c>
    </row>
    <row r="35" spans="1:33" s="130" customFormat="1" ht="19.5" customHeight="1" outlineLevel="1">
      <c r="A35" s="894"/>
      <c r="B35" s="528"/>
      <c r="C35" s="24" t="str">
        <f>"   Cost of Materials/Goods: "&amp;C33 &amp;" (per unit)"</f>
        <v xml:space="preserve">   Cost of Materials/Goods: Notebooks (per unit)</v>
      </c>
      <c r="D35" s="8" t="str">
        <f>Currency_Label &amp;"/per unit"</f>
        <v>USD/per unit</v>
      </c>
      <c r="E35" s="287"/>
      <c r="F35" s="241"/>
      <c r="G35" s="241"/>
      <c r="H35" s="241"/>
      <c r="I35" s="241"/>
      <c r="J35" s="270">
        <v>400</v>
      </c>
      <c r="K35" s="270">
        <v>400</v>
      </c>
      <c r="L35" s="270">
        <v>400</v>
      </c>
      <c r="M35" s="270">
        <v>400</v>
      </c>
      <c r="N35" s="270">
        <v>400</v>
      </c>
      <c r="O35" s="270">
        <v>400</v>
      </c>
      <c r="P35" s="270">
        <v>400</v>
      </c>
      <c r="Q35" s="270">
        <v>400</v>
      </c>
      <c r="R35" s="270">
        <v>400</v>
      </c>
      <c r="S35" s="270">
        <v>400</v>
      </c>
      <c r="T35" s="270">
        <v>400</v>
      </c>
      <c r="U35" s="270">
        <v>400</v>
      </c>
      <c r="V35" s="270">
        <v>400</v>
      </c>
      <c r="W35" s="270">
        <v>400</v>
      </c>
      <c r="X35" s="270">
        <v>400</v>
      </c>
      <c r="Y35" s="270">
        <v>400</v>
      </c>
      <c r="Z35" s="270">
        <v>400</v>
      </c>
      <c r="AA35" s="270">
        <v>400</v>
      </c>
      <c r="AB35" s="270">
        <v>400</v>
      </c>
      <c r="AC35" s="270">
        <v>400</v>
      </c>
      <c r="AD35" s="270">
        <v>400</v>
      </c>
      <c r="AE35" s="270">
        <v>400</v>
      </c>
      <c r="AF35" s="270">
        <v>400</v>
      </c>
      <c r="AG35" s="270">
        <v>400</v>
      </c>
    </row>
    <row r="36" spans="1:33" s="649" customFormat="1" ht="19.5" customHeight="1" outlineLevel="1">
      <c r="A36" s="894"/>
      <c r="B36" s="528"/>
      <c r="C36" s="24" t="str">
        <f>"Cost of Materials/Goods: "&amp;C33</f>
        <v>Cost of Materials/Goods: Notebooks</v>
      </c>
      <c r="D36" s="8" t="str">
        <f>Currency_Label</f>
        <v>USD</v>
      </c>
      <c r="E36" s="287"/>
      <c r="F36" s="287"/>
      <c r="G36" s="287"/>
      <c r="H36" s="287"/>
      <c r="I36" s="71">
        <f>SUM(J36:AG36)</f>
        <v>179200</v>
      </c>
      <c r="J36" s="690">
        <f t="shared" ref="J36:AG36" si="5">J34*J35*J$6</f>
        <v>8000</v>
      </c>
      <c r="K36" s="690">
        <f t="shared" si="5"/>
        <v>8000</v>
      </c>
      <c r="L36" s="690">
        <f t="shared" si="5"/>
        <v>8000</v>
      </c>
      <c r="M36" s="690">
        <f t="shared" si="5"/>
        <v>8000</v>
      </c>
      <c r="N36" s="690">
        <f t="shared" si="5"/>
        <v>8000</v>
      </c>
      <c r="O36" s="690">
        <f t="shared" si="5"/>
        <v>8000</v>
      </c>
      <c r="P36" s="690">
        <f t="shared" si="5"/>
        <v>8000</v>
      </c>
      <c r="Q36" s="690">
        <f t="shared" si="5"/>
        <v>8800</v>
      </c>
      <c r="R36" s="690">
        <f t="shared" si="5"/>
        <v>8800</v>
      </c>
      <c r="S36" s="690">
        <f t="shared" si="5"/>
        <v>8800</v>
      </c>
      <c r="T36" s="690">
        <f t="shared" si="5"/>
        <v>8800</v>
      </c>
      <c r="U36" s="690">
        <f t="shared" si="5"/>
        <v>8800</v>
      </c>
      <c r="V36" s="690">
        <f t="shared" si="5"/>
        <v>8800</v>
      </c>
      <c r="W36" s="690">
        <f t="shared" si="5"/>
        <v>8800</v>
      </c>
      <c r="X36" s="690">
        <f t="shared" si="5"/>
        <v>8800</v>
      </c>
      <c r="Y36" s="690">
        <f t="shared" si="5"/>
        <v>8800</v>
      </c>
      <c r="Z36" s="690">
        <f t="shared" si="5"/>
        <v>8800</v>
      </c>
      <c r="AA36" s="690">
        <f t="shared" si="5"/>
        <v>8800</v>
      </c>
      <c r="AB36" s="690">
        <f t="shared" si="5"/>
        <v>8800</v>
      </c>
      <c r="AC36" s="690">
        <f t="shared" si="5"/>
        <v>8800</v>
      </c>
      <c r="AD36" s="690">
        <f t="shared" si="5"/>
        <v>8800</v>
      </c>
      <c r="AE36" s="690">
        <f t="shared" si="5"/>
        <v>0</v>
      </c>
      <c r="AF36" s="690">
        <f t="shared" si="5"/>
        <v>0</v>
      </c>
      <c r="AG36" s="690">
        <f t="shared" si="5"/>
        <v>0</v>
      </c>
    </row>
    <row r="37" spans="1:33" s="649" customFormat="1" ht="19.5" customHeight="1" outlineLevel="1">
      <c r="A37" s="894"/>
      <c r="B37" s="528"/>
      <c r="C37" s="273" t="str">
        <f>Product_04</f>
        <v>Software Products</v>
      </c>
      <c r="D37" s="287"/>
      <c r="E37" s="287"/>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E37" s="287"/>
      <c r="AF37" s="287"/>
      <c r="AG37" s="287"/>
    </row>
    <row r="38" spans="1:33" s="130" customFormat="1" ht="19.5" customHeight="1" outlineLevel="1">
      <c r="A38" s="894"/>
      <c r="B38" s="528"/>
      <c r="C38" s="24" t="str">
        <f>"Sales quantity: "&amp;C37</f>
        <v>Sales quantity: Software Products</v>
      </c>
      <c r="D38" s="8" t="s">
        <v>208</v>
      </c>
      <c r="E38" s="287"/>
      <c r="F38" s="241"/>
      <c r="G38" s="241"/>
      <c r="H38" s="241"/>
      <c r="I38" s="71">
        <f>SUMPRODUCT((J$6:AG$6),(J38:AG38))</f>
        <v>1174</v>
      </c>
      <c r="J38" s="70">
        <f>Sales!J37*J$6</f>
        <v>55</v>
      </c>
      <c r="K38" s="70">
        <f>Sales!K37*K$6</f>
        <v>57</v>
      </c>
      <c r="L38" s="70">
        <f>Sales!L37*L$6</f>
        <v>57</v>
      </c>
      <c r="M38" s="70">
        <f>Sales!M37*M$6</f>
        <v>57</v>
      </c>
      <c r="N38" s="70">
        <f>Sales!N37*N$6</f>
        <v>57</v>
      </c>
      <c r="O38" s="70">
        <f>Sales!O37*O$6</f>
        <v>57</v>
      </c>
      <c r="P38" s="70">
        <f>Sales!P37*P$6</f>
        <v>57</v>
      </c>
      <c r="Q38" s="70">
        <f>Sales!Q37*Q$6</f>
        <v>55</v>
      </c>
      <c r="R38" s="70">
        <f>Sales!R37*R$6</f>
        <v>55</v>
      </c>
      <c r="S38" s="70">
        <f>Sales!S37*S$6</f>
        <v>55</v>
      </c>
      <c r="T38" s="70">
        <f>Sales!T37*T$6</f>
        <v>55</v>
      </c>
      <c r="U38" s="70">
        <f>Sales!U37*U$6</f>
        <v>55</v>
      </c>
      <c r="V38" s="70">
        <f>Sales!V37*V$6</f>
        <v>55</v>
      </c>
      <c r="W38" s="70">
        <f>Sales!W37*W$6</f>
        <v>55</v>
      </c>
      <c r="X38" s="70">
        <f>Sales!X37*X$6</f>
        <v>55</v>
      </c>
      <c r="Y38" s="70">
        <f>Sales!Y37*Y$6</f>
        <v>55</v>
      </c>
      <c r="Z38" s="70">
        <f>Sales!Z37*Z$6</f>
        <v>55</v>
      </c>
      <c r="AA38" s="70">
        <f>Sales!AA37*AA$6</f>
        <v>55</v>
      </c>
      <c r="AB38" s="70">
        <f>Sales!AB37*AB$6</f>
        <v>55</v>
      </c>
      <c r="AC38" s="70">
        <f>Sales!AC37*AC$6</f>
        <v>55</v>
      </c>
      <c r="AD38" s="70">
        <f>Sales!AD37*AD$6</f>
        <v>62</v>
      </c>
      <c r="AE38" s="70">
        <f>Sales!AE37*AE$6</f>
        <v>0</v>
      </c>
      <c r="AF38" s="70">
        <f>Sales!AF37*AF$6</f>
        <v>0</v>
      </c>
      <c r="AG38" s="70">
        <f>Sales!AG37*AG$6</f>
        <v>0</v>
      </c>
    </row>
    <row r="39" spans="1:33" s="130" customFormat="1" ht="19.5" customHeight="1" outlineLevel="1">
      <c r="A39" s="894"/>
      <c r="B39" s="528"/>
      <c r="C39" s="24" t="str">
        <f>"   Cost of Materials/Goods: "&amp;C37 &amp;" (per unit)"</f>
        <v xml:space="preserve">   Cost of Materials/Goods: Software Products (per unit)</v>
      </c>
      <c r="D39" s="8" t="str">
        <f>Currency_Label &amp;"/per unit"</f>
        <v>USD/per unit</v>
      </c>
      <c r="E39" s="287"/>
      <c r="F39" s="241"/>
      <c r="G39" s="241"/>
      <c r="H39" s="241"/>
      <c r="I39" s="241"/>
      <c r="J39" s="270">
        <v>110</v>
      </c>
      <c r="K39" s="270">
        <v>110</v>
      </c>
      <c r="L39" s="270">
        <v>110</v>
      </c>
      <c r="M39" s="270">
        <v>110</v>
      </c>
      <c r="N39" s="270">
        <v>110</v>
      </c>
      <c r="O39" s="270">
        <v>110</v>
      </c>
      <c r="P39" s="270">
        <v>110</v>
      </c>
      <c r="Q39" s="270">
        <v>110</v>
      </c>
      <c r="R39" s="270">
        <v>110</v>
      </c>
      <c r="S39" s="270">
        <v>110</v>
      </c>
      <c r="T39" s="270">
        <v>110</v>
      </c>
      <c r="U39" s="270">
        <v>110</v>
      </c>
      <c r="V39" s="270">
        <v>110</v>
      </c>
      <c r="W39" s="270">
        <v>110</v>
      </c>
      <c r="X39" s="270">
        <v>110</v>
      </c>
      <c r="Y39" s="270">
        <v>110</v>
      </c>
      <c r="Z39" s="270">
        <v>110</v>
      </c>
      <c r="AA39" s="270">
        <v>110</v>
      </c>
      <c r="AB39" s="270">
        <v>110</v>
      </c>
      <c r="AC39" s="270">
        <v>110</v>
      </c>
      <c r="AD39" s="270">
        <v>110</v>
      </c>
      <c r="AE39" s="270">
        <v>110</v>
      </c>
      <c r="AF39" s="270">
        <v>110</v>
      </c>
      <c r="AG39" s="270">
        <v>110</v>
      </c>
    </row>
    <row r="40" spans="1:33" s="130" customFormat="1" ht="19.5" customHeight="1" outlineLevel="1">
      <c r="A40" s="894"/>
      <c r="B40" s="241"/>
      <c r="C40" s="24" t="str">
        <f>"Cost of Materials/Goods: "&amp;C37</f>
        <v>Cost of Materials/Goods: Software Products</v>
      </c>
      <c r="D40" s="8" t="str">
        <f>Currency_Label</f>
        <v>USD</v>
      </c>
      <c r="E40" s="287"/>
      <c r="F40" s="241"/>
      <c r="G40" s="241"/>
      <c r="H40" s="241"/>
      <c r="I40" s="71">
        <f>SUM(J40:AG40)</f>
        <v>129140</v>
      </c>
      <c r="J40" s="690">
        <f t="shared" ref="J40:AG40" si="6">J38*J39*J$6</f>
        <v>6050</v>
      </c>
      <c r="K40" s="690">
        <f t="shared" si="6"/>
        <v>6270</v>
      </c>
      <c r="L40" s="690">
        <f t="shared" si="6"/>
        <v>6270</v>
      </c>
      <c r="M40" s="690">
        <f t="shared" si="6"/>
        <v>6270</v>
      </c>
      <c r="N40" s="690">
        <f t="shared" si="6"/>
        <v>6270</v>
      </c>
      <c r="O40" s="690">
        <f t="shared" si="6"/>
        <v>6270</v>
      </c>
      <c r="P40" s="690">
        <f t="shared" si="6"/>
        <v>6270</v>
      </c>
      <c r="Q40" s="690">
        <f t="shared" si="6"/>
        <v>6050</v>
      </c>
      <c r="R40" s="690">
        <f t="shared" si="6"/>
        <v>6050</v>
      </c>
      <c r="S40" s="690">
        <f t="shared" si="6"/>
        <v>6050</v>
      </c>
      <c r="T40" s="690">
        <f t="shared" si="6"/>
        <v>6050</v>
      </c>
      <c r="U40" s="690">
        <f t="shared" si="6"/>
        <v>6050</v>
      </c>
      <c r="V40" s="690">
        <f t="shared" si="6"/>
        <v>6050</v>
      </c>
      <c r="W40" s="690">
        <f t="shared" si="6"/>
        <v>6050</v>
      </c>
      <c r="X40" s="690">
        <f t="shared" si="6"/>
        <v>6050</v>
      </c>
      <c r="Y40" s="690">
        <f t="shared" si="6"/>
        <v>6050</v>
      </c>
      <c r="Z40" s="690">
        <f t="shared" si="6"/>
        <v>6050</v>
      </c>
      <c r="AA40" s="690">
        <f t="shared" si="6"/>
        <v>6050</v>
      </c>
      <c r="AB40" s="690">
        <f t="shared" si="6"/>
        <v>6050</v>
      </c>
      <c r="AC40" s="690">
        <f t="shared" si="6"/>
        <v>6050</v>
      </c>
      <c r="AD40" s="690">
        <f t="shared" si="6"/>
        <v>6820</v>
      </c>
      <c r="AE40" s="690">
        <f t="shared" si="6"/>
        <v>0</v>
      </c>
      <c r="AF40" s="690">
        <f t="shared" si="6"/>
        <v>0</v>
      </c>
      <c r="AG40" s="690">
        <f t="shared" si="6"/>
        <v>0</v>
      </c>
    </row>
    <row r="41" spans="1:33" s="649" customFormat="1" ht="19.5" customHeight="1" outlineLevel="1">
      <c r="A41" s="894"/>
      <c r="B41" s="287"/>
      <c r="C41" s="273" t="str">
        <f>Product_05</f>
        <v>Net work infrastructure solutions</v>
      </c>
      <c r="D41" s="287"/>
      <c r="E41" s="287"/>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E41" s="287"/>
      <c r="AF41" s="287"/>
      <c r="AG41" s="287"/>
    </row>
    <row r="42" spans="1:33" s="649" customFormat="1" ht="19.5" customHeight="1" outlineLevel="1">
      <c r="A42" s="894"/>
      <c r="B42" s="287"/>
      <c r="C42" s="24" t="str">
        <f>"Sales quantity: "&amp;C41</f>
        <v>Sales quantity: Net work infrastructure solutions</v>
      </c>
      <c r="D42" s="8" t="s">
        <v>208</v>
      </c>
      <c r="E42" s="287"/>
      <c r="F42" s="287"/>
      <c r="G42" s="287"/>
      <c r="H42" s="287"/>
      <c r="I42" s="71">
        <f>SUMPRODUCT((J$6:AG$6),(J42:AG42))</f>
        <v>0</v>
      </c>
      <c r="J42" s="70">
        <f>Sales!J41*J$6</f>
        <v>0</v>
      </c>
      <c r="K42" s="70">
        <f>Sales!K41*K$6</f>
        <v>0</v>
      </c>
      <c r="L42" s="70">
        <f>Sales!L41*L$6</f>
        <v>0</v>
      </c>
      <c r="M42" s="70">
        <f>Sales!M41*M$6</f>
        <v>0</v>
      </c>
      <c r="N42" s="70">
        <f>Sales!N41*N$6</f>
        <v>0</v>
      </c>
      <c r="O42" s="70">
        <f>Sales!O41*O$6</f>
        <v>0</v>
      </c>
      <c r="P42" s="70">
        <f>Sales!P41*P$6</f>
        <v>0</v>
      </c>
      <c r="Q42" s="70">
        <f>Sales!Q41*Q$6</f>
        <v>0</v>
      </c>
      <c r="R42" s="70">
        <f>Sales!R41*R$6</f>
        <v>0</v>
      </c>
      <c r="S42" s="70">
        <f>Sales!S41*S$6</f>
        <v>0</v>
      </c>
      <c r="T42" s="70">
        <f>Sales!T41*T$6</f>
        <v>0</v>
      </c>
      <c r="U42" s="70">
        <f>Sales!U41*U$6</f>
        <v>0</v>
      </c>
      <c r="V42" s="70">
        <f>Sales!V41*V$6</f>
        <v>0</v>
      </c>
      <c r="W42" s="70">
        <f>Sales!W41*W$6</f>
        <v>0</v>
      </c>
      <c r="X42" s="70">
        <f>Sales!X41*X$6</f>
        <v>0</v>
      </c>
      <c r="Y42" s="70">
        <f>Sales!Y41*Y$6</f>
        <v>0</v>
      </c>
      <c r="Z42" s="70">
        <f>Sales!Z41*Z$6</f>
        <v>0</v>
      </c>
      <c r="AA42" s="70">
        <f>Sales!AA41*AA$6</f>
        <v>0</v>
      </c>
      <c r="AB42" s="70">
        <f>Sales!AB41*AB$6</f>
        <v>0</v>
      </c>
      <c r="AC42" s="70">
        <f>Sales!AC41*AC$6</f>
        <v>0</v>
      </c>
      <c r="AD42" s="70">
        <f>Sales!AD41*AD$6</f>
        <v>0</v>
      </c>
      <c r="AE42" s="70">
        <f>Sales!AE41*AE$6</f>
        <v>0</v>
      </c>
      <c r="AF42" s="70">
        <f>Sales!AF41*AF$6</f>
        <v>0</v>
      </c>
      <c r="AG42" s="70">
        <f>Sales!AG41*AG$6</f>
        <v>0</v>
      </c>
    </row>
    <row r="43" spans="1:33" s="649" customFormat="1" ht="19.5" customHeight="1" outlineLevel="1">
      <c r="A43" s="894"/>
      <c r="B43" s="287"/>
      <c r="C43" s="24" t="str">
        <f>"   Cost of Materials/Goods: "&amp;C41 &amp;" (per unit)"</f>
        <v xml:space="preserve">   Cost of Materials/Goods: Net work infrastructure solutions (per unit)</v>
      </c>
      <c r="D43" s="8" t="str">
        <f>Currency_Label &amp;"/per unit"</f>
        <v>USD/per unit</v>
      </c>
      <c r="E43" s="287"/>
      <c r="F43" s="287"/>
      <c r="G43" s="287"/>
      <c r="H43" s="287"/>
      <c r="I43" s="287"/>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row>
    <row r="44" spans="1:33" s="649" customFormat="1" ht="19.5" customHeight="1" outlineLevel="1">
      <c r="A44" s="894"/>
      <c r="B44" s="287"/>
      <c r="C44" s="24" t="str">
        <f>"Cost of Materials/Goods: "&amp;C41</f>
        <v>Cost of Materials/Goods: Net work infrastructure solutions</v>
      </c>
      <c r="D44" s="8" t="str">
        <f>Currency_Label</f>
        <v>USD</v>
      </c>
      <c r="E44" s="287"/>
      <c r="F44" s="287"/>
      <c r="G44" s="287"/>
      <c r="H44" s="287"/>
      <c r="I44" s="71">
        <f>SUM(J44:AG44)</f>
        <v>0</v>
      </c>
      <c r="J44" s="690">
        <f t="shared" ref="J44:AG44" si="7">J42*J43*J$6</f>
        <v>0</v>
      </c>
      <c r="K44" s="690">
        <f t="shared" si="7"/>
        <v>0</v>
      </c>
      <c r="L44" s="690">
        <f t="shared" si="7"/>
        <v>0</v>
      </c>
      <c r="M44" s="690">
        <f t="shared" si="7"/>
        <v>0</v>
      </c>
      <c r="N44" s="690">
        <f t="shared" si="7"/>
        <v>0</v>
      </c>
      <c r="O44" s="690">
        <f t="shared" si="7"/>
        <v>0</v>
      </c>
      <c r="P44" s="690">
        <f t="shared" si="7"/>
        <v>0</v>
      </c>
      <c r="Q44" s="690">
        <f t="shared" si="7"/>
        <v>0</v>
      </c>
      <c r="R44" s="690">
        <f t="shared" si="7"/>
        <v>0</v>
      </c>
      <c r="S44" s="690">
        <f t="shared" si="7"/>
        <v>0</v>
      </c>
      <c r="T44" s="690">
        <f t="shared" si="7"/>
        <v>0</v>
      </c>
      <c r="U44" s="690">
        <f t="shared" si="7"/>
        <v>0</v>
      </c>
      <c r="V44" s="690">
        <f t="shared" si="7"/>
        <v>0</v>
      </c>
      <c r="W44" s="690">
        <f t="shared" si="7"/>
        <v>0</v>
      </c>
      <c r="X44" s="690">
        <f t="shared" si="7"/>
        <v>0</v>
      </c>
      <c r="Y44" s="690">
        <f t="shared" si="7"/>
        <v>0</v>
      </c>
      <c r="Z44" s="690">
        <f t="shared" si="7"/>
        <v>0</v>
      </c>
      <c r="AA44" s="690">
        <f t="shared" si="7"/>
        <v>0</v>
      </c>
      <c r="AB44" s="690">
        <f t="shared" si="7"/>
        <v>0</v>
      </c>
      <c r="AC44" s="690">
        <f t="shared" si="7"/>
        <v>0</v>
      </c>
      <c r="AD44" s="690">
        <f t="shared" si="7"/>
        <v>0</v>
      </c>
      <c r="AE44" s="690">
        <f t="shared" si="7"/>
        <v>0</v>
      </c>
      <c r="AF44" s="690">
        <f t="shared" si="7"/>
        <v>0</v>
      </c>
      <c r="AG44" s="690">
        <f t="shared" si="7"/>
        <v>0</v>
      </c>
    </row>
    <row r="45" spans="1:33" s="649" customFormat="1" ht="19.5" customHeight="1" outlineLevel="1">
      <c r="A45" s="894"/>
      <c r="B45" s="287"/>
      <c r="C45" s="273" t="str">
        <f>Product_06</f>
        <v>Repair Services</v>
      </c>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row>
    <row r="46" spans="1:33" s="649" customFormat="1" ht="19.5" customHeight="1" outlineLevel="1">
      <c r="A46" s="894"/>
      <c r="B46" s="287"/>
      <c r="C46" s="24" t="str">
        <f>"Sales quantity: "&amp;C45</f>
        <v>Sales quantity: Repair Services</v>
      </c>
      <c r="D46" s="8" t="s">
        <v>208</v>
      </c>
      <c r="E46" s="287"/>
      <c r="F46" s="287"/>
      <c r="G46" s="287"/>
      <c r="H46" s="287"/>
      <c r="I46" s="71">
        <f>SUMPRODUCT((J$6:AG$6),(J46:AG46))</f>
        <v>0</v>
      </c>
      <c r="J46" s="70">
        <f>Sales!J45*J$6</f>
        <v>0</v>
      </c>
      <c r="K46" s="70">
        <f>Sales!K45*K$6</f>
        <v>0</v>
      </c>
      <c r="L46" s="70">
        <f>Sales!L45*L$6</f>
        <v>0</v>
      </c>
      <c r="M46" s="70">
        <f>Sales!M45*M$6</f>
        <v>0</v>
      </c>
      <c r="N46" s="70">
        <f>Sales!N45*N$6</f>
        <v>0</v>
      </c>
      <c r="O46" s="70">
        <f>Sales!O45*O$6</f>
        <v>0</v>
      </c>
      <c r="P46" s="70">
        <f>Sales!P45*P$6</f>
        <v>0</v>
      </c>
      <c r="Q46" s="70">
        <f>Sales!Q45*Q$6</f>
        <v>0</v>
      </c>
      <c r="R46" s="70">
        <f>Sales!R45*R$6</f>
        <v>0</v>
      </c>
      <c r="S46" s="70">
        <f>Sales!S45*S$6</f>
        <v>0</v>
      </c>
      <c r="T46" s="70">
        <f>Sales!T45*T$6</f>
        <v>0</v>
      </c>
      <c r="U46" s="70">
        <f>Sales!U45*U$6</f>
        <v>0</v>
      </c>
      <c r="V46" s="70">
        <f>Sales!V45*V$6</f>
        <v>0</v>
      </c>
      <c r="W46" s="70">
        <f>Sales!W45*W$6</f>
        <v>0</v>
      </c>
      <c r="X46" s="70">
        <f>Sales!X45*X$6</f>
        <v>0</v>
      </c>
      <c r="Y46" s="70">
        <f>Sales!Y45*Y$6</f>
        <v>0</v>
      </c>
      <c r="Z46" s="70">
        <f>Sales!Z45*Z$6</f>
        <v>0</v>
      </c>
      <c r="AA46" s="70">
        <f>Sales!AA45*AA$6</f>
        <v>0</v>
      </c>
      <c r="AB46" s="70">
        <f>Sales!AB45*AB$6</f>
        <v>0</v>
      </c>
      <c r="AC46" s="70">
        <f>Sales!AC45*AC$6</f>
        <v>0</v>
      </c>
      <c r="AD46" s="70">
        <f>Sales!AD45*AD$6</f>
        <v>0</v>
      </c>
      <c r="AE46" s="70">
        <f>Sales!AE45*AE$6</f>
        <v>0</v>
      </c>
      <c r="AF46" s="70">
        <f>Sales!AF45*AF$6</f>
        <v>0</v>
      </c>
      <c r="AG46" s="70">
        <f>Sales!AG45*AG$6</f>
        <v>0</v>
      </c>
    </row>
    <row r="47" spans="1:33" s="649" customFormat="1" ht="19.5" customHeight="1" outlineLevel="1">
      <c r="A47" s="894"/>
      <c r="B47" s="287"/>
      <c r="C47" s="24" t="str">
        <f>"   Cost of Materials/Goods: "&amp;C45 &amp;" (per unit)"</f>
        <v xml:space="preserve">   Cost of Materials/Goods: Repair Services (per unit)</v>
      </c>
      <c r="D47" s="8" t="str">
        <f>Currency_Label &amp;"/per unit"</f>
        <v>USD/per unit</v>
      </c>
      <c r="E47" s="287"/>
      <c r="F47" s="287"/>
      <c r="G47" s="287"/>
      <c r="H47" s="287"/>
      <c r="I47" s="287"/>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row>
    <row r="48" spans="1:33" s="649" customFormat="1" ht="19.5" customHeight="1" outlineLevel="1">
      <c r="A48" s="894"/>
      <c r="B48" s="287"/>
      <c r="C48" s="24" t="str">
        <f>"Cost of Materials/Goods: "&amp;C45</f>
        <v>Cost of Materials/Goods: Repair Services</v>
      </c>
      <c r="D48" s="8" t="str">
        <f>Currency_Label</f>
        <v>USD</v>
      </c>
      <c r="E48" s="287"/>
      <c r="F48" s="287"/>
      <c r="G48" s="287"/>
      <c r="H48" s="287"/>
      <c r="I48" s="71">
        <f>SUM(J48:AG48)</f>
        <v>0</v>
      </c>
      <c r="J48" s="690">
        <f t="shared" ref="J48:AG48" si="8">J46*J47*J$6</f>
        <v>0</v>
      </c>
      <c r="K48" s="690">
        <f t="shared" si="8"/>
        <v>0</v>
      </c>
      <c r="L48" s="690">
        <f t="shared" si="8"/>
        <v>0</v>
      </c>
      <c r="M48" s="690">
        <f t="shared" si="8"/>
        <v>0</v>
      </c>
      <c r="N48" s="690">
        <f t="shared" si="8"/>
        <v>0</v>
      </c>
      <c r="O48" s="690">
        <f t="shared" si="8"/>
        <v>0</v>
      </c>
      <c r="P48" s="690">
        <f t="shared" si="8"/>
        <v>0</v>
      </c>
      <c r="Q48" s="690">
        <f t="shared" si="8"/>
        <v>0</v>
      </c>
      <c r="R48" s="690">
        <f t="shared" si="8"/>
        <v>0</v>
      </c>
      <c r="S48" s="690">
        <f t="shared" si="8"/>
        <v>0</v>
      </c>
      <c r="T48" s="690">
        <f t="shared" si="8"/>
        <v>0</v>
      </c>
      <c r="U48" s="690">
        <f t="shared" si="8"/>
        <v>0</v>
      </c>
      <c r="V48" s="690">
        <f t="shared" si="8"/>
        <v>0</v>
      </c>
      <c r="W48" s="690">
        <f t="shared" si="8"/>
        <v>0</v>
      </c>
      <c r="X48" s="690">
        <f t="shared" si="8"/>
        <v>0</v>
      </c>
      <c r="Y48" s="690">
        <f t="shared" si="8"/>
        <v>0</v>
      </c>
      <c r="Z48" s="690">
        <f t="shared" si="8"/>
        <v>0</v>
      </c>
      <c r="AA48" s="690">
        <f t="shared" si="8"/>
        <v>0</v>
      </c>
      <c r="AB48" s="690">
        <f t="shared" si="8"/>
        <v>0</v>
      </c>
      <c r="AC48" s="690">
        <f t="shared" si="8"/>
        <v>0</v>
      </c>
      <c r="AD48" s="690">
        <f t="shared" si="8"/>
        <v>0</v>
      </c>
      <c r="AE48" s="690">
        <f t="shared" si="8"/>
        <v>0</v>
      </c>
      <c r="AF48" s="690">
        <f t="shared" si="8"/>
        <v>0</v>
      </c>
      <c r="AG48" s="690">
        <f t="shared" si="8"/>
        <v>0</v>
      </c>
    </row>
    <row r="49" spans="1:33" s="649" customFormat="1" ht="19.5" customHeight="1" outlineLevel="1">
      <c r="A49" s="894"/>
      <c r="B49" s="287"/>
      <c r="C49" s="273" t="str">
        <f>Product_07</f>
        <v>Integration Services</v>
      </c>
      <c r="D49" s="287"/>
      <c r="E49" s="287"/>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E49" s="287"/>
      <c r="AF49" s="287"/>
      <c r="AG49" s="287"/>
    </row>
    <row r="50" spans="1:33" s="649" customFormat="1" ht="19.5" customHeight="1" outlineLevel="1">
      <c r="A50" s="894"/>
      <c r="B50" s="287"/>
      <c r="C50" s="24" t="str">
        <f>"Sales quantity: "&amp;C49</f>
        <v>Sales quantity: Integration Services</v>
      </c>
      <c r="D50" s="8" t="s">
        <v>208</v>
      </c>
      <c r="E50" s="287"/>
      <c r="F50" s="287"/>
      <c r="G50" s="287"/>
      <c r="H50" s="287"/>
      <c r="I50" s="71">
        <f>SUMPRODUCT((J$6:AG$6),(J50:AG50))</f>
        <v>0</v>
      </c>
      <c r="J50" s="70">
        <f>Sales!J49*J$6</f>
        <v>0</v>
      </c>
      <c r="K50" s="70">
        <f>Sales!K49*K$6</f>
        <v>0</v>
      </c>
      <c r="L50" s="70">
        <f>Sales!L49*L$6</f>
        <v>0</v>
      </c>
      <c r="M50" s="70">
        <f>Sales!M49*M$6</f>
        <v>0</v>
      </c>
      <c r="N50" s="70">
        <f>Sales!N49*N$6</f>
        <v>0</v>
      </c>
      <c r="O50" s="70">
        <f>Sales!O49*O$6</f>
        <v>0</v>
      </c>
      <c r="P50" s="70">
        <f>Sales!P49*P$6</f>
        <v>0</v>
      </c>
      <c r="Q50" s="70">
        <f>Sales!Q49*Q$6</f>
        <v>0</v>
      </c>
      <c r="R50" s="70">
        <f>Sales!R49*R$6</f>
        <v>0</v>
      </c>
      <c r="S50" s="70">
        <f>Sales!S49*S$6</f>
        <v>0</v>
      </c>
      <c r="T50" s="70">
        <f>Sales!T49*T$6</f>
        <v>0</v>
      </c>
      <c r="U50" s="70">
        <f>Sales!U49*U$6</f>
        <v>0</v>
      </c>
      <c r="V50" s="70">
        <f>Sales!V49*V$6</f>
        <v>0</v>
      </c>
      <c r="W50" s="70">
        <f>Sales!W49*W$6</f>
        <v>0</v>
      </c>
      <c r="X50" s="70">
        <f>Sales!X49*X$6</f>
        <v>0</v>
      </c>
      <c r="Y50" s="70">
        <f>Sales!Y49*Y$6</f>
        <v>0</v>
      </c>
      <c r="Z50" s="70">
        <f>Sales!Z49*Z$6</f>
        <v>0</v>
      </c>
      <c r="AA50" s="70">
        <f>Sales!AA49*AA$6</f>
        <v>0</v>
      </c>
      <c r="AB50" s="70">
        <f>Sales!AB49*AB$6</f>
        <v>0</v>
      </c>
      <c r="AC50" s="70">
        <f>Sales!AC49*AC$6</f>
        <v>0</v>
      </c>
      <c r="AD50" s="70">
        <f>Sales!AD49*AD$6</f>
        <v>0</v>
      </c>
      <c r="AE50" s="70">
        <f>Sales!AE49*AE$6</f>
        <v>0</v>
      </c>
      <c r="AF50" s="70">
        <f>Sales!AF49*AF$6</f>
        <v>0</v>
      </c>
      <c r="AG50" s="70">
        <f>Sales!AG49*AG$6</f>
        <v>0</v>
      </c>
    </row>
    <row r="51" spans="1:33" s="649" customFormat="1" ht="19.5" customHeight="1" outlineLevel="1">
      <c r="A51" s="894"/>
      <c r="B51" s="287"/>
      <c r="C51" s="24" t="str">
        <f>"   Cost of Materials/Goods: "&amp;C49 &amp;" (per unit)"</f>
        <v xml:space="preserve">   Cost of Materials/Goods: Integration Services (per unit)</v>
      </c>
      <c r="D51" s="8" t="str">
        <f>Currency_Label &amp;"/per unit"</f>
        <v>USD/per unit</v>
      </c>
      <c r="E51" s="287"/>
      <c r="F51" s="287"/>
      <c r="G51" s="287"/>
      <c r="H51" s="287"/>
      <c r="I51" s="287"/>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row>
    <row r="52" spans="1:33" s="649" customFormat="1" ht="19.5" customHeight="1" outlineLevel="1">
      <c r="A52" s="894"/>
      <c r="B52" s="287"/>
      <c r="C52" s="24" t="str">
        <f>"Cost of Materials/Goods: "&amp;C49</f>
        <v>Cost of Materials/Goods: Integration Services</v>
      </c>
      <c r="D52" s="8" t="str">
        <f>Currency_Label</f>
        <v>USD</v>
      </c>
      <c r="E52" s="287"/>
      <c r="F52" s="287"/>
      <c r="G52" s="287"/>
      <c r="H52" s="287"/>
      <c r="I52" s="71">
        <f>SUM(J52:AG52)</f>
        <v>0</v>
      </c>
      <c r="J52" s="690">
        <f t="shared" ref="J52:AG52" si="9">J50*J51*J$6</f>
        <v>0</v>
      </c>
      <c r="K52" s="690">
        <f t="shared" si="9"/>
        <v>0</v>
      </c>
      <c r="L52" s="690">
        <f t="shared" si="9"/>
        <v>0</v>
      </c>
      <c r="M52" s="690">
        <f t="shared" si="9"/>
        <v>0</v>
      </c>
      <c r="N52" s="690">
        <f t="shared" si="9"/>
        <v>0</v>
      </c>
      <c r="O52" s="690">
        <f t="shared" si="9"/>
        <v>0</v>
      </c>
      <c r="P52" s="690">
        <f t="shared" si="9"/>
        <v>0</v>
      </c>
      <c r="Q52" s="690">
        <f t="shared" si="9"/>
        <v>0</v>
      </c>
      <c r="R52" s="690">
        <f t="shared" si="9"/>
        <v>0</v>
      </c>
      <c r="S52" s="690">
        <f t="shared" si="9"/>
        <v>0</v>
      </c>
      <c r="T52" s="690">
        <f t="shared" si="9"/>
        <v>0</v>
      </c>
      <c r="U52" s="690">
        <f t="shared" si="9"/>
        <v>0</v>
      </c>
      <c r="V52" s="690">
        <f t="shared" si="9"/>
        <v>0</v>
      </c>
      <c r="W52" s="690">
        <f t="shared" si="9"/>
        <v>0</v>
      </c>
      <c r="X52" s="690">
        <f t="shared" si="9"/>
        <v>0</v>
      </c>
      <c r="Y52" s="690">
        <f t="shared" si="9"/>
        <v>0</v>
      </c>
      <c r="Z52" s="690">
        <f t="shared" si="9"/>
        <v>0</v>
      </c>
      <c r="AA52" s="690">
        <f t="shared" si="9"/>
        <v>0</v>
      </c>
      <c r="AB52" s="690">
        <f t="shared" si="9"/>
        <v>0</v>
      </c>
      <c r="AC52" s="690">
        <f t="shared" si="9"/>
        <v>0</v>
      </c>
      <c r="AD52" s="690">
        <f t="shared" si="9"/>
        <v>0</v>
      </c>
      <c r="AE52" s="690">
        <f t="shared" si="9"/>
        <v>0</v>
      </c>
      <c r="AF52" s="690">
        <f t="shared" si="9"/>
        <v>0</v>
      </c>
      <c r="AG52" s="690">
        <f t="shared" si="9"/>
        <v>0</v>
      </c>
    </row>
    <row r="53" spans="1:33" s="649" customFormat="1" ht="19.5" customHeight="1" outlineLevel="1">
      <c r="A53" s="894"/>
      <c r="B53" s="287"/>
      <c r="C53" s="273" t="str">
        <f>Product_08</f>
        <v>Consulting Services</v>
      </c>
      <c r="D53" s="287"/>
      <c r="E53" s="287"/>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E53" s="287"/>
      <c r="AF53" s="287"/>
      <c r="AG53" s="287"/>
    </row>
    <row r="54" spans="1:33" s="649" customFormat="1" ht="19.5" customHeight="1" outlineLevel="1">
      <c r="A54" s="894"/>
      <c r="B54" s="287"/>
      <c r="C54" s="24" t="str">
        <f>"Sales quantity: "&amp;C53</f>
        <v>Sales quantity: Consulting Services</v>
      </c>
      <c r="D54" s="8" t="s">
        <v>208</v>
      </c>
      <c r="E54" s="287"/>
      <c r="F54" s="287"/>
      <c r="G54" s="287"/>
      <c r="H54" s="287"/>
      <c r="I54" s="71">
        <f>SUMPRODUCT((J$6:AG$6),(J54:AG54))</f>
        <v>0</v>
      </c>
      <c r="J54" s="70">
        <f>Sales!J53*J$6</f>
        <v>0</v>
      </c>
      <c r="K54" s="70">
        <f>Sales!K53*K$6</f>
        <v>0</v>
      </c>
      <c r="L54" s="70">
        <f>Sales!L53*L$6</f>
        <v>0</v>
      </c>
      <c r="M54" s="70">
        <f>Sales!M53*M$6</f>
        <v>0</v>
      </c>
      <c r="N54" s="70">
        <f>Sales!N53*N$6</f>
        <v>0</v>
      </c>
      <c r="O54" s="70">
        <f>Sales!O53*O$6</f>
        <v>0</v>
      </c>
      <c r="P54" s="70">
        <f>Sales!P53*P$6</f>
        <v>0</v>
      </c>
      <c r="Q54" s="70">
        <f>Sales!Q53*Q$6</f>
        <v>0</v>
      </c>
      <c r="R54" s="70">
        <f>Sales!R53*R$6</f>
        <v>0</v>
      </c>
      <c r="S54" s="70">
        <f>Sales!S53*S$6</f>
        <v>0</v>
      </c>
      <c r="T54" s="70">
        <f>Sales!T53*T$6</f>
        <v>0</v>
      </c>
      <c r="U54" s="70">
        <f>Sales!U53*U$6</f>
        <v>0</v>
      </c>
      <c r="V54" s="70">
        <f>Sales!V53*V$6</f>
        <v>0</v>
      </c>
      <c r="W54" s="70">
        <f>Sales!W53*W$6</f>
        <v>0</v>
      </c>
      <c r="X54" s="70">
        <f>Sales!X53*X$6</f>
        <v>0</v>
      </c>
      <c r="Y54" s="70">
        <f>Sales!Y53*Y$6</f>
        <v>0</v>
      </c>
      <c r="Z54" s="70">
        <f>Sales!Z53*Z$6</f>
        <v>0</v>
      </c>
      <c r="AA54" s="70">
        <f>Sales!AA53*AA$6</f>
        <v>0</v>
      </c>
      <c r="AB54" s="70">
        <f>Sales!AB53*AB$6</f>
        <v>0</v>
      </c>
      <c r="AC54" s="70">
        <f>Sales!AC53*AC$6</f>
        <v>0</v>
      </c>
      <c r="AD54" s="70">
        <f>Sales!AD53*AD$6</f>
        <v>0</v>
      </c>
      <c r="AE54" s="70">
        <f>Sales!AE53*AE$6</f>
        <v>0</v>
      </c>
      <c r="AF54" s="70">
        <f>Sales!AF53*AF$6</f>
        <v>0</v>
      </c>
      <c r="AG54" s="70">
        <f>Sales!AG53*AG$6</f>
        <v>0</v>
      </c>
    </row>
    <row r="55" spans="1:33" s="649" customFormat="1" ht="19.5" customHeight="1" outlineLevel="1">
      <c r="A55" s="894"/>
      <c r="B55" s="287"/>
      <c r="C55" s="24" t="str">
        <f>"   Cost of Materials/Goods: "&amp;C53 &amp;" (per unit)"</f>
        <v xml:space="preserve">   Cost of Materials/Goods: Consulting Services (per unit)</v>
      </c>
      <c r="D55" s="8" t="str">
        <f>Currency_Label &amp;"/per unit"</f>
        <v>USD/per unit</v>
      </c>
      <c r="E55" s="287"/>
      <c r="F55" s="287"/>
      <c r="G55" s="287"/>
      <c r="H55" s="287"/>
      <c r="I55" s="287"/>
      <c r="J55" s="270"/>
      <c r="K55" s="270"/>
      <c r="L55" s="270"/>
      <c r="M55" s="270"/>
      <c r="N55" s="270"/>
      <c r="O55" s="270"/>
      <c r="P55" s="270"/>
      <c r="Q55" s="270"/>
      <c r="R55" s="270"/>
      <c r="S55" s="270"/>
      <c r="T55" s="270"/>
      <c r="U55" s="270"/>
      <c r="V55" s="270"/>
      <c r="W55" s="270"/>
      <c r="X55" s="270"/>
      <c r="Y55" s="270"/>
      <c r="Z55" s="270"/>
      <c r="AA55" s="270"/>
      <c r="AB55" s="270"/>
      <c r="AC55" s="270"/>
      <c r="AD55" s="270"/>
      <c r="AE55" s="270"/>
      <c r="AF55" s="270"/>
      <c r="AG55" s="270"/>
    </row>
    <row r="56" spans="1:33" s="649" customFormat="1" ht="19.5" customHeight="1" outlineLevel="1">
      <c r="A56" s="894"/>
      <c r="B56" s="287"/>
      <c r="C56" s="24" t="str">
        <f>"Cost of Materials/Goods: "&amp;C53</f>
        <v>Cost of Materials/Goods: Consulting Services</v>
      </c>
      <c r="D56" s="8" t="str">
        <f>Currency_Label</f>
        <v>USD</v>
      </c>
      <c r="E56" s="287"/>
      <c r="F56" s="287"/>
      <c r="G56" s="287"/>
      <c r="H56" s="287"/>
      <c r="I56" s="71">
        <f>SUM(J56:AG56)</f>
        <v>0</v>
      </c>
      <c r="J56" s="690">
        <f t="shared" ref="J56:AG56" si="10">J54*J55*J$6</f>
        <v>0</v>
      </c>
      <c r="K56" s="690">
        <f t="shared" si="10"/>
        <v>0</v>
      </c>
      <c r="L56" s="690">
        <f t="shared" si="10"/>
        <v>0</v>
      </c>
      <c r="M56" s="690">
        <f t="shared" si="10"/>
        <v>0</v>
      </c>
      <c r="N56" s="690">
        <f t="shared" si="10"/>
        <v>0</v>
      </c>
      <c r="O56" s="690">
        <f t="shared" si="10"/>
        <v>0</v>
      </c>
      <c r="P56" s="690">
        <f t="shared" si="10"/>
        <v>0</v>
      </c>
      <c r="Q56" s="690">
        <f t="shared" si="10"/>
        <v>0</v>
      </c>
      <c r="R56" s="690">
        <f t="shared" si="10"/>
        <v>0</v>
      </c>
      <c r="S56" s="690">
        <f t="shared" si="10"/>
        <v>0</v>
      </c>
      <c r="T56" s="690">
        <f t="shared" si="10"/>
        <v>0</v>
      </c>
      <c r="U56" s="690">
        <f t="shared" si="10"/>
        <v>0</v>
      </c>
      <c r="V56" s="690">
        <f t="shared" si="10"/>
        <v>0</v>
      </c>
      <c r="W56" s="690">
        <f t="shared" si="10"/>
        <v>0</v>
      </c>
      <c r="X56" s="690">
        <f t="shared" si="10"/>
        <v>0</v>
      </c>
      <c r="Y56" s="690">
        <f t="shared" si="10"/>
        <v>0</v>
      </c>
      <c r="Z56" s="690">
        <f t="shared" si="10"/>
        <v>0</v>
      </c>
      <c r="AA56" s="690">
        <f t="shared" si="10"/>
        <v>0</v>
      </c>
      <c r="AB56" s="690">
        <f t="shared" si="10"/>
        <v>0</v>
      </c>
      <c r="AC56" s="690">
        <f t="shared" si="10"/>
        <v>0</v>
      </c>
      <c r="AD56" s="690">
        <f t="shared" si="10"/>
        <v>0</v>
      </c>
      <c r="AE56" s="690">
        <f t="shared" si="10"/>
        <v>0</v>
      </c>
      <c r="AF56" s="690">
        <f t="shared" si="10"/>
        <v>0</v>
      </c>
      <c r="AG56" s="690">
        <f t="shared" si="10"/>
        <v>0</v>
      </c>
    </row>
    <row r="57" spans="1:33" s="649" customFormat="1" ht="19.5" customHeight="1" outlineLevel="1">
      <c r="A57" s="894"/>
      <c r="B57" s="287"/>
      <c r="C57" s="273" t="str">
        <f>Product_09</f>
        <v>Spare Parts</v>
      </c>
      <c r="D57" s="287"/>
      <c r="E57" s="287"/>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E57" s="287"/>
      <c r="AF57" s="287"/>
      <c r="AG57" s="287"/>
    </row>
    <row r="58" spans="1:33" s="649" customFormat="1" ht="19.5" customHeight="1" outlineLevel="1">
      <c r="A58" s="894"/>
      <c r="B58" s="287"/>
      <c r="C58" s="24" t="str">
        <f>"Sales quantity: "&amp;C57</f>
        <v>Sales quantity: Spare Parts</v>
      </c>
      <c r="D58" s="8" t="s">
        <v>208</v>
      </c>
      <c r="E58" s="287"/>
      <c r="F58" s="287"/>
      <c r="G58" s="287"/>
      <c r="H58" s="287"/>
      <c r="I58" s="71">
        <f>SUMPRODUCT((J$6:AG$6),(J58:AG58))</f>
        <v>0</v>
      </c>
      <c r="J58" s="70">
        <f>Sales!J57*J$6</f>
        <v>0</v>
      </c>
      <c r="K58" s="70">
        <f>Sales!K57*K$6</f>
        <v>0</v>
      </c>
      <c r="L58" s="70">
        <f>Sales!L57*L$6</f>
        <v>0</v>
      </c>
      <c r="M58" s="70">
        <f>Sales!M57*M$6</f>
        <v>0</v>
      </c>
      <c r="N58" s="70">
        <f>Sales!N57*N$6</f>
        <v>0</v>
      </c>
      <c r="O58" s="70">
        <f>Sales!O57*O$6</f>
        <v>0</v>
      </c>
      <c r="P58" s="70">
        <f>Sales!P57*P$6</f>
        <v>0</v>
      </c>
      <c r="Q58" s="70">
        <f>Sales!Q57*Q$6</f>
        <v>0</v>
      </c>
      <c r="R58" s="70">
        <f>Sales!R57*R$6</f>
        <v>0</v>
      </c>
      <c r="S58" s="70">
        <f>Sales!S57*S$6</f>
        <v>0</v>
      </c>
      <c r="T58" s="70">
        <f>Sales!T57*T$6</f>
        <v>0</v>
      </c>
      <c r="U58" s="70">
        <f>Sales!U57*U$6</f>
        <v>0</v>
      </c>
      <c r="V58" s="70">
        <f>Sales!V57*V$6</f>
        <v>0</v>
      </c>
      <c r="W58" s="70">
        <f>Sales!W57*W$6</f>
        <v>0</v>
      </c>
      <c r="X58" s="70">
        <f>Sales!X57*X$6</f>
        <v>0</v>
      </c>
      <c r="Y58" s="70">
        <f>Sales!Y57*Y$6</f>
        <v>0</v>
      </c>
      <c r="Z58" s="70">
        <f>Sales!Z57*Z$6</f>
        <v>0</v>
      </c>
      <c r="AA58" s="70">
        <f>Sales!AA57*AA$6</f>
        <v>0</v>
      </c>
      <c r="AB58" s="70">
        <f>Sales!AB57*AB$6</f>
        <v>0</v>
      </c>
      <c r="AC58" s="70">
        <f>Sales!AC57*AC$6</f>
        <v>0</v>
      </c>
      <c r="AD58" s="70">
        <f>Sales!AD57*AD$6</f>
        <v>0</v>
      </c>
      <c r="AE58" s="70">
        <f>Sales!AE57*AE$6</f>
        <v>0</v>
      </c>
      <c r="AF58" s="70">
        <f>Sales!AF57*AF$6</f>
        <v>0</v>
      </c>
      <c r="AG58" s="70">
        <f>Sales!AG57*AG$6</f>
        <v>0</v>
      </c>
    </row>
    <row r="59" spans="1:33" s="649" customFormat="1" ht="19.5" customHeight="1" outlineLevel="1">
      <c r="A59" s="894"/>
      <c r="B59" s="287"/>
      <c r="C59" s="24" t="str">
        <f>"   Cost of Materials/Goods: "&amp;C57 &amp;" (per unit)"</f>
        <v xml:space="preserve">   Cost of Materials/Goods: Spare Parts (per unit)</v>
      </c>
      <c r="D59" s="8" t="str">
        <f>Currency_Label &amp;"/per unit"</f>
        <v>USD/per unit</v>
      </c>
      <c r="E59" s="287"/>
      <c r="F59" s="287"/>
      <c r="G59" s="287"/>
      <c r="H59" s="287"/>
      <c r="I59" s="287"/>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row>
    <row r="60" spans="1:33" s="649" customFormat="1" ht="19.5" customHeight="1" outlineLevel="1">
      <c r="A60" s="894"/>
      <c r="B60" s="287"/>
      <c r="C60" s="24" t="str">
        <f>"Cost of Materials/Goods: "&amp;C57</f>
        <v>Cost of Materials/Goods: Spare Parts</v>
      </c>
      <c r="D60" s="8" t="str">
        <f>Currency_Label</f>
        <v>USD</v>
      </c>
      <c r="E60" s="287"/>
      <c r="F60" s="287"/>
      <c r="G60" s="287"/>
      <c r="H60" s="287"/>
      <c r="I60" s="71">
        <f>SUM(J60:AG60)</f>
        <v>0</v>
      </c>
      <c r="J60" s="690">
        <f t="shared" ref="J60:AG60" si="11">J58*J59*J$6</f>
        <v>0</v>
      </c>
      <c r="K60" s="690">
        <f t="shared" si="11"/>
        <v>0</v>
      </c>
      <c r="L60" s="690">
        <f t="shared" si="11"/>
        <v>0</v>
      </c>
      <c r="M60" s="690">
        <f t="shared" si="11"/>
        <v>0</v>
      </c>
      <c r="N60" s="690">
        <f t="shared" si="11"/>
        <v>0</v>
      </c>
      <c r="O60" s="690">
        <f t="shared" si="11"/>
        <v>0</v>
      </c>
      <c r="P60" s="690">
        <f t="shared" si="11"/>
        <v>0</v>
      </c>
      <c r="Q60" s="690">
        <f t="shared" si="11"/>
        <v>0</v>
      </c>
      <c r="R60" s="690">
        <f t="shared" si="11"/>
        <v>0</v>
      </c>
      <c r="S60" s="690">
        <f t="shared" si="11"/>
        <v>0</v>
      </c>
      <c r="T60" s="690">
        <f t="shared" si="11"/>
        <v>0</v>
      </c>
      <c r="U60" s="690">
        <f t="shared" si="11"/>
        <v>0</v>
      </c>
      <c r="V60" s="690">
        <f t="shared" si="11"/>
        <v>0</v>
      </c>
      <c r="W60" s="690">
        <f t="shared" si="11"/>
        <v>0</v>
      </c>
      <c r="X60" s="690">
        <f t="shared" si="11"/>
        <v>0</v>
      </c>
      <c r="Y60" s="690">
        <f t="shared" si="11"/>
        <v>0</v>
      </c>
      <c r="Z60" s="690">
        <f t="shared" si="11"/>
        <v>0</v>
      </c>
      <c r="AA60" s="690">
        <f t="shared" si="11"/>
        <v>0</v>
      </c>
      <c r="AB60" s="690">
        <f t="shared" si="11"/>
        <v>0</v>
      </c>
      <c r="AC60" s="690">
        <f t="shared" si="11"/>
        <v>0</v>
      </c>
      <c r="AD60" s="690">
        <f t="shared" si="11"/>
        <v>0</v>
      </c>
      <c r="AE60" s="690">
        <f t="shared" si="11"/>
        <v>0</v>
      </c>
      <c r="AF60" s="690">
        <f t="shared" si="11"/>
        <v>0</v>
      </c>
      <c r="AG60" s="690">
        <f t="shared" si="11"/>
        <v>0</v>
      </c>
    </row>
    <row r="61" spans="1:33" s="649" customFormat="1" ht="19.5" customHeight="1" outlineLevel="1">
      <c r="A61" s="894"/>
      <c r="B61" s="287"/>
      <c r="C61" s="273" t="str">
        <f>Product_10</f>
        <v>License Fees</v>
      </c>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row>
    <row r="62" spans="1:33" s="649" customFormat="1" ht="19.5" customHeight="1" outlineLevel="1">
      <c r="A62" s="894"/>
      <c r="B62" s="287"/>
      <c r="C62" s="24" t="str">
        <f>"Sales quantity: "&amp;C61</f>
        <v>Sales quantity: License Fees</v>
      </c>
      <c r="D62" s="8" t="s">
        <v>208</v>
      </c>
      <c r="E62" s="287"/>
      <c r="F62" s="287"/>
      <c r="G62" s="287"/>
      <c r="H62" s="287"/>
      <c r="I62" s="71">
        <f>SUMPRODUCT((J$6:AG$6),(J62:AG62))</f>
        <v>0</v>
      </c>
      <c r="J62" s="70">
        <f>Sales!J61*J$6</f>
        <v>0</v>
      </c>
      <c r="K62" s="70">
        <f>Sales!K61*K$6</f>
        <v>0</v>
      </c>
      <c r="L62" s="70">
        <f>Sales!L61*L$6</f>
        <v>0</v>
      </c>
      <c r="M62" s="70">
        <f>Sales!M61*M$6</f>
        <v>0</v>
      </c>
      <c r="N62" s="70">
        <f>Sales!N61*N$6</f>
        <v>0</v>
      </c>
      <c r="O62" s="70">
        <f>Sales!O61*O$6</f>
        <v>0</v>
      </c>
      <c r="P62" s="70">
        <f>Sales!P61*P$6</f>
        <v>0</v>
      </c>
      <c r="Q62" s="70">
        <f>Sales!Q61*Q$6</f>
        <v>0</v>
      </c>
      <c r="R62" s="70">
        <f>Sales!R61*R$6</f>
        <v>0</v>
      </c>
      <c r="S62" s="70">
        <f>Sales!S61*S$6</f>
        <v>0</v>
      </c>
      <c r="T62" s="70">
        <f>Sales!T61*T$6</f>
        <v>0</v>
      </c>
      <c r="U62" s="70">
        <f>Sales!U61*U$6</f>
        <v>0</v>
      </c>
      <c r="V62" s="70">
        <f>Sales!V61*V$6</f>
        <v>0</v>
      </c>
      <c r="W62" s="70">
        <f>Sales!W61*W$6</f>
        <v>0</v>
      </c>
      <c r="X62" s="70">
        <f>Sales!X61*X$6</f>
        <v>0</v>
      </c>
      <c r="Y62" s="70">
        <f>Sales!Y61*Y$6</f>
        <v>0</v>
      </c>
      <c r="Z62" s="70">
        <f>Sales!Z61*Z$6</f>
        <v>0</v>
      </c>
      <c r="AA62" s="70">
        <f>Sales!AA61*AA$6</f>
        <v>0</v>
      </c>
      <c r="AB62" s="70">
        <f>Sales!AB61*AB$6</f>
        <v>0</v>
      </c>
      <c r="AC62" s="70">
        <f>Sales!AC61*AC$6</f>
        <v>0</v>
      </c>
      <c r="AD62" s="70">
        <f>Sales!AD61*AD$6</f>
        <v>0</v>
      </c>
      <c r="AE62" s="70">
        <f>Sales!AE61*AE$6</f>
        <v>0</v>
      </c>
      <c r="AF62" s="70">
        <f>Sales!AF61*AF$6</f>
        <v>0</v>
      </c>
      <c r="AG62" s="70">
        <f>Sales!AG61*AG$6</f>
        <v>0</v>
      </c>
    </row>
    <row r="63" spans="1:33" s="649" customFormat="1" ht="19.5" customHeight="1" outlineLevel="1">
      <c r="A63" s="894"/>
      <c r="B63" s="287"/>
      <c r="C63" s="24" t="str">
        <f>"   Cost of Materials/Goods: "&amp;C61 &amp;" (per unit)"</f>
        <v xml:space="preserve">   Cost of Materials/Goods: License Fees (per unit)</v>
      </c>
      <c r="D63" s="8" t="str">
        <f>Currency_Label &amp;"/per unit"</f>
        <v>USD/per unit</v>
      </c>
      <c r="E63" s="287"/>
      <c r="F63" s="287"/>
      <c r="G63" s="287"/>
      <c r="H63" s="287"/>
      <c r="I63" s="287"/>
      <c r="J63" s="270"/>
      <c r="K63" s="270"/>
      <c r="L63" s="270"/>
      <c r="M63" s="270"/>
      <c r="N63" s="270"/>
      <c r="O63" s="270"/>
      <c r="P63" s="270"/>
      <c r="Q63" s="270"/>
      <c r="R63" s="270"/>
      <c r="S63" s="270"/>
      <c r="T63" s="270"/>
      <c r="U63" s="270"/>
      <c r="V63" s="270"/>
      <c r="W63" s="270"/>
      <c r="X63" s="270"/>
      <c r="Y63" s="270"/>
      <c r="Z63" s="270"/>
      <c r="AA63" s="270"/>
      <c r="AB63" s="270"/>
      <c r="AC63" s="270"/>
      <c r="AD63" s="270"/>
      <c r="AE63" s="270"/>
      <c r="AF63" s="270"/>
      <c r="AG63" s="270"/>
    </row>
    <row r="64" spans="1:33" s="649" customFormat="1" ht="19.5" customHeight="1" outlineLevel="1">
      <c r="A64" s="894"/>
      <c r="B64" s="287"/>
      <c r="C64" s="24" t="str">
        <f>"Cost of Materials/Goods: "&amp;C61</f>
        <v>Cost of Materials/Goods: License Fees</v>
      </c>
      <c r="D64" s="8" t="str">
        <f>Currency_Label</f>
        <v>USD</v>
      </c>
      <c r="E64" s="287"/>
      <c r="F64" s="287"/>
      <c r="G64" s="287"/>
      <c r="H64" s="287"/>
      <c r="I64" s="71">
        <f>SUM(J64:AG64)</f>
        <v>0</v>
      </c>
      <c r="J64" s="690">
        <f t="shared" ref="J64:AG64" si="12">J62*J63*J$6</f>
        <v>0</v>
      </c>
      <c r="K64" s="690">
        <f t="shared" si="12"/>
        <v>0</v>
      </c>
      <c r="L64" s="690">
        <f t="shared" si="12"/>
        <v>0</v>
      </c>
      <c r="M64" s="690">
        <f t="shared" si="12"/>
        <v>0</v>
      </c>
      <c r="N64" s="690">
        <f t="shared" si="12"/>
        <v>0</v>
      </c>
      <c r="O64" s="690">
        <f t="shared" si="12"/>
        <v>0</v>
      </c>
      <c r="P64" s="690">
        <f t="shared" si="12"/>
        <v>0</v>
      </c>
      <c r="Q64" s="690">
        <f t="shared" si="12"/>
        <v>0</v>
      </c>
      <c r="R64" s="690">
        <f t="shared" si="12"/>
        <v>0</v>
      </c>
      <c r="S64" s="690">
        <f t="shared" si="12"/>
        <v>0</v>
      </c>
      <c r="T64" s="690">
        <f t="shared" si="12"/>
        <v>0</v>
      </c>
      <c r="U64" s="690">
        <f t="shared" si="12"/>
        <v>0</v>
      </c>
      <c r="V64" s="690">
        <f t="shared" si="12"/>
        <v>0</v>
      </c>
      <c r="W64" s="690">
        <f t="shared" si="12"/>
        <v>0</v>
      </c>
      <c r="X64" s="690">
        <f t="shared" si="12"/>
        <v>0</v>
      </c>
      <c r="Y64" s="690">
        <f t="shared" si="12"/>
        <v>0</v>
      </c>
      <c r="Z64" s="690">
        <f t="shared" si="12"/>
        <v>0</v>
      </c>
      <c r="AA64" s="690">
        <f t="shared" si="12"/>
        <v>0</v>
      </c>
      <c r="AB64" s="690">
        <f t="shared" si="12"/>
        <v>0</v>
      </c>
      <c r="AC64" s="690">
        <f t="shared" si="12"/>
        <v>0</v>
      </c>
      <c r="AD64" s="690">
        <f t="shared" si="12"/>
        <v>0</v>
      </c>
      <c r="AE64" s="690">
        <f t="shared" si="12"/>
        <v>0</v>
      </c>
      <c r="AF64" s="690">
        <f t="shared" si="12"/>
        <v>0</v>
      </c>
      <c r="AG64" s="690">
        <f t="shared" si="12"/>
        <v>0</v>
      </c>
    </row>
    <row r="65" spans="1:33" s="649" customFormat="1" ht="19.5" customHeight="1" outlineLevel="1">
      <c r="A65" s="894"/>
      <c r="B65" s="287"/>
      <c r="C65" s="326"/>
      <c r="D65" s="275"/>
      <c r="E65" s="287"/>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E65" s="287"/>
      <c r="AF65" s="287"/>
      <c r="AG65" s="287"/>
    </row>
    <row r="66" spans="1:33" s="130" customFormat="1" ht="19.5" customHeight="1" outlineLevel="1">
      <c r="A66" s="894"/>
      <c r="B66" s="241"/>
      <c r="C66" s="121" t="s">
        <v>236</v>
      </c>
      <c r="D66" s="8" t="str">
        <f>Currency_Label</f>
        <v>USD</v>
      </c>
      <c r="E66" s="241"/>
      <c r="F66" s="241"/>
      <c r="G66" s="241"/>
      <c r="H66" s="241"/>
      <c r="I66" s="71">
        <f>SUMPRODUCT((J$6:AG$6),(J66:AG66))</f>
        <v>1111940</v>
      </c>
      <c r="J66" s="690">
        <f t="shared" ref="J66:AG66" si="13">J28+J32+J36+J40+J44+J48+J52+J56+J60+J64</f>
        <v>47850</v>
      </c>
      <c r="K66" s="690">
        <f t="shared" si="13"/>
        <v>52470</v>
      </c>
      <c r="L66" s="690">
        <f t="shared" si="13"/>
        <v>52470</v>
      </c>
      <c r="M66" s="690">
        <f t="shared" si="13"/>
        <v>52470</v>
      </c>
      <c r="N66" s="690">
        <f t="shared" si="13"/>
        <v>52470</v>
      </c>
      <c r="O66" s="690">
        <f t="shared" si="13"/>
        <v>52470</v>
      </c>
      <c r="P66" s="690">
        <f t="shared" si="13"/>
        <v>52470</v>
      </c>
      <c r="Q66" s="690">
        <f t="shared" si="13"/>
        <v>50650</v>
      </c>
      <c r="R66" s="690">
        <f t="shared" si="13"/>
        <v>50650</v>
      </c>
      <c r="S66" s="690">
        <f t="shared" si="13"/>
        <v>53850</v>
      </c>
      <c r="T66" s="690">
        <f t="shared" si="13"/>
        <v>53850</v>
      </c>
      <c r="U66" s="690">
        <f t="shared" si="13"/>
        <v>53850</v>
      </c>
      <c r="V66" s="690">
        <f t="shared" si="13"/>
        <v>53850</v>
      </c>
      <c r="W66" s="690">
        <f t="shared" si="13"/>
        <v>53850</v>
      </c>
      <c r="X66" s="690">
        <f t="shared" si="13"/>
        <v>53850</v>
      </c>
      <c r="Y66" s="690">
        <f t="shared" si="13"/>
        <v>53850</v>
      </c>
      <c r="Z66" s="690">
        <f t="shared" si="13"/>
        <v>53850</v>
      </c>
      <c r="AA66" s="690">
        <f t="shared" si="13"/>
        <v>53850</v>
      </c>
      <c r="AB66" s="690">
        <f t="shared" si="13"/>
        <v>53850</v>
      </c>
      <c r="AC66" s="690">
        <f t="shared" si="13"/>
        <v>52250</v>
      </c>
      <c r="AD66" s="690">
        <f t="shared" si="13"/>
        <v>57220</v>
      </c>
      <c r="AE66" s="690">
        <f t="shared" si="13"/>
        <v>0</v>
      </c>
      <c r="AF66" s="690">
        <f t="shared" si="13"/>
        <v>0</v>
      </c>
      <c r="AG66" s="690">
        <f t="shared" si="13"/>
        <v>0</v>
      </c>
    </row>
    <row r="67" spans="1:33" s="130" customFormat="1" ht="19.5" customHeight="1" outlineLevel="1">
      <c r="A67" s="894"/>
      <c r="B67" s="241"/>
      <c r="C67" s="326"/>
      <c r="D67" s="275"/>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c r="AE67" s="241"/>
      <c r="AF67" s="241"/>
      <c r="AG67" s="241"/>
    </row>
    <row r="68" spans="1:33" s="130" customFormat="1" ht="19.5" customHeight="1" outlineLevel="1">
      <c r="A68" s="894"/>
      <c r="B68" s="279" t="s">
        <v>35</v>
      </c>
      <c r="C68" s="279" t="s">
        <v>239</v>
      </c>
      <c r="D68" s="241"/>
      <c r="E68" s="241"/>
      <c r="F68" s="325"/>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row>
    <row r="69" spans="1:33" ht="18" customHeight="1" outlineLevel="1">
      <c r="A69" s="894"/>
      <c r="B69" s="241"/>
      <c r="C69" s="273" t="str">
        <f>Product_01</f>
        <v>Desktops</v>
      </c>
      <c r="D69" s="287"/>
      <c r="E69" s="11">
        <f>YEAR(Startdatum)</f>
        <v>2019</v>
      </c>
      <c r="F69" s="11">
        <f>E69+1</f>
        <v>2020</v>
      </c>
      <c r="G69" s="11">
        <f>F69+1</f>
        <v>2021</v>
      </c>
      <c r="H69" s="11">
        <f>G69+1</f>
        <v>2022</v>
      </c>
      <c r="I69" s="11">
        <f>H69+1</f>
        <v>2023</v>
      </c>
      <c r="J69" s="241"/>
      <c r="K69" s="241"/>
      <c r="L69" s="241"/>
      <c r="M69" s="241"/>
      <c r="N69" s="241"/>
      <c r="O69" s="241"/>
      <c r="P69" s="241"/>
      <c r="Q69" s="241"/>
      <c r="R69" s="241"/>
      <c r="S69" s="241"/>
      <c r="T69" s="241"/>
      <c r="U69" s="241"/>
      <c r="V69" s="241"/>
      <c r="W69" s="241"/>
      <c r="X69" s="241"/>
      <c r="Y69" s="241"/>
      <c r="Z69" s="241"/>
      <c r="AA69" s="241"/>
      <c r="AB69" s="241"/>
      <c r="AC69" s="241"/>
      <c r="AD69" s="241"/>
      <c r="AE69" s="241"/>
      <c r="AF69" s="241"/>
      <c r="AG69" s="241"/>
    </row>
    <row r="70" spans="1:33" ht="18" customHeight="1" outlineLevel="1">
      <c r="A70" s="894"/>
      <c r="B70" s="241"/>
      <c r="C70" s="24" t="s">
        <v>238</v>
      </c>
      <c r="D70" s="8" t="s">
        <v>26</v>
      </c>
      <c r="E70" s="271"/>
      <c r="F70" s="271"/>
      <c r="G70" s="271"/>
      <c r="H70" s="271"/>
      <c r="I70" s="271"/>
      <c r="J70" s="241"/>
      <c r="K70" s="241"/>
      <c r="L70" s="241"/>
      <c r="M70" s="241"/>
      <c r="N70" s="241"/>
      <c r="O70" s="241"/>
      <c r="P70" s="241"/>
      <c r="Q70" s="241"/>
      <c r="R70" s="241"/>
      <c r="S70" s="241"/>
      <c r="T70" s="241"/>
      <c r="U70" s="241"/>
      <c r="V70" s="241"/>
      <c r="W70" s="241"/>
      <c r="X70" s="241"/>
      <c r="Y70" s="241"/>
      <c r="Z70" s="241"/>
      <c r="AA70" s="241"/>
      <c r="AB70" s="241"/>
      <c r="AC70" s="241"/>
      <c r="AD70" s="241"/>
      <c r="AE70" s="241"/>
      <c r="AF70" s="241"/>
      <c r="AG70" s="241"/>
    </row>
    <row r="71" spans="1:33" ht="18" customHeight="1" outlineLevel="1">
      <c r="A71" s="894"/>
      <c r="B71" s="241"/>
      <c r="C71" s="24" t="str">
        <f>"Cost of Materials/Goods: "&amp;C69</f>
        <v>Cost of Materials/Goods: Desktops</v>
      </c>
      <c r="D71" s="8" t="str">
        <f>Currency_Label</f>
        <v>USD</v>
      </c>
      <c r="E71" s="287"/>
      <c r="F71" s="287"/>
      <c r="G71" s="329"/>
      <c r="H71" s="287"/>
      <c r="I71" s="71">
        <f>SUM(J71:AG71)</f>
        <v>0</v>
      </c>
      <c r="J71" s="690">
        <f>LOOKUP(YEAR(J$5),$E$69:$I$69,$E70:$I70)*Sales!J70*J$6</f>
        <v>0</v>
      </c>
      <c r="K71" s="690">
        <f>LOOKUP(YEAR(K$5),$E$69:$I$69,$E70:$I70)*Sales!K70*K$6</f>
        <v>0</v>
      </c>
      <c r="L71" s="690">
        <f>LOOKUP(YEAR(L$5),$E$69:$I$69,$E70:$I70)*Sales!L70*L$6</f>
        <v>0</v>
      </c>
      <c r="M71" s="690">
        <f>LOOKUP(YEAR(M$5),$E$69:$I$69,$E70:$I70)*Sales!M70*M$6</f>
        <v>0</v>
      </c>
      <c r="N71" s="690">
        <f>LOOKUP(YEAR(N$5),$E$69:$I$69,$E70:$I70)*Sales!N70*N$6</f>
        <v>0</v>
      </c>
      <c r="O71" s="690">
        <f>LOOKUP(YEAR(O$5),$E$69:$I$69,$E70:$I70)*Sales!O70*O$6</f>
        <v>0</v>
      </c>
      <c r="P71" s="690">
        <f>LOOKUP(YEAR(P$5),$E$69:$I$69,$E70:$I70)*Sales!P70*P$6</f>
        <v>0</v>
      </c>
      <c r="Q71" s="690">
        <f>LOOKUP(YEAR(Q$5),$E$69:$I$69,$E70:$I70)*Sales!Q70*Q$6</f>
        <v>0</v>
      </c>
      <c r="R71" s="690">
        <f>LOOKUP(YEAR(R$5),$E$69:$I$69,$E70:$I70)*Sales!R70*R$6</f>
        <v>0</v>
      </c>
      <c r="S71" s="690">
        <f>LOOKUP(YEAR(S$5),$E$69:$I$69,$E70:$I70)*Sales!S70*S$6</f>
        <v>0</v>
      </c>
      <c r="T71" s="690">
        <f>LOOKUP(YEAR(T$5),$E$69:$I$69,$E70:$I70)*Sales!T70*T$6</f>
        <v>0</v>
      </c>
      <c r="U71" s="690">
        <f>LOOKUP(YEAR(U$5),$E$69:$I$69,$E70:$I70)*Sales!U70*U$6</f>
        <v>0</v>
      </c>
      <c r="V71" s="690">
        <f>LOOKUP(YEAR(V$5),$E$69:$I$69,$E70:$I70)*Sales!V70*V$6</f>
        <v>0</v>
      </c>
      <c r="W71" s="690">
        <f>LOOKUP(YEAR(W$5),$E$69:$I$69,$E70:$I70)*Sales!W70*W$6</f>
        <v>0</v>
      </c>
      <c r="X71" s="690">
        <f>LOOKUP(YEAR(X$5),$E$69:$I$69,$E70:$I70)*Sales!X70*X$6</f>
        <v>0</v>
      </c>
      <c r="Y71" s="690">
        <f>LOOKUP(YEAR(Y$5),$E$69:$I$69,$E70:$I70)*Sales!Y70*Y$6</f>
        <v>0</v>
      </c>
      <c r="Z71" s="690">
        <f>LOOKUP(YEAR(Z$5),$E$69:$I$69,$E70:$I70)*Sales!Z70*Z$6</f>
        <v>0</v>
      </c>
      <c r="AA71" s="690">
        <f>LOOKUP(YEAR(AA$5),$E$69:$I$69,$E70:$I70)*Sales!AA70*AA$6</f>
        <v>0</v>
      </c>
      <c r="AB71" s="690">
        <f>LOOKUP(YEAR(AB$5),$E$69:$I$69,$E70:$I70)*Sales!AB70*AB$6</f>
        <v>0</v>
      </c>
      <c r="AC71" s="690">
        <f>LOOKUP(YEAR(AC$5),$E$69:$I$69,$E70:$I70)*Sales!AC70*AC$6</f>
        <v>0</v>
      </c>
      <c r="AD71" s="690">
        <f>LOOKUP(YEAR(AD$5),$E$69:$I$69,$E70:$I70)*Sales!AD70*AD$6</f>
        <v>0</v>
      </c>
      <c r="AE71" s="690">
        <f>LOOKUP(YEAR(AE$5),$E$69:$I$69,$E70:$I70)*Sales!AE70*AE$6</f>
        <v>0</v>
      </c>
      <c r="AF71" s="690">
        <f>LOOKUP(YEAR(AF$5),$E$69:$I$69,$E70:$I70)*Sales!AF70*AF$6</f>
        <v>0</v>
      </c>
      <c r="AG71" s="690">
        <f>LOOKUP(YEAR(AG$5),$E$69:$I$69,$E70:$I70)*Sales!AG70*AG$6</f>
        <v>0</v>
      </c>
    </row>
    <row r="72" spans="1:33" s="649" customFormat="1" ht="18" customHeight="1" outlineLevel="1">
      <c r="A72" s="894"/>
      <c r="B72" s="287"/>
      <c r="C72" s="287"/>
      <c r="D72" s="287"/>
      <c r="E72" s="287"/>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E72" s="287"/>
      <c r="AF72" s="287"/>
      <c r="AG72" s="287"/>
    </row>
    <row r="73" spans="1:33" s="649" customFormat="1" ht="18" customHeight="1" outlineLevel="1">
      <c r="A73" s="894"/>
      <c r="B73" s="287"/>
      <c r="C73" s="273" t="str">
        <f>Product_02</f>
        <v>Workstations</v>
      </c>
      <c r="D73" s="287"/>
      <c r="E73" s="11">
        <f>YEAR(Startdatum)</f>
        <v>2019</v>
      </c>
      <c r="F73" s="11">
        <f>E73+1</f>
        <v>2020</v>
      </c>
      <c r="G73" s="11">
        <f>F73+1</f>
        <v>2021</v>
      </c>
      <c r="H73" s="11">
        <f>G73+1</f>
        <v>2022</v>
      </c>
      <c r="I73" s="11">
        <f>H73+1</f>
        <v>2023</v>
      </c>
      <c r="J73" s="287"/>
      <c r="K73" s="287"/>
      <c r="L73" s="287"/>
      <c r="M73" s="287"/>
      <c r="N73" s="287"/>
      <c r="O73" s="287"/>
      <c r="P73" s="287"/>
      <c r="Q73" s="287"/>
      <c r="R73" s="287"/>
      <c r="S73" s="287"/>
      <c r="T73" s="287"/>
      <c r="U73" s="287"/>
      <c r="V73" s="287"/>
      <c r="W73" s="287"/>
      <c r="X73" s="287"/>
      <c r="Y73" s="287"/>
      <c r="Z73" s="287"/>
      <c r="AA73" s="287"/>
      <c r="AB73" s="287"/>
      <c r="AC73" s="287"/>
      <c r="AD73" s="287"/>
      <c r="AE73" s="287"/>
      <c r="AF73" s="287"/>
      <c r="AG73" s="287"/>
    </row>
    <row r="74" spans="1:33" s="649" customFormat="1" ht="18" customHeight="1" outlineLevel="1">
      <c r="A74" s="894"/>
      <c r="B74" s="287"/>
      <c r="C74" s="24" t="s">
        <v>238</v>
      </c>
      <c r="D74" s="8" t="s">
        <v>26</v>
      </c>
      <c r="E74" s="271"/>
      <c r="F74" s="271"/>
      <c r="G74" s="271"/>
      <c r="H74" s="271"/>
      <c r="I74" s="271"/>
      <c r="J74" s="287"/>
      <c r="K74" s="287"/>
      <c r="L74" s="287"/>
      <c r="M74" s="287"/>
      <c r="N74" s="287"/>
      <c r="O74" s="287"/>
      <c r="P74" s="287"/>
      <c r="Q74" s="287"/>
      <c r="R74" s="287"/>
      <c r="S74" s="287"/>
      <c r="T74" s="287"/>
      <c r="U74" s="287"/>
      <c r="V74" s="287"/>
      <c r="W74" s="287"/>
      <c r="X74" s="287"/>
      <c r="Y74" s="287"/>
      <c r="Z74" s="287"/>
      <c r="AA74" s="287"/>
      <c r="AB74" s="287"/>
      <c r="AC74" s="287"/>
      <c r="AD74" s="287"/>
      <c r="AE74" s="287"/>
      <c r="AF74" s="287"/>
      <c r="AG74" s="287"/>
    </row>
    <row r="75" spans="1:33" s="649" customFormat="1" ht="18" customHeight="1" outlineLevel="1">
      <c r="A75" s="894"/>
      <c r="B75" s="287"/>
      <c r="C75" s="24" t="str">
        <f>"Cost of Materials/Goods: "&amp;C73</f>
        <v>Cost of Materials/Goods: Workstations</v>
      </c>
      <c r="D75" s="8" t="str">
        <f>Currency_Label</f>
        <v>USD</v>
      </c>
      <c r="E75" s="287"/>
      <c r="F75" s="287"/>
      <c r="G75" s="329"/>
      <c r="H75" s="287"/>
      <c r="I75" s="71">
        <f>SUM(J75:AG75)</f>
        <v>0</v>
      </c>
      <c r="J75" s="690">
        <f>LOOKUP(YEAR(J$5),$E$69:$I$69,$E74:$I74)*Sales!J71*J$6</f>
        <v>0</v>
      </c>
      <c r="K75" s="690">
        <f>LOOKUP(YEAR(K$5),$E$69:$I$69,$E74:$I74)*Sales!K71*K$6</f>
        <v>0</v>
      </c>
      <c r="L75" s="690">
        <f>LOOKUP(YEAR(L$5),$E$69:$I$69,$E74:$I74)*Sales!L71*L$6</f>
        <v>0</v>
      </c>
      <c r="M75" s="690">
        <f>LOOKUP(YEAR(M$5),$E$69:$I$69,$E74:$I74)*Sales!M71*M$6</f>
        <v>0</v>
      </c>
      <c r="N75" s="690">
        <f>LOOKUP(YEAR(N$5),$E$69:$I$69,$E74:$I74)*Sales!N71*N$6</f>
        <v>0</v>
      </c>
      <c r="O75" s="690">
        <f>LOOKUP(YEAR(O$5),$E$69:$I$69,$E74:$I74)*Sales!O71*O$6</f>
        <v>0</v>
      </c>
      <c r="P75" s="690">
        <f>LOOKUP(YEAR(P$5),$E$69:$I$69,$E74:$I74)*Sales!P71*P$6</f>
        <v>0</v>
      </c>
      <c r="Q75" s="690">
        <f>LOOKUP(YEAR(Q$5),$E$69:$I$69,$E74:$I74)*Sales!Q71*Q$6</f>
        <v>0</v>
      </c>
      <c r="R75" s="690">
        <f>LOOKUP(YEAR(R$5),$E$69:$I$69,$E74:$I74)*Sales!R71*R$6</f>
        <v>0</v>
      </c>
      <c r="S75" s="690">
        <f>LOOKUP(YEAR(S$5),$E$69:$I$69,$E74:$I74)*Sales!S71*S$6</f>
        <v>0</v>
      </c>
      <c r="T75" s="690">
        <f>LOOKUP(YEAR(T$5),$E$69:$I$69,$E74:$I74)*Sales!T71*T$6</f>
        <v>0</v>
      </c>
      <c r="U75" s="690">
        <f>LOOKUP(YEAR(U$5),$E$69:$I$69,$E74:$I74)*Sales!U71*U$6</f>
        <v>0</v>
      </c>
      <c r="V75" s="690">
        <f>LOOKUP(YEAR(V$5),$E$69:$I$69,$E74:$I74)*Sales!V71*V$6</f>
        <v>0</v>
      </c>
      <c r="W75" s="690">
        <f>LOOKUP(YEAR(W$5),$E$69:$I$69,$E74:$I74)*Sales!W71*W$6</f>
        <v>0</v>
      </c>
      <c r="X75" s="690">
        <f>LOOKUP(YEAR(X$5),$E$69:$I$69,$E74:$I74)*Sales!X71*X$6</f>
        <v>0</v>
      </c>
      <c r="Y75" s="690">
        <f>LOOKUP(YEAR(Y$5),$E$69:$I$69,$E74:$I74)*Sales!Y71*Y$6</f>
        <v>0</v>
      </c>
      <c r="Z75" s="690">
        <f>LOOKUP(YEAR(Z$5),$E$69:$I$69,$E74:$I74)*Sales!Z71*Z$6</f>
        <v>0</v>
      </c>
      <c r="AA75" s="690">
        <f>LOOKUP(YEAR(AA$5),$E$69:$I$69,$E74:$I74)*Sales!AA71*AA$6</f>
        <v>0</v>
      </c>
      <c r="AB75" s="690">
        <f>LOOKUP(YEAR(AB$5),$E$69:$I$69,$E74:$I74)*Sales!AB71*AB$6</f>
        <v>0</v>
      </c>
      <c r="AC75" s="690">
        <f>LOOKUP(YEAR(AC$5),$E$69:$I$69,$E74:$I74)*Sales!AC71*AC$6</f>
        <v>0</v>
      </c>
      <c r="AD75" s="690">
        <f>LOOKUP(YEAR(AD$5),$E$69:$I$69,$E74:$I74)*Sales!AD71*AD$6</f>
        <v>0</v>
      </c>
      <c r="AE75" s="690">
        <f>LOOKUP(YEAR(AE$5),$E$69:$I$69,$E74:$I74)*Sales!AE71*AE$6</f>
        <v>0</v>
      </c>
      <c r="AF75" s="690">
        <f>LOOKUP(YEAR(AF$5),$E$69:$I$69,$E74:$I74)*Sales!AF71*AF$6</f>
        <v>0</v>
      </c>
      <c r="AG75" s="690">
        <f>LOOKUP(YEAR(AG$5),$E$69:$I$69,$E74:$I74)*Sales!AG71*AG$6</f>
        <v>0</v>
      </c>
    </row>
    <row r="76" spans="1:33" s="649" customFormat="1" ht="18" customHeight="1" outlineLevel="1">
      <c r="A76" s="894"/>
      <c r="B76" s="287"/>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E76" s="287"/>
      <c r="AF76" s="287"/>
      <c r="AG76" s="287"/>
    </row>
    <row r="77" spans="1:33" s="649" customFormat="1" ht="18" customHeight="1" outlineLevel="1">
      <c r="A77" s="894"/>
      <c r="B77" s="287"/>
      <c r="C77" s="273" t="str">
        <f>Product_03</f>
        <v>Notebooks</v>
      </c>
      <c r="D77" s="287"/>
      <c r="E77" s="11">
        <f>YEAR(Startdatum)</f>
        <v>2019</v>
      </c>
      <c r="F77" s="11">
        <f>E77+1</f>
        <v>2020</v>
      </c>
      <c r="G77" s="11">
        <f>F77+1</f>
        <v>2021</v>
      </c>
      <c r="H77" s="11">
        <f>G77+1</f>
        <v>2022</v>
      </c>
      <c r="I77" s="11">
        <f>H77+1</f>
        <v>2023</v>
      </c>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row>
    <row r="78" spans="1:33" s="649" customFormat="1" ht="18" customHeight="1" outlineLevel="1">
      <c r="A78" s="894"/>
      <c r="B78" s="287"/>
      <c r="C78" s="24" t="s">
        <v>238</v>
      </c>
      <c r="D78" s="8" t="s">
        <v>26</v>
      </c>
      <c r="E78" s="271"/>
      <c r="F78" s="271"/>
      <c r="G78" s="271"/>
      <c r="H78" s="271"/>
      <c r="I78" s="271"/>
      <c r="J78" s="287"/>
      <c r="K78" s="287"/>
      <c r="L78" s="287"/>
      <c r="M78" s="287"/>
      <c r="N78" s="287"/>
      <c r="O78" s="287"/>
      <c r="P78" s="287"/>
      <c r="Q78" s="287"/>
      <c r="R78" s="287"/>
      <c r="S78" s="287"/>
      <c r="T78" s="287"/>
      <c r="U78" s="287"/>
      <c r="V78" s="287"/>
      <c r="W78" s="287"/>
      <c r="X78" s="287"/>
      <c r="Y78" s="287"/>
      <c r="Z78" s="287"/>
      <c r="AA78" s="287"/>
      <c r="AB78" s="287"/>
      <c r="AC78" s="287"/>
      <c r="AD78" s="287"/>
      <c r="AE78" s="287"/>
      <c r="AF78" s="287"/>
      <c r="AG78" s="287"/>
    </row>
    <row r="79" spans="1:33" s="649" customFormat="1" ht="18" customHeight="1" outlineLevel="1">
      <c r="A79" s="894"/>
      <c r="B79" s="287"/>
      <c r="C79" s="24" t="str">
        <f>"Cost of Materials/Goods: "&amp;C77</f>
        <v>Cost of Materials/Goods: Notebooks</v>
      </c>
      <c r="D79" s="8" t="str">
        <f>Currency_Label</f>
        <v>USD</v>
      </c>
      <c r="E79" s="287"/>
      <c r="F79" s="287"/>
      <c r="G79" s="329"/>
      <c r="H79" s="287"/>
      <c r="I79" s="71">
        <f>SUM(J79:AG79)</f>
        <v>0</v>
      </c>
      <c r="J79" s="690">
        <f>LOOKUP(YEAR(J$5),$E$69:$I$69,$E78:$I78)*Sales!J72*J$6</f>
        <v>0</v>
      </c>
      <c r="K79" s="690">
        <f>LOOKUP(YEAR(K$5),$E$69:$I$69,$E78:$I78)*Sales!K72*K$6</f>
        <v>0</v>
      </c>
      <c r="L79" s="690">
        <f>LOOKUP(YEAR(L$5),$E$69:$I$69,$E78:$I78)*Sales!L72*L$6</f>
        <v>0</v>
      </c>
      <c r="M79" s="690">
        <f>LOOKUP(YEAR(M$5),$E$69:$I$69,$E78:$I78)*Sales!M72*M$6</f>
        <v>0</v>
      </c>
      <c r="N79" s="690">
        <f>LOOKUP(YEAR(N$5),$E$69:$I$69,$E78:$I78)*Sales!N72*N$6</f>
        <v>0</v>
      </c>
      <c r="O79" s="690">
        <f>LOOKUP(YEAR(O$5),$E$69:$I$69,$E78:$I78)*Sales!O72*O$6</f>
        <v>0</v>
      </c>
      <c r="P79" s="690">
        <f>LOOKUP(YEAR(P$5),$E$69:$I$69,$E78:$I78)*Sales!P72*P$6</f>
        <v>0</v>
      </c>
      <c r="Q79" s="690">
        <f>LOOKUP(YEAR(Q$5),$E$69:$I$69,$E78:$I78)*Sales!Q72*Q$6</f>
        <v>0</v>
      </c>
      <c r="R79" s="690">
        <f>LOOKUP(YEAR(R$5),$E$69:$I$69,$E78:$I78)*Sales!R72*R$6</f>
        <v>0</v>
      </c>
      <c r="S79" s="690">
        <f>LOOKUP(YEAR(S$5),$E$69:$I$69,$E78:$I78)*Sales!S72*S$6</f>
        <v>0</v>
      </c>
      <c r="T79" s="690">
        <f>LOOKUP(YEAR(T$5),$E$69:$I$69,$E78:$I78)*Sales!T72*T$6</f>
        <v>0</v>
      </c>
      <c r="U79" s="690">
        <f>LOOKUP(YEAR(U$5),$E$69:$I$69,$E78:$I78)*Sales!U72*U$6</f>
        <v>0</v>
      </c>
      <c r="V79" s="690">
        <f>LOOKUP(YEAR(V$5),$E$69:$I$69,$E78:$I78)*Sales!V72*V$6</f>
        <v>0</v>
      </c>
      <c r="W79" s="690">
        <f>LOOKUP(YEAR(W$5),$E$69:$I$69,$E78:$I78)*Sales!W72*W$6</f>
        <v>0</v>
      </c>
      <c r="X79" s="690">
        <f>LOOKUP(YEAR(X$5),$E$69:$I$69,$E78:$I78)*Sales!X72*X$6</f>
        <v>0</v>
      </c>
      <c r="Y79" s="690">
        <f>LOOKUP(YEAR(Y$5),$E$69:$I$69,$E78:$I78)*Sales!Y72*Y$6</f>
        <v>0</v>
      </c>
      <c r="Z79" s="690">
        <f>LOOKUP(YEAR(Z$5),$E$69:$I$69,$E78:$I78)*Sales!Z72*Z$6</f>
        <v>0</v>
      </c>
      <c r="AA79" s="690">
        <f>LOOKUP(YEAR(AA$5),$E$69:$I$69,$E78:$I78)*Sales!AA72*AA$6</f>
        <v>0</v>
      </c>
      <c r="AB79" s="690">
        <f>LOOKUP(YEAR(AB$5),$E$69:$I$69,$E78:$I78)*Sales!AB72*AB$6</f>
        <v>0</v>
      </c>
      <c r="AC79" s="690">
        <f>LOOKUP(YEAR(AC$5),$E$69:$I$69,$E78:$I78)*Sales!AC72*AC$6</f>
        <v>0</v>
      </c>
      <c r="AD79" s="690">
        <f>LOOKUP(YEAR(AD$5),$E$69:$I$69,$E78:$I78)*Sales!AD72*AD$6</f>
        <v>0</v>
      </c>
      <c r="AE79" s="690">
        <f>LOOKUP(YEAR(AE$5),$E$69:$I$69,$E78:$I78)*Sales!AE72*AE$6</f>
        <v>0</v>
      </c>
      <c r="AF79" s="690">
        <f>LOOKUP(YEAR(AF$5),$E$69:$I$69,$E78:$I78)*Sales!AF72*AF$6</f>
        <v>0</v>
      </c>
      <c r="AG79" s="690">
        <f>LOOKUP(YEAR(AG$5),$E$69:$I$69,$E78:$I78)*Sales!AG72*AG$6</f>
        <v>0</v>
      </c>
    </row>
    <row r="80" spans="1:33" s="649" customFormat="1" ht="18" customHeight="1" outlineLevel="1">
      <c r="A80" s="894"/>
      <c r="B80" s="287"/>
      <c r="C80" s="287"/>
      <c r="D80" s="287"/>
      <c r="E80" s="287"/>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E80" s="287"/>
      <c r="AF80" s="287"/>
      <c r="AG80" s="287"/>
    </row>
    <row r="81" spans="1:33" s="649" customFormat="1" ht="18" customHeight="1" outlineLevel="1">
      <c r="A81" s="894"/>
      <c r="B81" s="287"/>
      <c r="C81" s="273" t="str">
        <f>Product_04</f>
        <v>Software Products</v>
      </c>
      <c r="D81" s="287"/>
      <c r="E81" s="11">
        <f>YEAR(Startdatum)</f>
        <v>2019</v>
      </c>
      <c r="F81" s="11">
        <f>E81+1</f>
        <v>2020</v>
      </c>
      <c r="G81" s="11">
        <f>F81+1</f>
        <v>2021</v>
      </c>
      <c r="H81" s="11">
        <f>G81+1</f>
        <v>2022</v>
      </c>
      <c r="I81" s="11">
        <f>H81+1</f>
        <v>2023</v>
      </c>
      <c r="J81" s="287"/>
      <c r="K81" s="287"/>
      <c r="L81" s="287"/>
      <c r="M81" s="287"/>
      <c r="N81" s="287"/>
      <c r="O81" s="287"/>
      <c r="P81" s="287"/>
      <c r="Q81" s="287"/>
      <c r="R81" s="287"/>
      <c r="S81" s="287"/>
      <c r="T81" s="287"/>
      <c r="U81" s="287"/>
      <c r="V81" s="287"/>
      <c r="W81" s="287"/>
      <c r="X81" s="287"/>
      <c r="Y81" s="287"/>
      <c r="Z81" s="287"/>
      <c r="AA81" s="287"/>
      <c r="AB81" s="287"/>
      <c r="AC81" s="287"/>
      <c r="AD81" s="287"/>
      <c r="AE81" s="287"/>
      <c r="AF81" s="287"/>
      <c r="AG81" s="287"/>
    </row>
    <row r="82" spans="1:33" s="649" customFormat="1" ht="18" customHeight="1" outlineLevel="1">
      <c r="A82" s="894"/>
      <c r="B82" s="287"/>
      <c r="C82" s="24" t="s">
        <v>238</v>
      </c>
      <c r="D82" s="8" t="s">
        <v>26</v>
      </c>
      <c r="E82" s="271"/>
      <c r="F82" s="271"/>
      <c r="G82" s="271"/>
      <c r="H82" s="271"/>
      <c r="I82" s="271"/>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7"/>
    </row>
    <row r="83" spans="1:33" s="649" customFormat="1" ht="18" customHeight="1" outlineLevel="1">
      <c r="A83" s="894"/>
      <c r="B83" s="287"/>
      <c r="C83" s="24" t="str">
        <f>"Cost of Materials/Goods: "&amp;C81</f>
        <v>Cost of Materials/Goods: Software Products</v>
      </c>
      <c r="D83" s="8" t="str">
        <f>Currency_Label</f>
        <v>USD</v>
      </c>
      <c r="E83" s="287"/>
      <c r="F83" s="287"/>
      <c r="G83" s="329"/>
      <c r="H83" s="287"/>
      <c r="I83" s="71">
        <f>SUM(J83:AG83)</f>
        <v>0</v>
      </c>
      <c r="J83" s="690">
        <f>LOOKUP(YEAR(J$5),$E$69:$I$69,$E82:$I82)*Sales!J73*J$6</f>
        <v>0</v>
      </c>
      <c r="K83" s="690">
        <f>LOOKUP(YEAR(K$5),$E$69:$I$69,$E82:$I82)*Sales!K73*K$6</f>
        <v>0</v>
      </c>
      <c r="L83" s="690">
        <f>LOOKUP(YEAR(L$5),$E$69:$I$69,$E82:$I82)*Sales!L73*L$6</f>
        <v>0</v>
      </c>
      <c r="M83" s="690">
        <f>LOOKUP(YEAR(M$5),$E$69:$I$69,$E82:$I82)*Sales!M73*M$6</f>
        <v>0</v>
      </c>
      <c r="N83" s="690">
        <f>LOOKUP(YEAR(N$5),$E$69:$I$69,$E82:$I82)*Sales!N73*N$6</f>
        <v>0</v>
      </c>
      <c r="O83" s="690">
        <f>LOOKUP(YEAR(O$5),$E$69:$I$69,$E82:$I82)*Sales!O73*O$6</f>
        <v>0</v>
      </c>
      <c r="P83" s="690">
        <f>LOOKUP(YEAR(P$5),$E$69:$I$69,$E82:$I82)*Sales!P73*P$6</f>
        <v>0</v>
      </c>
      <c r="Q83" s="690">
        <f>LOOKUP(YEAR(Q$5),$E$69:$I$69,$E82:$I82)*Sales!Q73*Q$6</f>
        <v>0</v>
      </c>
      <c r="R83" s="690">
        <f>LOOKUP(YEAR(R$5),$E$69:$I$69,$E82:$I82)*Sales!R73*R$6</f>
        <v>0</v>
      </c>
      <c r="S83" s="690">
        <f>LOOKUP(YEAR(S$5),$E$69:$I$69,$E82:$I82)*Sales!S73*S$6</f>
        <v>0</v>
      </c>
      <c r="T83" s="690">
        <f>LOOKUP(YEAR(T$5),$E$69:$I$69,$E82:$I82)*Sales!T73*T$6</f>
        <v>0</v>
      </c>
      <c r="U83" s="690">
        <f>LOOKUP(YEAR(U$5),$E$69:$I$69,$E82:$I82)*Sales!U73*U$6</f>
        <v>0</v>
      </c>
      <c r="V83" s="690">
        <f>LOOKUP(YEAR(V$5),$E$69:$I$69,$E82:$I82)*Sales!V73*V$6</f>
        <v>0</v>
      </c>
      <c r="W83" s="690">
        <f>LOOKUP(YEAR(W$5),$E$69:$I$69,$E82:$I82)*Sales!W73*W$6</f>
        <v>0</v>
      </c>
      <c r="X83" s="690">
        <f>LOOKUP(YEAR(X$5),$E$69:$I$69,$E82:$I82)*Sales!X73*X$6</f>
        <v>0</v>
      </c>
      <c r="Y83" s="690">
        <f>LOOKUP(YEAR(Y$5),$E$69:$I$69,$E82:$I82)*Sales!Y73*Y$6</f>
        <v>0</v>
      </c>
      <c r="Z83" s="690">
        <f>LOOKUP(YEAR(Z$5),$E$69:$I$69,$E82:$I82)*Sales!Z73*Z$6</f>
        <v>0</v>
      </c>
      <c r="AA83" s="690">
        <f>LOOKUP(YEAR(AA$5),$E$69:$I$69,$E82:$I82)*Sales!AA73*AA$6</f>
        <v>0</v>
      </c>
      <c r="AB83" s="690">
        <f>LOOKUP(YEAR(AB$5),$E$69:$I$69,$E82:$I82)*Sales!AB73*AB$6</f>
        <v>0</v>
      </c>
      <c r="AC83" s="690">
        <f>LOOKUP(YEAR(AC$5),$E$69:$I$69,$E82:$I82)*Sales!AC73*AC$6</f>
        <v>0</v>
      </c>
      <c r="AD83" s="690">
        <f>LOOKUP(YEAR(AD$5),$E$69:$I$69,$E82:$I82)*Sales!AD73*AD$6</f>
        <v>0</v>
      </c>
      <c r="AE83" s="690">
        <f>LOOKUP(YEAR(AE$5),$E$69:$I$69,$E82:$I82)*Sales!AE73*AE$6</f>
        <v>0</v>
      </c>
      <c r="AF83" s="690">
        <f>LOOKUP(YEAR(AF$5),$E$69:$I$69,$E82:$I82)*Sales!AF73*AF$6</f>
        <v>0</v>
      </c>
      <c r="AG83" s="690">
        <f>LOOKUP(YEAR(AG$5),$E$69:$I$69,$E82:$I82)*Sales!AG73*AG$6</f>
        <v>0</v>
      </c>
    </row>
    <row r="84" spans="1:33" s="649" customFormat="1" ht="18" customHeight="1" outlineLevel="1">
      <c r="A84" s="894"/>
      <c r="B84" s="287"/>
      <c r="C84" s="287"/>
      <c r="D84" s="287"/>
      <c r="E84" s="287"/>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E84" s="287"/>
      <c r="AF84" s="287"/>
      <c r="AG84" s="287"/>
    </row>
    <row r="85" spans="1:33" s="649" customFormat="1" ht="18" customHeight="1" outlineLevel="1">
      <c r="A85" s="894"/>
      <c r="B85" s="287"/>
      <c r="C85" s="273" t="str">
        <f>Product_05</f>
        <v>Net work infrastructure solutions</v>
      </c>
      <c r="D85" s="287"/>
      <c r="E85" s="11">
        <f>YEAR(Startdatum)</f>
        <v>2019</v>
      </c>
      <c r="F85" s="11">
        <f>E85+1</f>
        <v>2020</v>
      </c>
      <c r="G85" s="11">
        <f>F85+1</f>
        <v>2021</v>
      </c>
      <c r="H85" s="11">
        <f>G85+1</f>
        <v>2022</v>
      </c>
      <c r="I85" s="11">
        <f>H85+1</f>
        <v>2023</v>
      </c>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7"/>
      <c r="AG85" s="287"/>
    </row>
    <row r="86" spans="1:33" s="649" customFormat="1" ht="18" customHeight="1" outlineLevel="1">
      <c r="A86" s="894"/>
      <c r="B86" s="287"/>
      <c r="C86" s="24" t="s">
        <v>238</v>
      </c>
      <c r="D86" s="8" t="s">
        <v>26</v>
      </c>
      <c r="E86" s="271">
        <v>0.25</v>
      </c>
      <c r="F86" s="271">
        <v>0.27</v>
      </c>
      <c r="G86" s="271">
        <v>0.28999999999999998</v>
      </c>
      <c r="H86" s="271">
        <v>0.25</v>
      </c>
      <c r="I86" s="271">
        <v>0.25</v>
      </c>
      <c r="J86" s="287"/>
      <c r="K86" s="287"/>
      <c r="L86" s="287"/>
      <c r="M86" s="287"/>
      <c r="N86" s="287"/>
      <c r="O86" s="287"/>
      <c r="P86" s="287"/>
      <c r="Q86" s="287"/>
      <c r="R86" s="287"/>
      <c r="S86" s="287"/>
      <c r="T86" s="287"/>
      <c r="U86" s="287"/>
      <c r="V86" s="287"/>
      <c r="W86" s="287"/>
      <c r="X86" s="287"/>
      <c r="Y86" s="287"/>
      <c r="Z86" s="287"/>
      <c r="AA86" s="287"/>
      <c r="AB86" s="287"/>
      <c r="AC86" s="287"/>
      <c r="AD86" s="287"/>
      <c r="AE86" s="287"/>
      <c r="AF86" s="287"/>
      <c r="AG86" s="287"/>
    </row>
    <row r="87" spans="1:33" s="649" customFormat="1" ht="18" customHeight="1" outlineLevel="1">
      <c r="A87" s="894"/>
      <c r="B87" s="287"/>
      <c r="C87" s="24" t="str">
        <f>"Cost of Materials/Goods: "&amp;C85</f>
        <v>Cost of Materials/Goods: Net work infrastructure solutions</v>
      </c>
      <c r="D87" s="8" t="str">
        <f>Currency_Label</f>
        <v>USD</v>
      </c>
      <c r="E87" s="287"/>
      <c r="F87" s="287"/>
      <c r="G87" s="329"/>
      <c r="H87" s="287"/>
      <c r="I87" s="71">
        <f>SUM(J87:AG87)</f>
        <v>27271.379067815913</v>
      </c>
      <c r="J87" s="690">
        <f>LOOKUP(YEAR(J$5),$E$69:$I$69,$E86:$I86)*Sales!J74*J$6</f>
        <v>1125</v>
      </c>
      <c r="K87" s="690">
        <f>LOOKUP(YEAR(K$5),$E$69:$I$69,$E86:$I86)*Sales!K74*K$6</f>
        <v>1125</v>
      </c>
      <c r="L87" s="690">
        <f>LOOKUP(YEAR(L$5),$E$69:$I$69,$E86:$I86)*Sales!L74*L$6</f>
        <v>1125</v>
      </c>
      <c r="M87" s="690">
        <f>LOOKUP(YEAR(M$5),$E$69:$I$69,$E86:$I86)*Sales!M74*M$6</f>
        <v>1125</v>
      </c>
      <c r="N87" s="690">
        <f>LOOKUP(YEAR(N$5),$E$69:$I$69,$E86:$I86)*Sales!N74*N$6</f>
        <v>1125</v>
      </c>
      <c r="O87" s="690">
        <f>LOOKUP(YEAR(O$5),$E$69:$I$69,$E86:$I86)*Sales!O74*O$6</f>
        <v>1125</v>
      </c>
      <c r="P87" s="690">
        <f>LOOKUP(YEAR(P$5),$E$69:$I$69,$E86:$I86)*Sales!P74*P$6</f>
        <v>1125</v>
      </c>
      <c r="Q87" s="690">
        <f>LOOKUP(YEAR(Q$5),$E$69:$I$69,$E86:$I86)*Sales!Q74*Q$6</f>
        <v>1125</v>
      </c>
      <c r="R87" s="690">
        <f>LOOKUP(YEAR(R$5),$E$69:$I$69,$E86:$I86)*Sales!R74*R$6</f>
        <v>1250</v>
      </c>
      <c r="S87" s="690">
        <f>LOOKUP(YEAR(S$5),$E$69:$I$69,$E86:$I86)*Sales!S74*S$6</f>
        <v>1250</v>
      </c>
      <c r="T87" s="690">
        <f>LOOKUP(YEAR(T$5),$E$69:$I$69,$E86:$I86)*Sales!T74*T$6</f>
        <v>1363.5</v>
      </c>
      <c r="U87" s="690">
        <f>LOOKUP(YEAR(U$5),$E$69:$I$69,$E86:$I86)*Sales!U74*U$6</f>
        <v>1377.135</v>
      </c>
      <c r="V87" s="690">
        <f>LOOKUP(YEAR(V$5),$E$69:$I$69,$E86:$I86)*Sales!V74*V$6</f>
        <v>1390.9063500000002</v>
      </c>
      <c r="W87" s="690">
        <f>LOOKUP(YEAR(W$5),$E$69:$I$69,$E86:$I86)*Sales!W74*W$6</f>
        <v>1404.8154135000002</v>
      </c>
      <c r="X87" s="690">
        <f>LOOKUP(YEAR(X$5),$E$69:$I$69,$E86:$I86)*Sales!X74*X$6</f>
        <v>1418.8635676350002</v>
      </c>
      <c r="Y87" s="690">
        <f>LOOKUP(YEAR(Y$5),$E$69:$I$69,$E86:$I86)*Sales!Y74*Y$6</f>
        <v>1433.05220331135</v>
      </c>
      <c r="Z87" s="690">
        <f>LOOKUP(YEAR(Z$5),$E$69:$I$69,$E86:$I86)*Sales!Z74*Z$6</f>
        <v>1447.3827253444638</v>
      </c>
      <c r="AA87" s="690">
        <f>LOOKUP(YEAR(AA$5),$E$69:$I$69,$E86:$I86)*Sales!AA74*AA$6</f>
        <v>1461.8565525979084</v>
      </c>
      <c r="AB87" s="690">
        <f>LOOKUP(YEAR(AB$5),$E$69:$I$69,$E86:$I86)*Sales!AB74*AB$6</f>
        <v>1476.4751181238876</v>
      </c>
      <c r="AC87" s="690">
        <f>LOOKUP(YEAR(AC$5),$E$69:$I$69,$E86:$I86)*Sales!AC74*AC$6</f>
        <v>1491.2398693051264</v>
      </c>
      <c r="AD87" s="690">
        <f>LOOKUP(YEAR(AD$5),$E$69:$I$69,$E86:$I86)*Sales!AD74*AD$6</f>
        <v>1506.1522679981776</v>
      </c>
      <c r="AE87" s="690">
        <f>LOOKUP(YEAR(AE$5),$E$69:$I$69,$E86:$I86)*Sales!AE74*AE$6</f>
        <v>0</v>
      </c>
      <c r="AF87" s="690">
        <f>LOOKUP(YEAR(AF$5),$E$69:$I$69,$E86:$I86)*Sales!AF74*AF$6</f>
        <v>0</v>
      </c>
      <c r="AG87" s="690">
        <f>LOOKUP(YEAR(AG$5),$E$69:$I$69,$E86:$I86)*Sales!AG74*AG$6</f>
        <v>0</v>
      </c>
    </row>
    <row r="88" spans="1:33" s="649" customFormat="1" ht="18" customHeight="1" outlineLevel="1">
      <c r="A88" s="894"/>
      <c r="B88" s="287"/>
      <c r="C88" s="287"/>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row>
    <row r="89" spans="1:33" s="649" customFormat="1" ht="18" customHeight="1" outlineLevel="1">
      <c r="A89" s="894"/>
      <c r="B89" s="287"/>
      <c r="C89" s="273" t="str">
        <f>Product_06</f>
        <v>Repair Services</v>
      </c>
      <c r="D89" s="287"/>
      <c r="E89" s="11">
        <f>YEAR(Startdatum)</f>
        <v>2019</v>
      </c>
      <c r="F89" s="11">
        <f>E89+1</f>
        <v>2020</v>
      </c>
      <c r="G89" s="11">
        <f>F89+1</f>
        <v>2021</v>
      </c>
      <c r="H89" s="11">
        <f>G89+1</f>
        <v>2022</v>
      </c>
      <c r="I89" s="11">
        <f>H89+1</f>
        <v>2023</v>
      </c>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row>
    <row r="90" spans="1:33" s="649" customFormat="1" ht="18" customHeight="1" outlineLevel="1">
      <c r="A90" s="894"/>
      <c r="B90" s="287"/>
      <c r="C90" s="24" t="s">
        <v>238</v>
      </c>
      <c r="D90" s="8" t="s">
        <v>26</v>
      </c>
      <c r="E90" s="271">
        <v>0.6</v>
      </c>
      <c r="F90" s="271">
        <v>0.55000000000000004</v>
      </c>
      <c r="G90" s="271">
        <v>0.65</v>
      </c>
      <c r="H90" s="271">
        <v>0.6</v>
      </c>
      <c r="I90" s="271">
        <v>0.6</v>
      </c>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row>
    <row r="91" spans="1:33" s="649" customFormat="1" ht="18" customHeight="1" outlineLevel="1">
      <c r="A91" s="894"/>
      <c r="B91" s="287"/>
      <c r="C91" s="24" t="str">
        <f>"Cost of Materials/Goods: "&amp;C89</f>
        <v>Cost of Materials/Goods: Repair Services</v>
      </c>
      <c r="D91" s="8" t="str">
        <f>Currency_Label</f>
        <v>USD</v>
      </c>
      <c r="E91" s="287"/>
      <c r="F91" s="287"/>
      <c r="G91" s="329"/>
      <c r="H91" s="287"/>
      <c r="I91" s="71">
        <f>SUM(J91:AG91)</f>
        <v>161607.6</v>
      </c>
      <c r="J91" s="690">
        <f>LOOKUP(YEAR(J$5),$E$69:$I$69,$E90:$I90)*Sales!J75*J$6</f>
        <v>8395.1999999999989</v>
      </c>
      <c r="K91" s="690">
        <f>LOOKUP(YEAR(K$5),$E$69:$I$69,$E90:$I90)*Sales!K75*K$6</f>
        <v>8395.1999999999989</v>
      </c>
      <c r="L91" s="690">
        <f>LOOKUP(YEAR(L$5),$E$69:$I$69,$E90:$I90)*Sales!L75*L$6</f>
        <v>8395.1999999999989</v>
      </c>
      <c r="M91" s="690">
        <f>LOOKUP(YEAR(M$5),$E$69:$I$69,$E90:$I90)*Sales!M75*M$6</f>
        <v>8395.1999999999989</v>
      </c>
      <c r="N91" s="690">
        <f>LOOKUP(YEAR(N$5),$E$69:$I$69,$E90:$I90)*Sales!N75*N$6</f>
        <v>8395.1999999999989</v>
      </c>
      <c r="O91" s="690">
        <f>LOOKUP(YEAR(O$5),$E$69:$I$69,$E90:$I90)*Sales!O75*O$6</f>
        <v>8395.1999999999989</v>
      </c>
      <c r="P91" s="690">
        <f>LOOKUP(YEAR(P$5),$E$69:$I$69,$E90:$I90)*Sales!P75*P$6</f>
        <v>8395.1999999999989</v>
      </c>
      <c r="Q91" s="690">
        <f>LOOKUP(YEAR(Q$5),$E$69:$I$69,$E90:$I90)*Sales!Q75*Q$6</f>
        <v>8395.1999999999989</v>
      </c>
      <c r="R91" s="690">
        <f>LOOKUP(YEAR(R$5),$E$69:$I$69,$E90:$I90)*Sales!R75*R$6</f>
        <v>8395.1999999999989</v>
      </c>
      <c r="S91" s="690">
        <f>LOOKUP(YEAR(S$5),$E$69:$I$69,$E90:$I90)*Sales!S75*S$6</f>
        <v>8395.1999999999989</v>
      </c>
      <c r="T91" s="690">
        <f>LOOKUP(YEAR(T$5),$E$69:$I$69,$E90:$I90)*Sales!T75*T$6</f>
        <v>7695.6</v>
      </c>
      <c r="U91" s="690">
        <f>LOOKUP(YEAR(U$5),$E$69:$I$69,$E90:$I90)*Sales!U75*U$6</f>
        <v>6996.0000000000009</v>
      </c>
      <c r="V91" s="690">
        <f>LOOKUP(YEAR(V$5),$E$69:$I$69,$E90:$I90)*Sales!V75*V$6</f>
        <v>6996.0000000000009</v>
      </c>
      <c r="W91" s="690">
        <f>LOOKUP(YEAR(W$5),$E$69:$I$69,$E90:$I90)*Sales!W75*W$6</f>
        <v>6996.0000000000009</v>
      </c>
      <c r="X91" s="690">
        <f>LOOKUP(YEAR(X$5),$E$69:$I$69,$E90:$I90)*Sales!X75*X$6</f>
        <v>6996.0000000000009</v>
      </c>
      <c r="Y91" s="690">
        <f>LOOKUP(YEAR(Y$5),$E$69:$I$69,$E90:$I90)*Sales!Y75*Y$6</f>
        <v>6996.0000000000009</v>
      </c>
      <c r="Z91" s="690">
        <f>LOOKUP(YEAR(Z$5),$E$69:$I$69,$E90:$I90)*Sales!Z75*Z$6</f>
        <v>6996.0000000000009</v>
      </c>
      <c r="AA91" s="690">
        <f>LOOKUP(YEAR(AA$5),$E$69:$I$69,$E90:$I90)*Sales!AA75*AA$6</f>
        <v>6996.0000000000009</v>
      </c>
      <c r="AB91" s="690">
        <f>LOOKUP(YEAR(AB$5),$E$69:$I$69,$E90:$I90)*Sales!AB75*AB$6</f>
        <v>6996.0000000000009</v>
      </c>
      <c r="AC91" s="690">
        <f>LOOKUP(YEAR(AC$5),$E$69:$I$69,$E90:$I90)*Sales!AC75*AC$6</f>
        <v>6996.0000000000009</v>
      </c>
      <c r="AD91" s="690">
        <f>LOOKUP(YEAR(AD$5),$E$69:$I$69,$E90:$I90)*Sales!AD75*AD$6</f>
        <v>6996.0000000000009</v>
      </c>
      <c r="AE91" s="690">
        <f>LOOKUP(YEAR(AE$5),$E$69:$I$69,$E90:$I90)*Sales!AE75*AE$6</f>
        <v>0</v>
      </c>
      <c r="AF91" s="690">
        <f>LOOKUP(YEAR(AF$5),$E$69:$I$69,$E90:$I90)*Sales!AF75*AF$6</f>
        <v>0</v>
      </c>
      <c r="AG91" s="690">
        <f>LOOKUP(YEAR(AG$5),$E$69:$I$69,$E90:$I90)*Sales!AG75*AG$6</f>
        <v>0</v>
      </c>
    </row>
    <row r="92" spans="1:33" s="649" customFormat="1" ht="18" customHeight="1" outlineLevel="1">
      <c r="A92" s="894"/>
      <c r="B92" s="287"/>
      <c r="C92" s="287"/>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row>
    <row r="93" spans="1:33" s="649" customFormat="1" ht="18" customHeight="1" outlineLevel="1">
      <c r="A93" s="894"/>
      <c r="B93" s="287"/>
      <c r="C93" s="273" t="str">
        <f>Product_07</f>
        <v>Integration Services</v>
      </c>
      <c r="D93" s="287"/>
      <c r="E93" s="11">
        <f>YEAR(Startdatum)</f>
        <v>2019</v>
      </c>
      <c r="F93" s="11">
        <f>E93+1</f>
        <v>2020</v>
      </c>
      <c r="G93" s="11">
        <f>F93+1</f>
        <v>2021</v>
      </c>
      <c r="H93" s="11">
        <f>G93+1</f>
        <v>2022</v>
      </c>
      <c r="I93" s="11">
        <f>H93+1</f>
        <v>2023</v>
      </c>
      <c r="J93" s="287"/>
      <c r="K93" s="287"/>
      <c r="L93" s="287"/>
      <c r="M93" s="287"/>
      <c r="N93" s="287"/>
      <c r="O93" s="287"/>
      <c r="P93" s="287"/>
      <c r="Q93" s="287"/>
      <c r="R93" s="287"/>
      <c r="S93" s="287"/>
      <c r="T93" s="287"/>
      <c r="U93" s="287"/>
      <c r="V93" s="287"/>
      <c r="W93" s="287"/>
      <c r="X93" s="287"/>
      <c r="Y93" s="287"/>
      <c r="Z93" s="287"/>
      <c r="AA93" s="287"/>
      <c r="AB93" s="287"/>
      <c r="AC93" s="287"/>
      <c r="AD93" s="287"/>
      <c r="AE93" s="287"/>
      <c r="AF93" s="287"/>
      <c r="AG93" s="287"/>
    </row>
    <row r="94" spans="1:33" s="649" customFormat="1" ht="18" customHeight="1" outlineLevel="1">
      <c r="A94" s="894"/>
      <c r="B94" s="287"/>
      <c r="C94" s="24" t="s">
        <v>238</v>
      </c>
      <c r="D94" s="8" t="s">
        <v>26</v>
      </c>
      <c r="E94" s="271">
        <v>0.05</v>
      </c>
      <c r="F94" s="271">
        <v>0.05</v>
      </c>
      <c r="G94" s="271">
        <v>0.05</v>
      </c>
      <c r="H94" s="271">
        <v>0.05</v>
      </c>
      <c r="I94" s="271">
        <v>0.05</v>
      </c>
      <c r="J94" s="287"/>
      <c r="K94" s="287"/>
      <c r="L94" s="287"/>
      <c r="M94" s="287"/>
      <c r="N94" s="287"/>
      <c r="O94" s="287"/>
      <c r="P94" s="287"/>
      <c r="Q94" s="287"/>
      <c r="R94" s="287"/>
      <c r="S94" s="287"/>
      <c r="T94" s="287"/>
      <c r="U94" s="287"/>
      <c r="V94" s="287"/>
      <c r="W94" s="287"/>
      <c r="X94" s="287"/>
      <c r="Y94" s="287"/>
      <c r="Z94" s="287"/>
      <c r="AA94" s="287"/>
      <c r="AB94" s="287"/>
      <c r="AC94" s="287"/>
      <c r="AD94" s="287"/>
      <c r="AE94" s="287"/>
      <c r="AF94" s="287"/>
      <c r="AG94" s="287"/>
    </row>
    <row r="95" spans="1:33" s="649" customFormat="1" ht="18" customHeight="1" outlineLevel="1">
      <c r="A95" s="894"/>
      <c r="B95" s="287"/>
      <c r="C95" s="24" t="str">
        <f>"Cost of Materials/Goods: "&amp;C93</f>
        <v>Cost of Materials/Goods: Integration Services</v>
      </c>
      <c r="D95" s="8" t="str">
        <f>Currency_Label</f>
        <v>USD</v>
      </c>
      <c r="E95" s="287"/>
      <c r="F95" s="287"/>
      <c r="G95" s="329"/>
      <c r="H95" s="287"/>
      <c r="I95" s="71">
        <f>SUM(J95:AG95)</f>
        <v>20200</v>
      </c>
      <c r="J95" s="690">
        <f>LOOKUP(YEAR(J$5),$E$69:$I$69,$E94:$I94)*Sales!J76*J$6</f>
        <v>900</v>
      </c>
      <c r="K95" s="690">
        <f>LOOKUP(YEAR(K$5),$E$69:$I$69,$E94:$I94)*Sales!K76*K$6</f>
        <v>900</v>
      </c>
      <c r="L95" s="690">
        <f>LOOKUP(YEAR(L$5),$E$69:$I$69,$E94:$I94)*Sales!L76*L$6</f>
        <v>900</v>
      </c>
      <c r="M95" s="690">
        <f>LOOKUP(YEAR(M$5),$E$69:$I$69,$E94:$I94)*Sales!M76*M$6</f>
        <v>900</v>
      </c>
      <c r="N95" s="690">
        <f>LOOKUP(YEAR(N$5),$E$69:$I$69,$E94:$I94)*Sales!N76*N$6</f>
        <v>900</v>
      </c>
      <c r="O95" s="690">
        <f>LOOKUP(YEAR(O$5),$E$69:$I$69,$E94:$I94)*Sales!O76*O$6</f>
        <v>900</v>
      </c>
      <c r="P95" s="690">
        <f>LOOKUP(YEAR(P$5),$E$69:$I$69,$E94:$I94)*Sales!P76*P$6</f>
        <v>900</v>
      </c>
      <c r="Q95" s="690">
        <f>LOOKUP(YEAR(Q$5),$E$69:$I$69,$E94:$I94)*Sales!Q76*Q$6</f>
        <v>900</v>
      </c>
      <c r="R95" s="690">
        <f>LOOKUP(YEAR(R$5),$E$69:$I$69,$E94:$I94)*Sales!R76*R$6</f>
        <v>1000</v>
      </c>
      <c r="S95" s="690">
        <f>LOOKUP(YEAR(S$5),$E$69:$I$69,$E94:$I94)*Sales!S76*S$6</f>
        <v>1000</v>
      </c>
      <c r="T95" s="690">
        <f>LOOKUP(YEAR(T$5),$E$69:$I$69,$E94:$I94)*Sales!T76*T$6</f>
        <v>1000</v>
      </c>
      <c r="U95" s="690">
        <f>LOOKUP(YEAR(U$5),$E$69:$I$69,$E94:$I94)*Sales!U76*U$6</f>
        <v>1000</v>
      </c>
      <c r="V95" s="690">
        <f>LOOKUP(YEAR(V$5),$E$69:$I$69,$E94:$I94)*Sales!V76*V$6</f>
        <v>1000</v>
      </c>
      <c r="W95" s="690">
        <f>LOOKUP(YEAR(W$5),$E$69:$I$69,$E94:$I94)*Sales!W76*W$6</f>
        <v>1000</v>
      </c>
      <c r="X95" s="690">
        <f>LOOKUP(YEAR(X$5),$E$69:$I$69,$E94:$I94)*Sales!X76*X$6</f>
        <v>1000</v>
      </c>
      <c r="Y95" s="690">
        <f>LOOKUP(YEAR(Y$5),$E$69:$I$69,$E94:$I94)*Sales!Y76*Y$6</f>
        <v>1000</v>
      </c>
      <c r="Z95" s="690">
        <f>LOOKUP(YEAR(Z$5),$E$69:$I$69,$E94:$I94)*Sales!Z76*Z$6</f>
        <v>1000</v>
      </c>
      <c r="AA95" s="690">
        <f>LOOKUP(YEAR(AA$5),$E$69:$I$69,$E94:$I94)*Sales!AA76*AA$6</f>
        <v>1000</v>
      </c>
      <c r="AB95" s="690">
        <f>LOOKUP(YEAR(AB$5),$E$69:$I$69,$E94:$I94)*Sales!AB76*AB$6</f>
        <v>1000</v>
      </c>
      <c r="AC95" s="690">
        <f>LOOKUP(YEAR(AC$5),$E$69:$I$69,$E94:$I94)*Sales!AC76*AC$6</f>
        <v>1000</v>
      </c>
      <c r="AD95" s="690">
        <f>LOOKUP(YEAR(AD$5),$E$69:$I$69,$E94:$I94)*Sales!AD76*AD$6</f>
        <v>1000</v>
      </c>
      <c r="AE95" s="690">
        <f>LOOKUP(YEAR(AE$5),$E$69:$I$69,$E94:$I94)*Sales!AE76*AE$6</f>
        <v>0</v>
      </c>
      <c r="AF95" s="690">
        <f>LOOKUP(YEAR(AF$5),$E$69:$I$69,$E94:$I94)*Sales!AF76*AF$6</f>
        <v>0</v>
      </c>
      <c r="AG95" s="690">
        <f>LOOKUP(YEAR(AG$5),$E$69:$I$69,$E94:$I94)*Sales!AG76*AG$6</f>
        <v>0</v>
      </c>
    </row>
    <row r="96" spans="1:33" s="649" customFormat="1" ht="18" customHeight="1" outlineLevel="1">
      <c r="A96" s="894"/>
      <c r="B96" s="287"/>
      <c r="C96" s="287"/>
      <c r="D96" s="287"/>
      <c r="E96" s="287"/>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E96" s="287"/>
      <c r="AF96" s="287"/>
      <c r="AG96" s="287"/>
    </row>
    <row r="97" spans="1:33" s="649" customFormat="1" ht="18" customHeight="1" outlineLevel="1">
      <c r="A97" s="894"/>
      <c r="B97" s="287"/>
      <c r="C97" s="273" t="str">
        <f>Product_08</f>
        <v>Consulting Services</v>
      </c>
      <c r="D97" s="287"/>
      <c r="E97" s="11">
        <f>YEAR(Startdatum)</f>
        <v>2019</v>
      </c>
      <c r="F97" s="11">
        <f>E97+1</f>
        <v>2020</v>
      </c>
      <c r="G97" s="11">
        <f>F97+1</f>
        <v>2021</v>
      </c>
      <c r="H97" s="11">
        <f>G97+1</f>
        <v>2022</v>
      </c>
      <c r="I97" s="11">
        <f>H97+1</f>
        <v>2023</v>
      </c>
      <c r="J97" s="287"/>
      <c r="K97" s="287"/>
      <c r="L97" s="287"/>
      <c r="M97" s="287"/>
      <c r="N97" s="287"/>
      <c r="O97" s="287"/>
      <c r="P97" s="287"/>
      <c r="Q97" s="287"/>
      <c r="R97" s="287"/>
      <c r="S97" s="287"/>
      <c r="T97" s="287"/>
      <c r="U97" s="287"/>
      <c r="V97" s="287"/>
      <c r="W97" s="287"/>
      <c r="X97" s="287"/>
      <c r="Y97" s="287"/>
      <c r="Z97" s="287"/>
      <c r="AA97" s="287"/>
      <c r="AB97" s="287"/>
      <c r="AC97" s="287"/>
      <c r="AD97" s="287"/>
      <c r="AE97" s="287"/>
      <c r="AF97" s="287"/>
      <c r="AG97" s="287"/>
    </row>
    <row r="98" spans="1:33" s="649" customFormat="1" ht="18" customHeight="1" outlineLevel="1">
      <c r="A98" s="894"/>
      <c r="B98" s="287"/>
      <c r="C98" s="24" t="s">
        <v>238</v>
      </c>
      <c r="D98" s="8" t="s">
        <v>26</v>
      </c>
      <c r="E98" s="271">
        <v>7.4999999999999997E-2</v>
      </c>
      <c r="F98" s="271">
        <v>7.4999999999999997E-2</v>
      </c>
      <c r="G98" s="271">
        <v>7.4999999999999997E-2</v>
      </c>
      <c r="H98" s="271">
        <v>7.4999999999999997E-2</v>
      </c>
      <c r="I98" s="271">
        <v>7.4999999999999997E-2</v>
      </c>
      <c r="J98" s="287"/>
      <c r="K98" s="287"/>
      <c r="L98" s="287"/>
      <c r="M98" s="287"/>
      <c r="N98" s="287"/>
      <c r="O98" s="287"/>
      <c r="P98" s="287"/>
      <c r="Q98" s="287"/>
      <c r="R98" s="287"/>
      <c r="S98" s="287"/>
      <c r="T98" s="287"/>
      <c r="U98" s="287"/>
      <c r="V98" s="287"/>
      <c r="W98" s="287"/>
      <c r="X98" s="287"/>
      <c r="Y98" s="287"/>
      <c r="Z98" s="287"/>
      <c r="AA98" s="287"/>
      <c r="AB98" s="287"/>
      <c r="AC98" s="287"/>
      <c r="AD98" s="287"/>
      <c r="AE98" s="287"/>
      <c r="AF98" s="287"/>
      <c r="AG98" s="287"/>
    </row>
    <row r="99" spans="1:33" s="649" customFormat="1" ht="18" customHeight="1" outlineLevel="1">
      <c r="A99" s="894"/>
      <c r="B99" s="287"/>
      <c r="C99" s="24" t="str">
        <f>"Cost of Materials/Goods: "&amp;C97</f>
        <v>Cost of Materials/Goods: Consulting Services</v>
      </c>
      <c r="D99" s="8" t="str">
        <f>Currency_Label</f>
        <v>USD</v>
      </c>
      <c r="E99" s="287"/>
      <c r="F99" s="287"/>
      <c r="G99" s="329"/>
      <c r="H99" s="287"/>
      <c r="I99" s="71">
        <f>SUM(J99:AG99)</f>
        <v>33037.419219643874</v>
      </c>
      <c r="J99" s="690">
        <f>LOOKUP(YEAR(J$5),$E$69:$I$69,$E98:$I98)*Sales!J77*J$6</f>
        <v>1421.625</v>
      </c>
      <c r="K99" s="690">
        <f>LOOKUP(YEAR(K$5),$E$69:$I$69,$E98:$I98)*Sales!K77*K$6</f>
        <v>1435.8412499999999</v>
      </c>
      <c r="L99" s="690">
        <f>LOOKUP(YEAR(L$5),$E$69:$I$69,$E98:$I98)*Sales!L77*L$6</f>
        <v>1450.1996624999999</v>
      </c>
      <c r="M99" s="690">
        <f>LOOKUP(YEAR(M$5),$E$69:$I$69,$E98:$I98)*Sales!M77*M$6</f>
        <v>1464.7016591250001</v>
      </c>
      <c r="N99" s="690">
        <f>LOOKUP(YEAR(N$5),$E$69:$I$69,$E98:$I98)*Sales!N77*N$6</f>
        <v>1479.34867571625</v>
      </c>
      <c r="O99" s="690">
        <f>LOOKUP(YEAR(O$5),$E$69:$I$69,$E98:$I98)*Sales!O77*O$6</f>
        <v>1494.1421624734128</v>
      </c>
      <c r="P99" s="690">
        <f>LOOKUP(YEAR(P$5),$E$69:$I$69,$E98:$I98)*Sales!P77*P$6</f>
        <v>1509.083584098147</v>
      </c>
      <c r="Q99" s="690">
        <f>LOOKUP(YEAR(Q$5),$E$69:$I$69,$E98:$I98)*Sales!Q77*Q$6</f>
        <v>1524.1744199391285</v>
      </c>
      <c r="R99" s="690">
        <f>LOOKUP(YEAR(R$5),$E$69:$I$69,$E98:$I98)*Sales!R77*R$6</f>
        <v>1539.4161641385199</v>
      </c>
      <c r="S99" s="690">
        <f>LOOKUP(YEAR(S$5),$E$69:$I$69,$E98:$I98)*Sales!S77*S$6</f>
        <v>1554.8103257799053</v>
      </c>
      <c r="T99" s="690">
        <f>LOOKUP(YEAR(T$5),$E$69:$I$69,$E98:$I98)*Sales!T77*T$6</f>
        <v>1570.3584290377044</v>
      </c>
      <c r="U99" s="690">
        <f>LOOKUP(YEAR(U$5),$E$69:$I$69,$E98:$I98)*Sales!U77*U$6</f>
        <v>1586.0620133280815</v>
      </c>
      <c r="V99" s="690">
        <f>LOOKUP(YEAR(V$5),$E$69:$I$69,$E98:$I98)*Sales!V77*V$6</f>
        <v>1601.9226334613625</v>
      </c>
      <c r="W99" s="690">
        <f>LOOKUP(YEAR(W$5),$E$69:$I$69,$E98:$I98)*Sales!W77*W$6</f>
        <v>1617.9418597959761</v>
      </c>
      <c r="X99" s="690">
        <f>LOOKUP(YEAR(X$5),$E$69:$I$69,$E98:$I98)*Sales!X77*X$6</f>
        <v>1634.1212783939359</v>
      </c>
      <c r="Y99" s="690">
        <f>LOOKUP(YEAR(Y$5),$E$69:$I$69,$E98:$I98)*Sales!Y77*Y$6</f>
        <v>1650.4624911778753</v>
      </c>
      <c r="Z99" s="690">
        <f>LOOKUP(YEAR(Z$5),$E$69:$I$69,$E98:$I98)*Sales!Z77*Z$6</f>
        <v>1666.9671160896539</v>
      </c>
      <c r="AA99" s="690">
        <f>LOOKUP(YEAR(AA$5),$E$69:$I$69,$E98:$I98)*Sales!AA77*AA$6</f>
        <v>1683.6367872505505</v>
      </c>
      <c r="AB99" s="690">
        <f>LOOKUP(YEAR(AB$5),$E$69:$I$69,$E98:$I98)*Sales!AB77*AB$6</f>
        <v>1700.4731551230559</v>
      </c>
      <c r="AC99" s="690">
        <f>LOOKUP(YEAR(AC$5),$E$69:$I$69,$E98:$I98)*Sales!AC77*AC$6</f>
        <v>1717.4778866742865</v>
      </c>
      <c r="AD99" s="690">
        <f>LOOKUP(YEAR(AD$5),$E$69:$I$69,$E98:$I98)*Sales!AD77*AD$6</f>
        <v>1734.6526655410294</v>
      </c>
      <c r="AE99" s="690">
        <f>LOOKUP(YEAR(AE$5),$E$69:$I$69,$E98:$I98)*Sales!AE77*AE$6</f>
        <v>0</v>
      </c>
      <c r="AF99" s="690">
        <f>LOOKUP(YEAR(AF$5),$E$69:$I$69,$E98:$I98)*Sales!AF77*AF$6</f>
        <v>0</v>
      </c>
      <c r="AG99" s="690">
        <f>LOOKUP(YEAR(AG$5),$E$69:$I$69,$E98:$I98)*Sales!AG77*AG$6</f>
        <v>0</v>
      </c>
    </row>
    <row r="100" spans="1:33" s="649" customFormat="1" ht="18" customHeight="1" outlineLevel="1">
      <c r="A100" s="894"/>
      <c r="B100" s="287"/>
      <c r="C100" s="287"/>
      <c r="D100" s="287"/>
      <c r="E100" s="287"/>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E100" s="287"/>
      <c r="AF100" s="287"/>
      <c r="AG100" s="287"/>
    </row>
    <row r="101" spans="1:33" s="649" customFormat="1" ht="18" customHeight="1" outlineLevel="1">
      <c r="A101" s="894"/>
      <c r="B101" s="287"/>
      <c r="C101" s="273" t="str">
        <f>Product_09</f>
        <v>Spare Parts</v>
      </c>
      <c r="D101" s="287"/>
      <c r="E101" s="11">
        <f>YEAR(Startdatum)</f>
        <v>2019</v>
      </c>
      <c r="F101" s="11">
        <f>E101+1</f>
        <v>2020</v>
      </c>
      <c r="G101" s="11">
        <f>F101+1</f>
        <v>2021</v>
      </c>
      <c r="H101" s="11">
        <f>G101+1</f>
        <v>2022</v>
      </c>
      <c r="I101" s="11">
        <f>H101+1</f>
        <v>2023</v>
      </c>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E101" s="287"/>
      <c r="AF101" s="287"/>
      <c r="AG101" s="287"/>
    </row>
    <row r="102" spans="1:33" s="649" customFormat="1" ht="18" customHeight="1" outlineLevel="1">
      <c r="A102" s="894"/>
      <c r="B102" s="287"/>
      <c r="C102" s="24" t="s">
        <v>238</v>
      </c>
      <c r="D102" s="8" t="s">
        <v>26</v>
      </c>
      <c r="E102" s="271">
        <v>0.75</v>
      </c>
      <c r="F102" s="271">
        <v>0.75</v>
      </c>
      <c r="G102" s="271">
        <v>0.75</v>
      </c>
      <c r="H102" s="271">
        <v>0.75</v>
      </c>
      <c r="I102" s="271">
        <v>0.75</v>
      </c>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E102" s="287"/>
      <c r="AF102" s="287"/>
      <c r="AG102" s="287"/>
    </row>
    <row r="103" spans="1:33" s="649" customFormat="1" ht="18" customHeight="1" outlineLevel="1">
      <c r="A103" s="894"/>
      <c r="B103" s="287"/>
      <c r="C103" s="24" t="str">
        <f>"Cost of Materials/Goods: "&amp;C101</f>
        <v>Cost of Materials/Goods: Spare Parts</v>
      </c>
      <c r="D103" s="8" t="str">
        <f>Currency_Label</f>
        <v>USD</v>
      </c>
      <c r="E103" s="287"/>
      <c r="F103" s="287"/>
      <c r="G103" s="329"/>
      <c r="H103" s="287"/>
      <c r="I103" s="71">
        <f>SUM(J103:AG103)</f>
        <v>149737.5</v>
      </c>
      <c r="J103" s="690">
        <f>LOOKUP(YEAR(J$5),$E$69:$I$69,$E102:$I102)*Sales!J78*J$6</f>
        <v>7218.75</v>
      </c>
      <c r="K103" s="690">
        <f>LOOKUP(YEAR(K$5),$E$69:$I$69,$E102:$I102)*Sales!K78*K$6</f>
        <v>7631.25</v>
      </c>
      <c r="L103" s="690">
        <f>LOOKUP(YEAR(L$5),$E$69:$I$69,$E102:$I102)*Sales!L78*L$6</f>
        <v>7631.25</v>
      </c>
      <c r="M103" s="690">
        <f>LOOKUP(YEAR(M$5),$E$69:$I$69,$E102:$I102)*Sales!M78*M$6</f>
        <v>7631.25</v>
      </c>
      <c r="N103" s="690">
        <f>LOOKUP(YEAR(N$5),$E$69:$I$69,$E102:$I102)*Sales!N78*N$6</f>
        <v>7631.25</v>
      </c>
      <c r="O103" s="690">
        <f>LOOKUP(YEAR(O$5),$E$69:$I$69,$E102:$I102)*Sales!O78*O$6</f>
        <v>7631.25</v>
      </c>
      <c r="P103" s="690">
        <f>LOOKUP(YEAR(P$5),$E$69:$I$69,$E102:$I102)*Sales!P78*P$6</f>
        <v>7631.25</v>
      </c>
      <c r="Q103" s="690">
        <f>LOOKUP(YEAR(Q$5),$E$69:$I$69,$E102:$I102)*Sales!Q78*Q$6</f>
        <v>6806.25</v>
      </c>
      <c r="R103" s="690">
        <f>LOOKUP(YEAR(R$5),$E$69:$I$69,$E102:$I102)*Sales!R78*R$6</f>
        <v>6806.25</v>
      </c>
      <c r="S103" s="690">
        <f>LOOKUP(YEAR(S$5),$E$69:$I$69,$E102:$I102)*Sales!S78*S$6</f>
        <v>6806.25</v>
      </c>
      <c r="T103" s="690">
        <f>LOOKUP(YEAR(T$5),$E$69:$I$69,$E102:$I102)*Sales!T78*T$6</f>
        <v>6806.25</v>
      </c>
      <c r="U103" s="690">
        <f>LOOKUP(YEAR(U$5),$E$69:$I$69,$E102:$I102)*Sales!U78*U$6</f>
        <v>6806.25</v>
      </c>
      <c r="V103" s="690">
        <f>LOOKUP(YEAR(V$5),$E$69:$I$69,$E102:$I102)*Sales!V78*V$6</f>
        <v>6806.25</v>
      </c>
      <c r="W103" s="690">
        <f>LOOKUP(YEAR(W$5),$E$69:$I$69,$E102:$I102)*Sales!W78*W$6</f>
        <v>6806.25</v>
      </c>
      <c r="X103" s="690">
        <f>LOOKUP(YEAR(X$5),$E$69:$I$69,$E102:$I102)*Sales!X78*X$6</f>
        <v>6806.25</v>
      </c>
      <c r="Y103" s="690">
        <f>LOOKUP(YEAR(Y$5),$E$69:$I$69,$E102:$I102)*Sales!Y78*Y$6</f>
        <v>6806.25</v>
      </c>
      <c r="Z103" s="690">
        <f>LOOKUP(YEAR(Z$5),$E$69:$I$69,$E102:$I102)*Sales!Z78*Z$6</f>
        <v>6806.25</v>
      </c>
      <c r="AA103" s="690">
        <f>LOOKUP(YEAR(AA$5),$E$69:$I$69,$E102:$I102)*Sales!AA78*AA$6</f>
        <v>6806.25</v>
      </c>
      <c r="AB103" s="690">
        <f>LOOKUP(YEAR(AB$5),$E$69:$I$69,$E102:$I102)*Sales!AB78*AB$6</f>
        <v>6806.25</v>
      </c>
      <c r="AC103" s="690">
        <f>LOOKUP(YEAR(AC$5),$E$69:$I$69,$E102:$I102)*Sales!AC78*AC$6</f>
        <v>6806.25</v>
      </c>
      <c r="AD103" s="690">
        <f>LOOKUP(YEAR(AD$5),$E$69:$I$69,$E102:$I102)*Sales!AD78*AD$6</f>
        <v>8250</v>
      </c>
      <c r="AE103" s="690">
        <f>LOOKUP(YEAR(AE$5),$E$69:$I$69,$E102:$I102)*Sales!AE78*AE$6</f>
        <v>0</v>
      </c>
      <c r="AF103" s="690">
        <f>LOOKUP(YEAR(AF$5),$E$69:$I$69,$E102:$I102)*Sales!AF78*AF$6</f>
        <v>0</v>
      </c>
      <c r="AG103" s="690">
        <f>LOOKUP(YEAR(AG$5),$E$69:$I$69,$E102:$I102)*Sales!AG78*AG$6</f>
        <v>0</v>
      </c>
    </row>
    <row r="104" spans="1:33" s="649" customFormat="1" ht="18" customHeight="1" outlineLevel="1">
      <c r="A104" s="894"/>
      <c r="B104" s="287"/>
      <c r="C104" s="287"/>
      <c r="D104" s="287"/>
      <c r="E104" s="287"/>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E104" s="287"/>
      <c r="AF104" s="287"/>
      <c r="AG104" s="287"/>
    </row>
    <row r="105" spans="1:33" s="649" customFormat="1" ht="18" customHeight="1" outlineLevel="1">
      <c r="A105" s="894"/>
      <c r="B105" s="287"/>
      <c r="C105" s="273" t="str">
        <f>Product_10</f>
        <v>License Fees</v>
      </c>
      <c r="D105" s="287"/>
      <c r="E105" s="11">
        <f>YEAR(Startdatum)</f>
        <v>2019</v>
      </c>
      <c r="F105" s="11">
        <f>E105+1</f>
        <v>2020</v>
      </c>
      <c r="G105" s="11">
        <f>F105+1</f>
        <v>2021</v>
      </c>
      <c r="H105" s="11">
        <f>G105+1</f>
        <v>2022</v>
      </c>
      <c r="I105" s="11">
        <f>H105+1</f>
        <v>2023</v>
      </c>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E105" s="287"/>
      <c r="AF105" s="287"/>
      <c r="AG105" s="287"/>
    </row>
    <row r="106" spans="1:33" s="649" customFormat="1" ht="18" customHeight="1" outlineLevel="1">
      <c r="A106" s="894"/>
      <c r="B106" s="287"/>
      <c r="C106" s="24" t="s">
        <v>238</v>
      </c>
      <c r="D106" s="8" t="s">
        <v>26</v>
      </c>
      <c r="E106" s="271"/>
      <c r="F106" s="271"/>
      <c r="G106" s="271"/>
      <c r="H106" s="271"/>
      <c r="I106" s="271"/>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E106" s="287"/>
      <c r="AF106" s="287"/>
      <c r="AG106" s="287"/>
    </row>
    <row r="107" spans="1:33" s="649" customFormat="1" ht="18" customHeight="1" outlineLevel="1">
      <c r="A107" s="894"/>
      <c r="B107" s="287"/>
      <c r="C107" s="24" t="str">
        <f>"Cost of Materials/Goods: "&amp;C105</f>
        <v>Cost of Materials/Goods: License Fees</v>
      </c>
      <c r="D107" s="8" t="str">
        <f>Currency_Label</f>
        <v>USD</v>
      </c>
      <c r="E107" s="287"/>
      <c r="F107" s="287"/>
      <c r="G107" s="329"/>
      <c r="H107" s="287"/>
      <c r="I107" s="71">
        <f>SUM(J107:AG107)</f>
        <v>0</v>
      </c>
      <c r="J107" s="690">
        <f>LOOKUP(YEAR(J$5),$E$69:$I$69,$E106:$I106)*Sales!J79*J$6</f>
        <v>0</v>
      </c>
      <c r="K107" s="690">
        <f>LOOKUP(YEAR(K$5),$E$69:$I$69,$E106:$I106)*Sales!K79*K$6</f>
        <v>0</v>
      </c>
      <c r="L107" s="690">
        <f>LOOKUP(YEAR(L$5),$E$69:$I$69,$E106:$I106)*Sales!L79*L$6</f>
        <v>0</v>
      </c>
      <c r="M107" s="690">
        <f>LOOKUP(YEAR(M$5),$E$69:$I$69,$E106:$I106)*Sales!M79*M$6</f>
        <v>0</v>
      </c>
      <c r="N107" s="690">
        <f>LOOKUP(YEAR(N$5),$E$69:$I$69,$E106:$I106)*Sales!N79*N$6</f>
        <v>0</v>
      </c>
      <c r="O107" s="690">
        <f>LOOKUP(YEAR(O$5),$E$69:$I$69,$E106:$I106)*Sales!O79*O$6</f>
        <v>0</v>
      </c>
      <c r="P107" s="690">
        <f>LOOKUP(YEAR(P$5),$E$69:$I$69,$E106:$I106)*Sales!P79*P$6</f>
        <v>0</v>
      </c>
      <c r="Q107" s="690">
        <f>LOOKUP(YEAR(Q$5),$E$69:$I$69,$E106:$I106)*Sales!Q79*Q$6</f>
        <v>0</v>
      </c>
      <c r="R107" s="690">
        <f>LOOKUP(YEAR(R$5),$E$69:$I$69,$E106:$I106)*Sales!R79*R$6</f>
        <v>0</v>
      </c>
      <c r="S107" s="690">
        <f>LOOKUP(YEAR(S$5),$E$69:$I$69,$E106:$I106)*Sales!S79*S$6</f>
        <v>0</v>
      </c>
      <c r="T107" s="690">
        <f>LOOKUP(YEAR(T$5),$E$69:$I$69,$E106:$I106)*Sales!T79*T$6</f>
        <v>0</v>
      </c>
      <c r="U107" s="690">
        <f>LOOKUP(YEAR(U$5),$E$69:$I$69,$E106:$I106)*Sales!U79*U$6</f>
        <v>0</v>
      </c>
      <c r="V107" s="690">
        <f>LOOKUP(YEAR(V$5),$E$69:$I$69,$E106:$I106)*Sales!V79*V$6</f>
        <v>0</v>
      </c>
      <c r="W107" s="690">
        <f>LOOKUP(YEAR(W$5),$E$69:$I$69,$E106:$I106)*Sales!W79*W$6</f>
        <v>0</v>
      </c>
      <c r="X107" s="690">
        <f>LOOKUP(YEAR(X$5),$E$69:$I$69,$E106:$I106)*Sales!X79*X$6</f>
        <v>0</v>
      </c>
      <c r="Y107" s="690">
        <f>LOOKUP(YEAR(Y$5),$E$69:$I$69,$E106:$I106)*Sales!Y79*Y$6</f>
        <v>0</v>
      </c>
      <c r="Z107" s="690">
        <f>LOOKUP(YEAR(Z$5),$E$69:$I$69,$E106:$I106)*Sales!Z79*Z$6</f>
        <v>0</v>
      </c>
      <c r="AA107" s="690">
        <f>LOOKUP(YEAR(AA$5),$E$69:$I$69,$E106:$I106)*Sales!AA79*AA$6</f>
        <v>0</v>
      </c>
      <c r="AB107" s="690">
        <f>LOOKUP(YEAR(AB$5),$E$69:$I$69,$E106:$I106)*Sales!AB79*AB$6</f>
        <v>0</v>
      </c>
      <c r="AC107" s="690">
        <f>LOOKUP(YEAR(AC$5),$E$69:$I$69,$E106:$I106)*Sales!AC79*AC$6</f>
        <v>0</v>
      </c>
      <c r="AD107" s="690">
        <f>LOOKUP(YEAR(AD$5),$E$69:$I$69,$E106:$I106)*Sales!AD79*AD$6</f>
        <v>0</v>
      </c>
      <c r="AE107" s="690">
        <f>LOOKUP(YEAR(AE$5),$E$69:$I$69,$E106:$I106)*Sales!AE79*AE$6</f>
        <v>0</v>
      </c>
      <c r="AF107" s="690">
        <f>LOOKUP(YEAR(AF$5),$E$69:$I$69,$E106:$I106)*Sales!AF79*AF$6</f>
        <v>0</v>
      </c>
      <c r="AG107" s="690">
        <f>LOOKUP(YEAR(AG$5),$E$69:$I$69,$E106:$I106)*Sales!AG79*AG$6</f>
        <v>0</v>
      </c>
    </row>
    <row r="108" spans="1:33" s="649" customFormat="1" ht="18" customHeight="1" outlineLevel="1">
      <c r="A108" s="894"/>
      <c r="B108" s="287"/>
      <c r="C108" s="287"/>
      <c r="D108" s="287"/>
      <c r="E108" s="287"/>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E108" s="287"/>
      <c r="AF108" s="287"/>
      <c r="AG108" s="287"/>
    </row>
    <row r="109" spans="1:33" s="649" customFormat="1" ht="18" customHeight="1" outlineLevel="1">
      <c r="A109" s="894"/>
      <c r="B109" s="287"/>
      <c r="C109" s="121" t="s">
        <v>240</v>
      </c>
      <c r="D109" s="8" t="str">
        <f>Currency_Label</f>
        <v>USD</v>
      </c>
      <c r="E109" s="287"/>
      <c r="F109" s="287"/>
      <c r="G109" s="287"/>
      <c r="H109" s="287"/>
      <c r="I109" s="71">
        <f>SUMPRODUCT((J$6:AG$6),(J109:AG109))</f>
        <v>391853.89828745974</v>
      </c>
      <c r="J109" s="690">
        <f t="shared" ref="J109:AG109" si="14">J71+J75+J79+J83+J87+J91+J95+J99+J103+J107</f>
        <v>19060.574999999997</v>
      </c>
      <c r="K109" s="690">
        <f t="shared" si="14"/>
        <v>19487.291249999998</v>
      </c>
      <c r="L109" s="690">
        <f t="shared" si="14"/>
        <v>19501.6496625</v>
      </c>
      <c r="M109" s="690">
        <f t="shared" si="14"/>
        <v>19516.151659124997</v>
      </c>
      <c r="N109" s="690">
        <f t="shared" si="14"/>
        <v>19530.798675716251</v>
      </c>
      <c r="O109" s="690">
        <f t="shared" si="14"/>
        <v>19545.592162473411</v>
      </c>
      <c r="P109" s="690">
        <f t="shared" si="14"/>
        <v>19560.533584098146</v>
      </c>
      <c r="Q109" s="690">
        <f t="shared" si="14"/>
        <v>18750.624419939129</v>
      </c>
      <c r="R109" s="690">
        <f t="shared" si="14"/>
        <v>18990.866164138519</v>
      </c>
      <c r="S109" s="690">
        <f t="shared" si="14"/>
        <v>19006.260325779906</v>
      </c>
      <c r="T109" s="690">
        <f t="shared" si="14"/>
        <v>18435.708429037702</v>
      </c>
      <c r="U109" s="690">
        <f t="shared" si="14"/>
        <v>17765.447013328081</v>
      </c>
      <c r="V109" s="690">
        <f t="shared" si="14"/>
        <v>17795.078983461364</v>
      </c>
      <c r="W109" s="690">
        <f t="shared" si="14"/>
        <v>17825.007273295974</v>
      </c>
      <c r="X109" s="690">
        <f t="shared" si="14"/>
        <v>17855.234846028936</v>
      </c>
      <c r="Y109" s="690">
        <f t="shared" si="14"/>
        <v>17885.764694489226</v>
      </c>
      <c r="Z109" s="690">
        <f t="shared" si="14"/>
        <v>17916.599841434119</v>
      </c>
      <c r="AA109" s="690">
        <f t="shared" si="14"/>
        <v>17947.743339848461</v>
      </c>
      <c r="AB109" s="690">
        <f t="shared" si="14"/>
        <v>17979.198273246944</v>
      </c>
      <c r="AC109" s="690">
        <f t="shared" si="14"/>
        <v>18010.967755979415</v>
      </c>
      <c r="AD109" s="690">
        <f t="shared" si="14"/>
        <v>19486.804933539206</v>
      </c>
      <c r="AE109" s="690">
        <f t="shared" si="14"/>
        <v>0</v>
      </c>
      <c r="AF109" s="690">
        <f t="shared" si="14"/>
        <v>0</v>
      </c>
      <c r="AG109" s="690">
        <f t="shared" si="14"/>
        <v>0</v>
      </c>
    </row>
    <row r="110" spans="1:33" s="649" customFormat="1" ht="18" customHeight="1" outlineLevel="1">
      <c r="A110" s="894"/>
      <c r="B110" s="287"/>
      <c r="C110" s="287"/>
      <c r="D110" s="287"/>
      <c r="E110" s="287"/>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E110" s="287"/>
      <c r="AF110" s="287"/>
      <c r="AG110" s="287"/>
    </row>
    <row r="111" spans="1:33" s="649" customFormat="1" ht="18" customHeight="1" outlineLevel="1">
      <c r="A111" s="894"/>
      <c r="B111" s="287"/>
      <c r="C111" s="279" t="s">
        <v>499</v>
      </c>
      <c r="D111" s="287"/>
      <c r="E111" s="287"/>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E111" s="287"/>
      <c r="AF111" s="287"/>
      <c r="AG111" s="287"/>
    </row>
    <row r="112" spans="1:33" s="649" customFormat="1" ht="18" customHeight="1" outlineLevel="1">
      <c r="A112" s="894"/>
      <c r="B112" s="287"/>
      <c r="C112" s="24" t="str">
        <f>Product_01</f>
        <v>Desktops</v>
      </c>
      <c r="D112" s="8" t="str">
        <f t="shared" ref="D112:D122" si="15">Currency_Label</f>
        <v>USD</v>
      </c>
      <c r="E112" s="327"/>
      <c r="G112" s="327"/>
      <c r="H112" s="327"/>
      <c r="I112" s="71">
        <f t="shared" ref="I112:I122" si="16">SUM(J112:AG112)</f>
        <v>435600</v>
      </c>
      <c r="J112" s="259">
        <f>(J12+J28+J71)*J$6</f>
        <v>21000</v>
      </c>
      <c r="K112" s="259">
        <f t="shared" ref="K112:AG112" si="17">(K12+K28+K71)*K$6</f>
        <v>22200</v>
      </c>
      <c r="L112" s="259">
        <f t="shared" si="17"/>
        <v>22200</v>
      </c>
      <c r="M112" s="259">
        <f t="shared" si="17"/>
        <v>22200</v>
      </c>
      <c r="N112" s="259">
        <f t="shared" si="17"/>
        <v>22200</v>
      </c>
      <c r="O112" s="259">
        <f t="shared" si="17"/>
        <v>22200</v>
      </c>
      <c r="P112" s="259">
        <f t="shared" si="17"/>
        <v>22200</v>
      </c>
      <c r="Q112" s="259">
        <f t="shared" si="17"/>
        <v>19800</v>
      </c>
      <c r="R112" s="259">
        <f t="shared" si="17"/>
        <v>19800</v>
      </c>
      <c r="S112" s="259">
        <f t="shared" si="17"/>
        <v>19800</v>
      </c>
      <c r="T112" s="259">
        <f t="shared" si="17"/>
        <v>19800</v>
      </c>
      <c r="U112" s="259">
        <f t="shared" si="17"/>
        <v>19800</v>
      </c>
      <c r="V112" s="259">
        <f t="shared" si="17"/>
        <v>19800</v>
      </c>
      <c r="W112" s="259">
        <f t="shared" si="17"/>
        <v>19800</v>
      </c>
      <c r="X112" s="259">
        <f t="shared" si="17"/>
        <v>19800</v>
      </c>
      <c r="Y112" s="259">
        <f t="shared" si="17"/>
        <v>19800</v>
      </c>
      <c r="Z112" s="259">
        <f t="shared" si="17"/>
        <v>19800</v>
      </c>
      <c r="AA112" s="259">
        <f t="shared" si="17"/>
        <v>19800</v>
      </c>
      <c r="AB112" s="259">
        <f t="shared" si="17"/>
        <v>19800</v>
      </c>
      <c r="AC112" s="259">
        <f t="shared" si="17"/>
        <v>19800</v>
      </c>
      <c r="AD112" s="259">
        <f t="shared" si="17"/>
        <v>24000</v>
      </c>
      <c r="AE112" s="259">
        <f t="shared" si="17"/>
        <v>0</v>
      </c>
      <c r="AF112" s="259">
        <f t="shared" si="17"/>
        <v>0</v>
      </c>
      <c r="AG112" s="259">
        <f t="shared" si="17"/>
        <v>0</v>
      </c>
    </row>
    <row r="113" spans="1:33" s="649" customFormat="1" ht="18" customHeight="1" outlineLevel="1">
      <c r="A113" s="894"/>
      <c r="B113" s="287"/>
      <c r="C113" s="24" t="str">
        <f>Product_02</f>
        <v>Workstations</v>
      </c>
      <c r="D113" s="8" t="str">
        <f t="shared" si="15"/>
        <v>USD</v>
      </c>
      <c r="E113" s="327"/>
      <c r="F113" s="327"/>
      <c r="G113" s="327"/>
      <c r="H113" s="327"/>
      <c r="I113" s="71">
        <f t="shared" si="16"/>
        <v>368000</v>
      </c>
      <c r="J113" s="259">
        <f t="shared" ref="J113:AG113" si="18">(J13+J32+J75)*J$6</f>
        <v>12800</v>
      </c>
      <c r="K113" s="259">
        <f t="shared" si="18"/>
        <v>16000</v>
      </c>
      <c r="L113" s="259">
        <f t="shared" si="18"/>
        <v>16000</v>
      </c>
      <c r="M113" s="259">
        <f t="shared" si="18"/>
        <v>16000</v>
      </c>
      <c r="N113" s="259">
        <f t="shared" si="18"/>
        <v>16000</v>
      </c>
      <c r="O113" s="259">
        <f t="shared" si="18"/>
        <v>16000</v>
      </c>
      <c r="P113" s="259">
        <f t="shared" si="18"/>
        <v>16000</v>
      </c>
      <c r="Q113" s="259">
        <f t="shared" si="18"/>
        <v>16000</v>
      </c>
      <c r="R113" s="259">
        <f t="shared" si="18"/>
        <v>16000</v>
      </c>
      <c r="S113" s="259">
        <f t="shared" si="18"/>
        <v>19200</v>
      </c>
      <c r="T113" s="259">
        <f t="shared" si="18"/>
        <v>19200</v>
      </c>
      <c r="U113" s="259">
        <f t="shared" si="18"/>
        <v>19200</v>
      </c>
      <c r="V113" s="259">
        <f t="shared" si="18"/>
        <v>19200</v>
      </c>
      <c r="W113" s="259">
        <f t="shared" si="18"/>
        <v>19200</v>
      </c>
      <c r="X113" s="259">
        <f t="shared" si="18"/>
        <v>19200</v>
      </c>
      <c r="Y113" s="259">
        <f t="shared" si="18"/>
        <v>19200</v>
      </c>
      <c r="Z113" s="259">
        <f t="shared" si="18"/>
        <v>19200</v>
      </c>
      <c r="AA113" s="259">
        <f t="shared" si="18"/>
        <v>19200</v>
      </c>
      <c r="AB113" s="259">
        <f t="shared" si="18"/>
        <v>19200</v>
      </c>
      <c r="AC113" s="259">
        <f t="shared" si="18"/>
        <v>17600</v>
      </c>
      <c r="AD113" s="259">
        <f t="shared" si="18"/>
        <v>17600</v>
      </c>
      <c r="AE113" s="259">
        <f t="shared" si="18"/>
        <v>0</v>
      </c>
      <c r="AF113" s="259">
        <f t="shared" si="18"/>
        <v>0</v>
      </c>
      <c r="AG113" s="259">
        <f t="shared" si="18"/>
        <v>0</v>
      </c>
    </row>
    <row r="114" spans="1:33" s="649" customFormat="1" ht="18" customHeight="1" outlineLevel="1">
      <c r="A114" s="894"/>
      <c r="B114" s="287"/>
      <c r="C114" s="24" t="str">
        <f>Product_03</f>
        <v>Notebooks</v>
      </c>
      <c r="D114" s="8" t="str">
        <f t="shared" si="15"/>
        <v>USD</v>
      </c>
      <c r="E114" s="327"/>
      <c r="F114" s="327"/>
      <c r="G114" s="327"/>
      <c r="H114" s="327"/>
      <c r="I114" s="71">
        <f t="shared" si="16"/>
        <v>179200</v>
      </c>
      <c r="J114" s="259">
        <f t="shared" ref="J114:AG114" si="19">(J14+J36+J79)*J$6</f>
        <v>8000</v>
      </c>
      <c r="K114" s="259">
        <f t="shared" si="19"/>
        <v>8000</v>
      </c>
      <c r="L114" s="259">
        <f t="shared" si="19"/>
        <v>8000</v>
      </c>
      <c r="M114" s="259">
        <f t="shared" si="19"/>
        <v>8000</v>
      </c>
      <c r="N114" s="259">
        <f t="shared" si="19"/>
        <v>8000</v>
      </c>
      <c r="O114" s="259">
        <f t="shared" si="19"/>
        <v>8000</v>
      </c>
      <c r="P114" s="259">
        <f t="shared" si="19"/>
        <v>8000</v>
      </c>
      <c r="Q114" s="259">
        <f t="shared" si="19"/>
        <v>8800</v>
      </c>
      <c r="R114" s="259">
        <f t="shared" si="19"/>
        <v>8800</v>
      </c>
      <c r="S114" s="259">
        <f t="shared" si="19"/>
        <v>8800</v>
      </c>
      <c r="T114" s="259">
        <f t="shared" si="19"/>
        <v>8800</v>
      </c>
      <c r="U114" s="259">
        <f t="shared" si="19"/>
        <v>8800</v>
      </c>
      <c r="V114" s="259">
        <f t="shared" si="19"/>
        <v>8800</v>
      </c>
      <c r="W114" s="259">
        <f t="shared" si="19"/>
        <v>8800</v>
      </c>
      <c r="X114" s="259">
        <f t="shared" si="19"/>
        <v>8800</v>
      </c>
      <c r="Y114" s="259">
        <f t="shared" si="19"/>
        <v>8800</v>
      </c>
      <c r="Z114" s="259">
        <f t="shared" si="19"/>
        <v>8800</v>
      </c>
      <c r="AA114" s="259">
        <f t="shared" si="19"/>
        <v>8800</v>
      </c>
      <c r="AB114" s="259">
        <f t="shared" si="19"/>
        <v>8800</v>
      </c>
      <c r="AC114" s="259">
        <f t="shared" si="19"/>
        <v>8800</v>
      </c>
      <c r="AD114" s="259">
        <f t="shared" si="19"/>
        <v>8800</v>
      </c>
      <c r="AE114" s="259">
        <f t="shared" si="19"/>
        <v>0</v>
      </c>
      <c r="AF114" s="259">
        <f t="shared" si="19"/>
        <v>0</v>
      </c>
      <c r="AG114" s="259">
        <f t="shared" si="19"/>
        <v>0</v>
      </c>
    </row>
    <row r="115" spans="1:33" s="649" customFormat="1" ht="18" customHeight="1" outlineLevel="1">
      <c r="A115" s="894"/>
      <c r="B115" s="287"/>
      <c r="C115" s="24" t="str">
        <f>Product_04</f>
        <v>Software Products</v>
      </c>
      <c r="D115" s="8" t="str">
        <f t="shared" si="15"/>
        <v>USD</v>
      </c>
      <c r="E115" s="327"/>
      <c r="F115" s="327"/>
      <c r="G115" s="327"/>
      <c r="H115" s="327"/>
      <c r="I115" s="71">
        <f t="shared" si="16"/>
        <v>129140</v>
      </c>
      <c r="J115" s="259">
        <f t="shared" ref="J115:AG115" si="20">(J15+J40+J83)*J$6</f>
        <v>6050</v>
      </c>
      <c r="K115" s="259">
        <f t="shared" si="20"/>
        <v>6270</v>
      </c>
      <c r="L115" s="259">
        <f t="shared" si="20"/>
        <v>6270</v>
      </c>
      <c r="M115" s="259">
        <f t="shared" si="20"/>
        <v>6270</v>
      </c>
      <c r="N115" s="259">
        <f t="shared" si="20"/>
        <v>6270</v>
      </c>
      <c r="O115" s="259">
        <f t="shared" si="20"/>
        <v>6270</v>
      </c>
      <c r="P115" s="259">
        <f t="shared" si="20"/>
        <v>6270</v>
      </c>
      <c r="Q115" s="259">
        <f t="shared" si="20"/>
        <v>6050</v>
      </c>
      <c r="R115" s="259">
        <f t="shared" si="20"/>
        <v>6050</v>
      </c>
      <c r="S115" s="259">
        <f t="shared" si="20"/>
        <v>6050</v>
      </c>
      <c r="T115" s="259">
        <f t="shared" si="20"/>
        <v>6050</v>
      </c>
      <c r="U115" s="259">
        <f t="shared" si="20"/>
        <v>6050</v>
      </c>
      <c r="V115" s="259">
        <f t="shared" si="20"/>
        <v>6050</v>
      </c>
      <c r="W115" s="259">
        <f t="shared" si="20"/>
        <v>6050</v>
      </c>
      <c r="X115" s="259">
        <f t="shared" si="20"/>
        <v>6050</v>
      </c>
      <c r="Y115" s="259">
        <f t="shared" si="20"/>
        <v>6050</v>
      </c>
      <c r="Z115" s="259">
        <f t="shared" si="20"/>
        <v>6050</v>
      </c>
      <c r="AA115" s="259">
        <f t="shared" si="20"/>
        <v>6050</v>
      </c>
      <c r="AB115" s="259">
        <f t="shared" si="20"/>
        <v>6050</v>
      </c>
      <c r="AC115" s="259">
        <f t="shared" si="20"/>
        <v>6050</v>
      </c>
      <c r="AD115" s="259">
        <f t="shared" si="20"/>
        <v>6820</v>
      </c>
      <c r="AE115" s="259">
        <f t="shared" si="20"/>
        <v>0</v>
      </c>
      <c r="AF115" s="259">
        <f t="shared" si="20"/>
        <v>0</v>
      </c>
      <c r="AG115" s="259">
        <f t="shared" si="20"/>
        <v>0</v>
      </c>
    </row>
    <row r="116" spans="1:33" s="649" customFormat="1" ht="18" customHeight="1" outlineLevel="1">
      <c r="A116" s="894"/>
      <c r="B116" s="287"/>
      <c r="C116" s="24" t="str">
        <f>Product_05</f>
        <v>Net work infrastructure solutions</v>
      </c>
      <c r="D116" s="8" t="str">
        <f t="shared" si="15"/>
        <v>USD</v>
      </c>
      <c r="E116" s="327"/>
      <c r="F116" s="327"/>
      <c r="G116" s="327"/>
      <c r="H116" s="327"/>
      <c r="I116" s="71">
        <f t="shared" si="16"/>
        <v>27271.379067815913</v>
      </c>
      <c r="J116" s="259">
        <f t="shared" ref="J116:AG116" si="21">(J16+J44+J87)*J$6</f>
        <v>1125</v>
      </c>
      <c r="K116" s="259">
        <f t="shared" si="21"/>
        <v>1125</v>
      </c>
      <c r="L116" s="259">
        <f t="shared" si="21"/>
        <v>1125</v>
      </c>
      <c r="M116" s="259">
        <f t="shared" si="21"/>
        <v>1125</v>
      </c>
      <c r="N116" s="259">
        <f t="shared" si="21"/>
        <v>1125</v>
      </c>
      <c r="O116" s="259">
        <f t="shared" si="21"/>
        <v>1125</v>
      </c>
      <c r="P116" s="259">
        <f t="shared" si="21"/>
        <v>1125</v>
      </c>
      <c r="Q116" s="259">
        <f t="shared" si="21"/>
        <v>1125</v>
      </c>
      <c r="R116" s="259">
        <f t="shared" si="21"/>
        <v>1250</v>
      </c>
      <c r="S116" s="259">
        <f t="shared" si="21"/>
        <v>1250</v>
      </c>
      <c r="T116" s="259">
        <f t="shared" si="21"/>
        <v>1363.5</v>
      </c>
      <c r="U116" s="259">
        <f t="shared" si="21"/>
        <v>1377.135</v>
      </c>
      <c r="V116" s="259">
        <f t="shared" si="21"/>
        <v>1390.9063500000002</v>
      </c>
      <c r="W116" s="259">
        <f t="shared" si="21"/>
        <v>1404.8154135000002</v>
      </c>
      <c r="X116" s="259">
        <f t="shared" si="21"/>
        <v>1418.8635676350002</v>
      </c>
      <c r="Y116" s="259">
        <f t="shared" si="21"/>
        <v>1433.05220331135</v>
      </c>
      <c r="Z116" s="259">
        <f t="shared" si="21"/>
        <v>1447.3827253444638</v>
      </c>
      <c r="AA116" s="259">
        <f t="shared" si="21"/>
        <v>1461.8565525979084</v>
      </c>
      <c r="AB116" s="259">
        <f t="shared" si="21"/>
        <v>1476.4751181238876</v>
      </c>
      <c r="AC116" s="259">
        <f t="shared" si="21"/>
        <v>1491.2398693051264</v>
      </c>
      <c r="AD116" s="259">
        <f t="shared" si="21"/>
        <v>1506.1522679981776</v>
      </c>
      <c r="AE116" s="259">
        <f t="shared" si="21"/>
        <v>0</v>
      </c>
      <c r="AF116" s="259">
        <f t="shared" si="21"/>
        <v>0</v>
      </c>
      <c r="AG116" s="259">
        <f t="shared" si="21"/>
        <v>0</v>
      </c>
    </row>
    <row r="117" spans="1:33" s="649" customFormat="1" ht="18" customHeight="1" outlineLevel="1">
      <c r="A117" s="894"/>
      <c r="B117" s="287"/>
      <c r="C117" s="24" t="str">
        <f>Product_06</f>
        <v>Repair Services</v>
      </c>
      <c r="D117" s="8" t="str">
        <f t="shared" si="15"/>
        <v>USD</v>
      </c>
      <c r="E117" s="327"/>
      <c r="F117" s="327"/>
      <c r="G117" s="327"/>
      <c r="H117" s="327"/>
      <c r="I117" s="71">
        <f t="shared" si="16"/>
        <v>161607.6</v>
      </c>
      <c r="J117" s="259">
        <f t="shared" ref="J117:AG117" si="22">(J17+J48+J91)*J$6</f>
        <v>8395.1999999999989</v>
      </c>
      <c r="K117" s="259">
        <f t="shared" si="22"/>
        <v>8395.1999999999989</v>
      </c>
      <c r="L117" s="259">
        <f t="shared" si="22"/>
        <v>8395.1999999999989</v>
      </c>
      <c r="M117" s="259">
        <f t="shared" si="22"/>
        <v>8395.1999999999989</v>
      </c>
      <c r="N117" s="259">
        <f t="shared" si="22"/>
        <v>8395.1999999999989</v>
      </c>
      <c r="O117" s="259">
        <f t="shared" si="22"/>
        <v>8395.1999999999989</v>
      </c>
      <c r="P117" s="259">
        <f t="shared" si="22"/>
        <v>8395.1999999999989</v>
      </c>
      <c r="Q117" s="259">
        <f t="shared" si="22"/>
        <v>8395.1999999999989</v>
      </c>
      <c r="R117" s="259">
        <f t="shared" si="22"/>
        <v>8395.1999999999989</v>
      </c>
      <c r="S117" s="259">
        <f t="shared" si="22"/>
        <v>8395.1999999999989</v>
      </c>
      <c r="T117" s="259">
        <f t="shared" si="22"/>
        <v>7695.6</v>
      </c>
      <c r="U117" s="259">
        <f t="shared" si="22"/>
        <v>6996.0000000000009</v>
      </c>
      <c r="V117" s="259">
        <f t="shared" si="22"/>
        <v>6996.0000000000009</v>
      </c>
      <c r="W117" s="259">
        <f t="shared" si="22"/>
        <v>6996.0000000000009</v>
      </c>
      <c r="X117" s="259">
        <f t="shared" si="22"/>
        <v>6996.0000000000009</v>
      </c>
      <c r="Y117" s="259">
        <f t="shared" si="22"/>
        <v>6996.0000000000009</v>
      </c>
      <c r="Z117" s="259">
        <f t="shared" si="22"/>
        <v>6996.0000000000009</v>
      </c>
      <c r="AA117" s="259">
        <f t="shared" si="22"/>
        <v>6996.0000000000009</v>
      </c>
      <c r="AB117" s="259">
        <f t="shared" si="22"/>
        <v>6996.0000000000009</v>
      </c>
      <c r="AC117" s="259">
        <f t="shared" si="22"/>
        <v>6996.0000000000009</v>
      </c>
      <c r="AD117" s="259">
        <f t="shared" si="22"/>
        <v>6996.0000000000009</v>
      </c>
      <c r="AE117" s="259">
        <f t="shared" si="22"/>
        <v>0</v>
      </c>
      <c r="AF117" s="259">
        <f t="shared" si="22"/>
        <v>0</v>
      </c>
      <c r="AG117" s="259">
        <f t="shared" si="22"/>
        <v>0</v>
      </c>
    </row>
    <row r="118" spans="1:33" s="649" customFormat="1" ht="18" customHeight="1" outlineLevel="1">
      <c r="A118" s="894"/>
      <c r="B118" s="287"/>
      <c r="C118" s="24" t="str">
        <f>Product_07</f>
        <v>Integration Services</v>
      </c>
      <c r="D118" s="8" t="str">
        <f t="shared" si="15"/>
        <v>USD</v>
      </c>
      <c r="E118" s="327"/>
      <c r="F118" s="327"/>
      <c r="G118" s="327"/>
      <c r="H118" s="327"/>
      <c r="I118" s="71">
        <f t="shared" si="16"/>
        <v>20200</v>
      </c>
      <c r="J118" s="259">
        <f t="shared" ref="J118:AG118" si="23">(J18+J52+J95)*J$6</f>
        <v>900</v>
      </c>
      <c r="K118" s="259">
        <f t="shared" si="23"/>
        <v>900</v>
      </c>
      <c r="L118" s="259">
        <f t="shared" si="23"/>
        <v>900</v>
      </c>
      <c r="M118" s="259">
        <f t="shared" si="23"/>
        <v>900</v>
      </c>
      <c r="N118" s="259">
        <f t="shared" si="23"/>
        <v>900</v>
      </c>
      <c r="O118" s="259">
        <f t="shared" si="23"/>
        <v>900</v>
      </c>
      <c r="P118" s="259">
        <f t="shared" si="23"/>
        <v>900</v>
      </c>
      <c r="Q118" s="259">
        <f t="shared" si="23"/>
        <v>900</v>
      </c>
      <c r="R118" s="259">
        <f t="shared" si="23"/>
        <v>1000</v>
      </c>
      <c r="S118" s="259">
        <f t="shared" si="23"/>
        <v>1000</v>
      </c>
      <c r="T118" s="259">
        <f t="shared" si="23"/>
        <v>1000</v>
      </c>
      <c r="U118" s="259">
        <f t="shared" si="23"/>
        <v>1000</v>
      </c>
      <c r="V118" s="259">
        <f t="shared" si="23"/>
        <v>1000</v>
      </c>
      <c r="W118" s="259">
        <f t="shared" si="23"/>
        <v>1000</v>
      </c>
      <c r="X118" s="259">
        <f t="shared" si="23"/>
        <v>1000</v>
      </c>
      <c r="Y118" s="259">
        <f t="shared" si="23"/>
        <v>1000</v>
      </c>
      <c r="Z118" s="259">
        <f t="shared" si="23"/>
        <v>1000</v>
      </c>
      <c r="AA118" s="259">
        <f t="shared" si="23"/>
        <v>1000</v>
      </c>
      <c r="AB118" s="259">
        <f t="shared" si="23"/>
        <v>1000</v>
      </c>
      <c r="AC118" s="259">
        <f t="shared" si="23"/>
        <v>1000</v>
      </c>
      <c r="AD118" s="259">
        <f t="shared" si="23"/>
        <v>1000</v>
      </c>
      <c r="AE118" s="259">
        <f t="shared" si="23"/>
        <v>0</v>
      </c>
      <c r="AF118" s="259">
        <f t="shared" si="23"/>
        <v>0</v>
      </c>
      <c r="AG118" s="259">
        <f t="shared" si="23"/>
        <v>0</v>
      </c>
    </row>
    <row r="119" spans="1:33" s="649" customFormat="1" ht="18" customHeight="1" outlineLevel="1">
      <c r="A119" s="894"/>
      <c r="B119" s="287"/>
      <c r="C119" s="24" t="str">
        <f>Product_08</f>
        <v>Consulting Services</v>
      </c>
      <c r="D119" s="8" t="str">
        <f t="shared" si="15"/>
        <v>USD</v>
      </c>
      <c r="E119" s="327"/>
      <c r="F119" s="327"/>
      <c r="G119" s="327"/>
      <c r="H119" s="327"/>
      <c r="I119" s="71">
        <f t="shared" si="16"/>
        <v>33037.419219643874</v>
      </c>
      <c r="J119" s="259">
        <f t="shared" ref="J119:AG119" si="24">(J19+J56+J99)*J$6</f>
        <v>1421.625</v>
      </c>
      <c r="K119" s="259">
        <f t="shared" si="24"/>
        <v>1435.8412499999999</v>
      </c>
      <c r="L119" s="259">
        <f t="shared" si="24"/>
        <v>1450.1996624999999</v>
      </c>
      <c r="M119" s="259">
        <f t="shared" si="24"/>
        <v>1464.7016591250001</v>
      </c>
      <c r="N119" s="259">
        <f t="shared" si="24"/>
        <v>1479.34867571625</v>
      </c>
      <c r="O119" s="259">
        <f t="shared" si="24"/>
        <v>1494.1421624734128</v>
      </c>
      <c r="P119" s="259">
        <f t="shared" si="24"/>
        <v>1509.083584098147</v>
      </c>
      <c r="Q119" s="259">
        <f t="shared" si="24"/>
        <v>1524.1744199391285</v>
      </c>
      <c r="R119" s="259">
        <f t="shared" si="24"/>
        <v>1539.4161641385199</v>
      </c>
      <c r="S119" s="259">
        <f t="shared" si="24"/>
        <v>1554.8103257799053</v>
      </c>
      <c r="T119" s="259">
        <f t="shared" si="24"/>
        <v>1570.3584290377044</v>
      </c>
      <c r="U119" s="259">
        <f t="shared" si="24"/>
        <v>1586.0620133280815</v>
      </c>
      <c r="V119" s="259">
        <f t="shared" si="24"/>
        <v>1601.9226334613625</v>
      </c>
      <c r="W119" s="259">
        <f t="shared" si="24"/>
        <v>1617.9418597959761</v>
      </c>
      <c r="X119" s="259">
        <f t="shared" si="24"/>
        <v>1634.1212783939359</v>
      </c>
      <c r="Y119" s="259">
        <f t="shared" si="24"/>
        <v>1650.4624911778753</v>
      </c>
      <c r="Z119" s="259">
        <f t="shared" si="24"/>
        <v>1666.9671160896539</v>
      </c>
      <c r="AA119" s="259">
        <f t="shared" si="24"/>
        <v>1683.6367872505505</v>
      </c>
      <c r="AB119" s="259">
        <f t="shared" si="24"/>
        <v>1700.4731551230559</v>
      </c>
      <c r="AC119" s="259">
        <f t="shared" si="24"/>
        <v>1717.4778866742865</v>
      </c>
      <c r="AD119" s="259">
        <f t="shared" si="24"/>
        <v>1734.6526655410294</v>
      </c>
      <c r="AE119" s="259">
        <f t="shared" si="24"/>
        <v>0</v>
      </c>
      <c r="AF119" s="259">
        <f t="shared" si="24"/>
        <v>0</v>
      </c>
      <c r="AG119" s="259">
        <f t="shared" si="24"/>
        <v>0</v>
      </c>
    </row>
    <row r="120" spans="1:33" s="649" customFormat="1" ht="18" customHeight="1" outlineLevel="1">
      <c r="A120" s="894"/>
      <c r="B120" s="287"/>
      <c r="C120" s="24" t="str">
        <f>Product_09</f>
        <v>Spare Parts</v>
      </c>
      <c r="D120" s="8" t="str">
        <f t="shared" si="15"/>
        <v>USD</v>
      </c>
      <c r="E120" s="327"/>
      <c r="F120" s="327"/>
      <c r="G120" s="327"/>
      <c r="H120" s="327"/>
      <c r="I120" s="71">
        <f t="shared" si="16"/>
        <v>149737.5</v>
      </c>
      <c r="J120" s="259">
        <f t="shared" ref="J120:AG120" si="25">(J20+J60+J103)*J$6</f>
        <v>7218.75</v>
      </c>
      <c r="K120" s="259">
        <f t="shared" si="25"/>
        <v>7631.25</v>
      </c>
      <c r="L120" s="259">
        <f t="shared" si="25"/>
        <v>7631.25</v>
      </c>
      <c r="M120" s="259">
        <f t="shared" si="25"/>
        <v>7631.25</v>
      </c>
      <c r="N120" s="259">
        <f t="shared" si="25"/>
        <v>7631.25</v>
      </c>
      <c r="O120" s="259">
        <f t="shared" si="25"/>
        <v>7631.25</v>
      </c>
      <c r="P120" s="259">
        <f t="shared" si="25"/>
        <v>7631.25</v>
      </c>
      <c r="Q120" s="259">
        <f t="shared" si="25"/>
        <v>6806.25</v>
      </c>
      <c r="R120" s="259">
        <f t="shared" si="25"/>
        <v>6806.25</v>
      </c>
      <c r="S120" s="259">
        <f t="shared" si="25"/>
        <v>6806.25</v>
      </c>
      <c r="T120" s="259">
        <f t="shared" si="25"/>
        <v>6806.25</v>
      </c>
      <c r="U120" s="259">
        <f t="shared" si="25"/>
        <v>6806.25</v>
      </c>
      <c r="V120" s="259">
        <f t="shared" si="25"/>
        <v>6806.25</v>
      </c>
      <c r="W120" s="259">
        <f t="shared" si="25"/>
        <v>6806.25</v>
      </c>
      <c r="X120" s="259">
        <f t="shared" si="25"/>
        <v>6806.25</v>
      </c>
      <c r="Y120" s="259">
        <f t="shared" si="25"/>
        <v>6806.25</v>
      </c>
      <c r="Z120" s="259">
        <f t="shared" si="25"/>
        <v>6806.25</v>
      </c>
      <c r="AA120" s="259">
        <f t="shared" si="25"/>
        <v>6806.25</v>
      </c>
      <c r="AB120" s="259">
        <f t="shared" si="25"/>
        <v>6806.25</v>
      </c>
      <c r="AC120" s="259">
        <f t="shared" si="25"/>
        <v>6806.25</v>
      </c>
      <c r="AD120" s="259">
        <f t="shared" si="25"/>
        <v>8250</v>
      </c>
      <c r="AE120" s="259">
        <f t="shared" si="25"/>
        <v>0</v>
      </c>
      <c r="AF120" s="259">
        <f t="shared" si="25"/>
        <v>0</v>
      </c>
      <c r="AG120" s="259">
        <f t="shared" si="25"/>
        <v>0</v>
      </c>
    </row>
    <row r="121" spans="1:33" s="649" customFormat="1" ht="18" customHeight="1" outlineLevel="1">
      <c r="A121" s="894"/>
      <c r="B121" s="287"/>
      <c r="C121" s="24" t="str">
        <f>Product_10</f>
        <v>License Fees</v>
      </c>
      <c r="D121" s="8" t="str">
        <f t="shared" si="15"/>
        <v>USD</v>
      </c>
      <c r="E121" s="327"/>
      <c r="F121" s="327"/>
      <c r="G121" s="327"/>
      <c r="H121" s="327"/>
      <c r="I121" s="71">
        <f t="shared" si="16"/>
        <v>0</v>
      </c>
      <c r="J121" s="259">
        <f t="shared" ref="J121:AG121" si="26">(J21+J64+J107)*J$6</f>
        <v>0</v>
      </c>
      <c r="K121" s="259">
        <f t="shared" si="26"/>
        <v>0</v>
      </c>
      <c r="L121" s="259">
        <f t="shared" si="26"/>
        <v>0</v>
      </c>
      <c r="M121" s="259">
        <f t="shared" si="26"/>
        <v>0</v>
      </c>
      <c r="N121" s="259">
        <f t="shared" si="26"/>
        <v>0</v>
      </c>
      <c r="O121" s="259">
        <f t="shared" si="26"/>
        <v>0</v>
      </c>
      <c r="P121" s="259">
        <f t="shared" si="26"/>
        <v>0</v>
      </c>
      <c r="Q121" s="259">
        <f t="shared" si="26"/>
        <v>0</v>
      </c>
      <c r="R121" s="259">
        <f t="shared" si="26"/>
        <v>0</v>
      </c>
      <c r="S121" s="259">
        <f t="shared" si="26"/>
        <v>0</v>
      </c>
      <c r="T121" s="259">
        <f t="shared" si="26"/>
        <v>0</v>
      </c>
      <c r="U121" s="259">
        <f t="shared" si="26"/>
        <v>0</v>
      </c>
      <c r="V121" s="259">
        <f t="shared" si="26"/>
        <v>0</v>
      </c>
      <c r="W121" s="259">
        <f t="shared" si="26"/>
        <v>0</v>
      </c>
      <c r="X121" s="259">
        <f t="shared" si="26"/>
        <v>0</v>
      </c>
      <c r="Y121" s="259">
        <f t="shared" si="26"/>
        <v>0</v>
      </c>
      <c r="Z121" s="259">
        <f t="shared" si="26"/>
        <v>0</v>
      </c>
      <c r="AA121" s="259">
        <f t="shared" si="26"/>
        <v>0</v>
      </c>
      <c r="AB121" s="259">
        <f t="shared" si="26"/>
        <v>0</v>
      </c>
      <c r="AC121" s="259">
        <f t="shared" si="26"/>
        <v>0</v>
      </c>
      <c r="AD121" s="259">
        <f t="shared" si="26"/>
        <v>0</v>
      </c>
      <c r="AE121" s="259">
        <f t="shared" si="26"/>
        <v>0</v>
      </c>
      <c r="AF121" s="259">
        <f t="shared" si="26"/>
        <v>0</v>
      </c>
      <c r="AG121" s="259">
        <f t="shared" si="26"/>
        <v>0</v>
      </c>
    </row>
    <row r="122" spans="1:33" s="649" customFormat="1" ht="18" customHeight="1" outlineLevel="1" thickBot="1">
      <c r="A122" s="894"/>
      <c r="B122" s="287"/>
      <c r="C122" s="121" t="s">
        <v>368</v>
      </c>
      <c r="D122" s="8" t="str">
        <f t="shared" si="15"/>
        <v>USD</v>
      </c>
      <c r="E122" s="327"/>
      <c r="F122" s="357"/>
      <c r="G122" s="357"/>
      <c r="H122" s="357"/>
      <c r="I122" s="71">
        <f t="shared" si="16"/>
        <v>1503793.8982874597</v>
      </c>
      <c r="J122" s="692">
        <f t="shared" ref="J122:AG122" si="27">SUM(J112:J121)</f>
        <v>66910.574999999997</v>
      </c>
      <c r="K122" s="692">
        <f t="shared" si="27"/>
        <v>71957.291249999995</v>
      </c>
      <c r="L122" s="692">
        <f t="shared" si="27"/>
        <v>71971.6496625</v>
      </c>
      <c r="M122" s="692">
        <f t="shared" si="27"/>
        <v>71986.151659124997</v>
      </c>
      <c r="N122" s="692">
        <f t="shared" si="27"/>
        <v>72000.798675716243</v>
      </c>
      <c r="O122" s="692">
        <f t="shared" si="27"/>
        <v>72015.592162473418</v>
      </c>
      <c r="P122" s="692">
        <f t="shared" si="27"/>
        <v>72030.533584098142</v>
      </c>
      <c r="Q122" s="692">
        <f t="shared" si="27"/>
        <v>69400.624419939122</v>
      </c>
      <c r="R122" s="692">
        <f t="shared" si="27"/>
        <v>69640.866164138512</v>
      </c>
      <c r="S122" s="692">
        <f t="shared" si="27"/>
        <v>72856.260325779906</v>
      </c>
      <c r="T122" s="692">
        <f t="shared" si="27"/>
        <v>72285.70842903771</v>
      </c>
      <c r="U122" s="692">
        <f t="shared" si="27"/>
        <v>71615.447013328085</v>
      </c>
      <c r="V122" s="692">
        <f t="shared" si="27"/>
        <v>71645.078983461368</v>
      </c>
      <c r="W122" s="692">
        <f t="shared" si="27"/>
        <v>71675.007273295982</v>
      </c>
      <c r="X122" s="692">
        <f t="shared" si="27"/>
        <v>71705.234846028936</v>
      </c>
      <c r="Y122" s="692">
        <f t="shared" si="27"/>
        <v>71735.764694489219</v>
      </c>
      <c r="Z122" s="692">
        <f t="shared" si="27"/>
        <v>71766.599841434116</v>
      </c>
      <c r="AA122" s="692">
        <f t="shared" si="27"/>
        <v>71797.743339848457</v>
      </c>
      <c r="AB122" s="692">
        <f t="shared" si="27"/>
        <v>71829.198273246948</v>
      </c>
      <c r="AC122" s="692">
        <f t="shared" si="27"/>
        <v>70260.967755979422</v>
      </c>
      <c r="AD122" s="692">
        <f t="shared" si="27"/>
        <v>76706.804933539213</v>
      </c>
      <c r="AE122" s="692">
        <f t="shared" si="27"/>
        <v>0</v>
      </c>
      <c r="AF122" s="692">
        <f t="shared" si="27"/>
        <v>0</v>
      </c>
      <c r="AG122" s="692">
        <f t="shared" si="27"/>
        <v>0</v>
      </c>
    </row>
    <row r="123" spans="1:33" ht="15" customHeight="1" outlineLevel="1" thickTop="1">
      <c r="A123" s="894"/>
      <c r="B123" s="241"/>
      <c r="C123" s="241"/>
      <c r="D123" s="241"/>
      <c r="E123" s="241"/>
      <c r="F123" s="287"/>
      <c r="G123" s="287"/>
      <c r="H123" s="287"/>
      <c r="I123" s="287"/>
      <c r="J123" s="287"/>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row>
    <row r="124" spans="1:33" s="203" customFormat="1" ht="24" customHeight="1" thickBot="1">
      <c r="A124" s="323"/>
      <c r="B124" s="323"/>
      <c r="C124" s="323" t="s">
        <v>254</v>
      </c>
      <c r="D124" s="323"/>
      <c r="E124" s="323"/>
      <c r="F124" s="323"/>
      <c r="G124" s="323"/>
      <c r="H124" s="323"/>
      <c r="I124" s="323"/>
      <c r="J124" s="323"/>
      <c r="K124" s="323"/>
      <c r="L124" s="323"/>
      <c r="M124" s="323"/>
      <c r="N124" s="323"/>
      <c r="O124" s="323"/>
      <c r="P124" s="323"/>
      <c r="Q124" s="323"/>
      <c r="R124" s="323"/>
      <c r="S124" s="323"/>
      <c r="T124" s="323"/>
      <c r="U124" s="323"/>
      <c r="V124" s="323"/>
      <c r="W124" s="323"/>
      <c r="X124" s="323"/>
      <c r="Y124" s="323"/>
      <c r="Z124" s="323"/>
      <c r="AA124" s="323"/>
      <c r="AB124" s="323"/>
      <c r="AC124" s="323"/>
      <c r="AD124" s="323"/>
      <c r="AE124" s="323"/>
      <c r="AF124" s="323"/>
      <c r="AG124" s="323"/>
    </row>
    <row r="125" spans="1:33" s="649" customFormat="1" ht="17.25" customHeight="1" outlineLevel="1">
      <c r="A125" s="894"/>
      <c r="B125" s="287"/>
      <c r="C125" s="325" t="str">
        <f>"Inventory planning can be easily switched on/off on sheet inputs in row " &amp;ROW(Inputs!$C$199)</f>
        <v>Inventory planning can be easily switched on/off on sheet inputs in row 199</v>
      </c>
      <c r="D125" s="287"/>
      <c r="E125" s="528" t="s">
        <v>252</v>
      </c>
      <c r="F125" s="703">
        <f>an_aus_lager</f>
        <v>1</v>
      </c>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E125" s="287"/>
      <c r="AF125" s="287"/>
      <c r="AG125" s="287"/>
    </row>
    <row r="126" spans="1:33" s="649" customFormat="1" ht="17.25" customHeight="1" outlineLevel="1">
      <c r="A126" s="128"/>
      <c r="B126" s="287"/>
      <c r="C126" s="273" t="str">
        <f>Product_01</f>
        <v>Desktops</v>
      </c>
      <c r="D126" s="287"/>
      <c r="E126" s="287"/>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E126" s="287"/>
      <c r="AF126" s="287"/>
      <c r="AG126" s="287"/>
    </row>
    <row r="127" spans="1:33" s="203" customFormat="1" ht="17.25" customHeight="1" outlineLevel="1">
      <c r="A127" s="128"/>
      <c r="B127" s="241"/>
      <c r="C127" s="87" t="str">
        <f>"Reference: Net Sales " &amp;C126</f>
        <v>Reference: Net Sales Desktops</v>
      </c>
      <c r="D127" s="8" t="str">
        <f>Currency_Label</f>
        <v>USD</v>
      </c>
      <c r="E127" s="241"/>
      <c r="F127" s="234" t="s">
        <v>54</v>
      </c>
      <c r="G127" s="128"/>
      <c r="H127" s="128"/>
      <c r="I127" s="71">
        <f>SUM(J127:AG127)</f>
        <v>798600</v>
      </c>
      <c r="J127" s="131">
        <f>Sales!J70*J$6</f>
        <v>38500</v>
      </c>
      <c r="K127" s="131">
        <f>Sales!K70*K$6</f>
        <v>40700</v>
      </c>
      <c r="L127" s="131">
        <f>Sales!L70*L$6</f>
        <v>40700</v>
      </c>
      <c r="M127" s="131">
        <f>Sales!M70*M$6</f>
        <v>40700</v>
      </c>
      <c r="N127" s="131">
        <f>Sales!N70*N$6</f>
        <v>40700</v>
      </c>
      <c r="O127" s="131">
        <f>Sales!O70*O$6</f>
        <v>40700</v>
      </c>
      <c r="P127" s="131">
        <f>Sales!P70*P$6</f>
        <v>40700</v>
      </c>
      <c r="Q127" s="131">
        <f>Sales!Q70*Q$6</f>
        <v>36300</v>
      </c>
      <c r="R127" s="131">
        <f>Sales!R70*R$6</f>
        <v>36300</v>
      </c>
      <c r="S127" s="131">
        <f>Sales!S70*S$6</f>
        <v>36300</v>
      </c>
      <c r="T127" s="131">
        <f>Sales!T70*T$6</f>
        <v>36300</v>
      </c>
      <c r="U127" s="131">
        <f>Sales!U70*U$6</f>
        <v>36300</v>
      </c>
      <c r="V127" s="131">
        <f>Sales!V70*V$6</f>
        <v>36300</v>
      </c>
      <c r="W127" s="131">
        <f>Sales!W70*W$6</f>
        <v>36300</v>
      </c>
      <c r="X127" s="131">
        <f>Sales!X70*X$6</f>
        <v>36300</v>
      </c>
      <c r="Y127" s="131">
        <f>Sales!Y70*Y$6</f>
        <v>36300</v>
      </c>
      <c r="Z127" s="131">
        <f>Sales!Z70*Z$6</f>
        <v>36300</v>
      </c>
      <c r="AA127" s="131">
        <f>Sales!AA70*AA$6</f>
        <v>36300</v>
      </c>
      <c r="AB127" s="131">
        <f>Sales!AB70*AB$6</f>
        <v>36300</v>
      </c>
      <c r="AC127" s="131">
        <f>Sales!AC70*AC$6</f>
        <v>36300</v>
      </c>
      <c r="AD127" s="131">
        <f>Sales!AD70*AD$6</f>
        <v>44000</v>
      </c>
      <c r="AE127" s="131">
        <f>Sales!AE70*AE$6</f>
        <v>0</v>
      </c>
      <c r="AF127" s="131">
        <f>Sales!AF70*AF$6</f>
        <v>0</v>
      </c>
      <c r="AG127" s="131">
        <f>Sales!AG70*AG$6</f>
        <v>0</v>
      </c>
    </row>
    <row r="128" spans="1:33" s="203" customFormat="1" ht="17.25" customHeight="1" outlineLevel="1">
      <c r="A128" s="128"/>
      <c r="B128" s="241"/>
      <c r="C128" s="203" t="s">
        <v>253</v>
      </c>
      <c r="D128" s="8" t="s">
        <v>255</v>
      </c>
      <c r="E128" s="287"/>
      <c r="F128" s="271">
        <v>0.2</v>
      </c>
      <c r="G128" s="128"/>
      <c r="H128" s="128"/>
      <c r="I128" s="702"/>
      <c r="J128" s="233">
        <f t="shared" ref="J128:N128" si="28">$F$125*$F128*J127</f>
        <v>7700</v>
      </c>
      <c r="K128" s="233">
        <f t="shared" si="28"/>
        <v>8140</v>
      </c>
      <c r="L128" s="233">
        <f t="shared" si="28"/>
        <v>8140</v>
      </c>
      <c r="M128" s="233">
        <f t="shared" si="28"/>
        <v>8140</v>
      </c>
      <c r="N128" s="233">
        <f t="shared" si="28"/>
        <v>8140</v>
      </c>
      <c r="O128" s="233">
        <f t="shared" ref="O128:AG128" si="29">$F$125*$F128*O127</f>
        <v>8140</v>
      </c>
      <c r="P128" s="233">
        <f t="shared" si="29"/>
        <v>8140</v>
      </c>
      <c r="Q128" s="233">
        <f t="shared" si="29"/>
        <v>7260</v>
      </c>
      <c r="R128" s="233">
        <f t="shared" si="29"/>
        <v>7260</v>
      </c>
      <c r="S128" s="233">
        <f t="shared" si="29"/>
        <v>7260</v>
      </c>
      <c r="T128" s="233">
        <f t="shared" si="29"/>
        <v>7260</v>
      </c>
      <c r="U128" s="233">
        <f t="shared" si="29"/>
        <v>7260</v>
      </c>
      <c r="V128" s="233">
        <f t="shared" si="29"/>
        <v>7260</v>
      </c>
      <c r="W128" s="233">
        <f t="shared" si="29"/>
        <v>7260</v>
      </c>
      <c r="X128" s="233">
        <f t="shared" si="29"/>
        <v>7260</v>
      </c>
      <c r="Y128" s="233">
        <f t="shared" si="29"/>
        <v>7260</v>
      </c>
      <c r="Z128" s="233">
        <f t="shared" si="29"/>
        <v>7260</v>
      </c>
      <c r="AA128" s="233">
        <f t="shared" si="29"/>
        <v>7260</v>
      </c>
      <c r="AB128" s="233">
        <f t="shared" si="29"/>
        <v>7260</v>
      </c>
      <c r="AC128" s="233">
        <f t="shared" si="29"/>
        <v>7260</v>
      </c>
      <c r="AD128" s="233">
        <f t="shared" si="29"/>
        <v>8800</v>
      </c>
      <c r="AE128" s="233">
        <f t="shared" si="29"/>
        <v>0</v>
      </c>
      <c r="AF128" s="233">
        <f t="shared" si="29"/>
        <v>0</v>
      </c>
      <c r="AG128" s="233">
        <f t="shared" si="29"/>
        <v>0</v>
      </c>
    </row>
    <row r="129" spans="1:33" s="203" customFormat="1" ht="17.25" customHeight="1" outlineLevel="1">
      <c r="A129" s="128"/>
      <c r="B129" s="241"/>
      <c r="C129" s="48" t="s">
        <v>249</v>
      </c>
      <c r="D129" s="8" t="str">
        <f>Currency_Label</f>
        <v>USD</v>
      </c>
      <c r="E129" s="241"/>
      <c r="F129" s="241"/>
      <c r="G129" s="128"/>
      <c r="H129" s="128"/>
      <c r="I129" s="287"/>
      <c r="J129" s="80">
        <f t="shared" ref="J129:AG129" si="30">IF(J128-I128&gt;0,MIN(J128-I128,MAX(J128-J131,-J112)),MAX(J128-J131,-J112))</f>
        <v>1700</v>
      </c>
      <c r="K129" s="80">
        <f t="shared" si="30"/>
        <v>440</v>
      </c>
      <c r="L129" s="80">
        <f t="shared" si="30"/>
        <v>0</v>
      </c>
      <c r="M129" s="80">
        <f t="shared" si="30"/>
        <v>0</v>
      </c>
      <c r="N129" s="80">
        <f t="shared" si="30"/>
        <v>0</v>
      </c>
      <c r="O129" s="80">
        <f t="shared" si="30"/>
        <v>0</v>
      </c>
      <c r="P129" s="80">
        <f t="shared" si="30"/>
        <v>0</v>
      </c>
      <c r="Q129" s="80">
        <f t="shared" si="30"/>
        <v>-880</v>
      </c>
      <c r="R129" s="80">
        <f t="shared" si="30"/>
        <v>0</v>
      </c>
      <c r="S129" s="80">
        <f t="shared" si="30"/>
        <v>0</v>
      </c>
      <c r="T129" s="80">
        <f t="shared" si="30"/>
        <v>0</v>
      </c>
      <c r="U129" s="80">
        <f t="shared" si="30"/>
        <v>0</v>
      </c>
      <c r="V129" s="80">
        <f t="shared" si="30"/>
        <v>0</v>
      </c>
      <c r="W129" s="80">
        <f t="shared" si="30"/>
        <v>0</v>
      </c>
      <c r="X129" s="80">
        <f t="shared" si="30"/>
        <v>0</v>
      </c>
      <c r="Y129" s="80">
        <f t="shared" si="30"/>
        <v>0</v>
      </c>
      <c r="Z129" s="80">
        <f t="shared" si="30"/>
        <v>0</v>
      </c>
      <c r="AA129" s="80">
        <f t="shared" si="30"/>
        <v>0</v>
      </c>
      <c r="AB129" s="80">
        <f t="shared" si="30"/>
        <v>0</v>
      </c>
      <c r="AC129" s="80">
        <f t="shared" si="30"/>
        <v>0</v>
      </c>
      <c r="AD129" s="80">
        <f t="shared" si="30"/>
        <v>1540</v>
      </c>
      <c r="AE129" s="80">
        <f t="shared" si="30"/>
        <v>0</v>
      </c>
      <c r="AF129" s="80">
        <f t="shared" si="30"/>
        <v>0</v>
      </c>
      <c r="AG129" s="80">
        <f t="shared" si="30"/>
        <v>0</v>
      </c>
    </row>
    <row r="130" spans="1:33" s="203" customFormat="1" ht="17.25" customHeight="1" outlineLevel="1">
      <c r="A130" s="128"/>
      <c r="B130" s="241"/>
      <c r="C130" s="277" t="s">
        <v>250</v>
      </c>
      <c r="D130" s="241"/>
      <c r="E130" s="241"/>
      <c r="F130" s="241"/>
      <c r="G130" s="241"/>
      <c r="H130" s="241"/>
      <c r="I130" s="287"/>
      <c r="J130" s="241"/>
      <c r="K130" s="287"/>
      <c r="L130" s="287"/>
      <c r="M130" s="287"/>
      <c r="N130" s="287"/>
      <c r="O130" s="287"/>
      <c r="P130" s="287"/>
      <c r="Q130" s="287"/>
      <c r="R130" s="287"/>
      <c r="S130" s="287"/>
      <c r="T130" s="287"/>
      <c r="U130" s="287"/>
      <c r="V130" s="287"/>
      <c r="W130" s="287"/>
      <c r="X130" s="287"/>
      <c r="Y130" s="287"/>
      <c r="Z130" s="287"/>
      <c r="AA130" s="287"/>
      <c r="AB130" s="287"/>
      <c r="AC130" s="287"/>
      <c r="AD130" s="287"/>
      <c r="AE130" s="287"/>
      <c r="AF130" s="287"/>
      <c r="AG130" s="287"/>
    </row>
    <row r="131" spans="1:33" s="203" customFormat="1" ht="17.25" customHeight="1" outlineLevel="1">
      <c r="A131" s="128"/>
      <c r="B131" s="241"/>
      <c r="C131" s="649" t="s">
        <v>140</v>
      </c>
      <c r="D131" s="8" t="str">
        <f>Currency_Label</f>
        <v>USD</v>
      </c>
      <c r="E131" s="241"/>
      <c r="F131" s="241"/>
      <c r="G131" s="241"/>
      <c r="H131" s="241"/>
      <c r="I131" s="241"/>
      <c r="J131" s="140">
        <f t="shared" ref="J131:AG131" si="31">I133*J$6</f>
        <v>6000</v>
      </c>
      <c r="K131" s="259">
        <f t="shared" si="31"/>
        <v>7700</v>
      </c>
      <c r="L131" s="259">
        <f t="shared" si="31"/>
        <v>8140</v>
      </c>
      <c r="M131" s="259">
        <f t="shared" si="31"/>
        <v>8140</v>
      </c>
      <c r="N131" s="259">
        <f t="shared" si="31"/>
        <v>8140</v>
      </c>
      <c r="O131" s="259">
        <f t="shared" si="31"/>
        <v>8140</v>
      </c>
      <c r="P131" s="259">
        <f t="shared" si="31"/>
        <v>8140</v>
      </c>
      <c r="Q131" s="259">
        <f t="shared" si="31"/>
        <v>8140</v>
      </c>
      <c r="R131" s="259">
        <f t="shared" si="31"/>
        <v>7260</v>
      </c>
      <c r="S131" s="259">
        <f t="shared" si="31"/>
        <v>7260</v>
      </c>
      <c r="T131" s="259">
        <f t="shared" si="31"/>
        <v>7260</v>
      </c>
      <c r="U131" s="259">
        <f t="shared" si="31"/>
        <v>7260</v>
      </c>
      <c r="V131" s="259">
        <f t="shared" si="31"/>
        <v>7260</v>
      </c>
      <c r="W131" s="259">
        <f t="shared" si="31"/>
        <v>7260</v>
      </c>
      <c r="X131" s="259">
        <f t="shared" si="31"/>
        <v>7260</v>
      </c>
      <c r="Y131" s="259">
        <f t="shared" si="31"/>
        <v>7260</v>
      </c>
      <c r="Z131" s="259">
        <f t="shared" si="31"/>
        <v>7260</v>
      </c>
      <c r="AA131" s="259">
        <f t="shared" si="31"/>
        <v>7260</v>
      </c>
      <c r="AB131" s="259">
        <f t="shared" si="31"/>
        <v>7260</v>
      </c>
      <c r="AC131" s="259">
        <f t="shared" si="31"/>
        <v>7260</v>
      </c>
      <c r="AD131" s="259">
        <f t="shared" si="31"/>
        <v>7260</v>
      </c>
      <c r="AE131" s="259">
        <f t="shared" si="31"/>
        <v>0</v>
      </c>
      <c r="AF131" s="259">
        <f t="shared" si="31"/>
        <v>0</v>
      </c>
      <c r="AG131" s="259">
        <f t="shared" si="31"/>
        <v>0</v>
      </c>
    </row>
    <row r="132" spans="1:33" s="203" customFormat="1" ht="17.25" customHeight="1" outlineLevel="1">
      <c r="A132" s="128"/>
      <c r="B132" s="241"/>
      <c r="C132" s="40" t="s">
        <v>251</v>
      </c>
      <c r="D132" s="8" t="str">
        <f>Currency_Label</f>
        <v>USD</v>
      </c>
      <c r="E132" s="241"/>
      <c r="F132" s="241"/>
      <c r="G132" s="241"/>
      <c r="H132" s="241"/>
      <c r="I132" s="71">
        <f>SUM(J132:AG132)</f>
        <v>2800</v>
      </c>
      <c r="J132" s="80">
        <f t="shared" ref="J132:AG132" si="32">J129</f>
        <v>1700</v>
      </c>
      <c r="K132" s="80">
        <f t="shared" si="32"/>
        <v>440</v>
      </c>
      <c r="L132" s="80">
        <f t="shared" si="32"/>
        <v>0</v>
      </c>
      <c r="M132" s="80">
        <f t="shared" si="32"/>
        <v>0</v>
      </c>
      <c r="N132" s="80">
        <f t="shared" si="32"/>
        <v>0</v>
      </c>
      <c r="O132" s="80">
        <f t="shared" si="32"/>
        <v>0</v>
      </c>
      <c r="P132" s="80">
        <f t="shared" si="32"/>
        <v>0</v>
      </c>
      <c r="Q132" s="80">
        <f t="shared" si="32"/>
        <v>-880</v>
      </c>
      <c r="R132" s="80">
        <f t="shared" si="32"/>
        <v>0</v>
      </c>
      <c r="S132" s="80">
        <f t="shared" si="32"/>
        <v>0</v>
      </c>
      <c r="T132" s="80">
        <f t="shared" si="32"/>
        <v>0</v>
      </c>
      <c r="U132" s="80">
        <f t="shared" si="32"/>
        <v>0</v>
      </c>
      <c r="V132" s="80">
        <f t="shared" si="32"/>
        <v>0</v>
      </c>
      <c r="W132" s="80">
        <f t="shared" si="32"/>
        <v>0</v>
      </c>
      <c r="X132" s="80">
        <f t="shared" si="32"/>
        <v>0</v>
      </c>
      <c r="Y132" s="80">
        <f t="shared" si="32"/>
        <v>0</v>
      </c>
      <c r="Z132" s="80">
        <f t="shared" si="32"/>
        <v>0</v>
      </c>
      <c r="AA132" s="80">
        <f t="shared" si="32"/>
        <v>0</v>
      </c>
      <c r="AB132" s="80">
        <f t="shared" si="32"/>
        <v>0</v>
      </c>
      <c r="AC132" s="80">
        <f t="shared" si="32"/>
        <v>0</v>
      </c>
      <c r="AD132" s="80">
        <f t="shared" si="32"/>
        <v>1540</v>
      </c>
      <c r="AE132" s="80">
        <f t="shared" si="32"/>
        <v>0</v>
      </c>
      <c r="AF132" s="80">
        <f t="shared" si="32"/>
        <v>0</v>
      </c>
      <c r="AG132" s="80">
        <f t="shared" si="32"/>
        <v>0</v>
      </c>
    </row>
    <row r="133" spans="1:33" s="203" customFormat="1" ht="17.25" customHeight="1" outlineLevel="1" thickBot="1">
      <c r="A133" s="128"/>
      <c r="B133" s="241"/>
      <c r="C133" s="649" t="s">
        <v>141</v>
      </c>
      <c r="D133" s="8" t="str">
        <f>Currency_Label</f>
        <v>USD</v>
      </c>
      <c r="E133" s="241"/>
      <c r="F133" s="241"/>
      <c r="G133" s="241"/>
      <c r="H133" s="287"/>
      <c r="I133" s="147">
        <f>Inputs!N232</f>
        <v>6000</v>
      </c>
      <c r="J133" s="692">
        <f t="shared" ref="J133:AG133" si="33">SUM(J131:J132)</f>
        <v>7700</v>
      </c>
      <c r="K133" s="692">
        <f t="shared" si="33"/>
        <v>8140</v>
      </c>
      <c r="L133" s="692">
        <f t="shared" si="33"/>
        <v>8140</v>
      </c>
      <c r="M133" s="692">
        <f t="shared" si="33"/>
        <v>8140</v>
      </c>
      <c r="N133" s="692">
        <f t="shared" si="33"/>
        <v>8140</v>
      </c>
      <c r="O133" s="692">
        <f t="shared" si="33"/>
        <v>8140</v>
      </c>
      <c r="P133" s="692">
        <f t="shared" si="33"/>
        <v>8140</v>
      </c>
      <c r="Q133" s="692">
        <f t="shared" si="33"/>
        <v>7260</v>
      </c>
      <c r="R133" s="692">
        <f t="shared" si="33"/>
        <v>7260</v>
      </c>
      <c r="S133" s="692">
        <f t="shared" si="33"/>
        <v>7260</v>
      </c>
      <c r="T133" s="692">
        <f t="shared" si="33"/>
        <v>7260</v>
      </c>
      <c r="U133" s="692">
        <f t="shared" si="33"/>
        <v>7260</v>
      </c>
      <c r="V133" s="692">
        <f t="shared" si="33"/>
        <v>7260</v>
      </c>
      <c r="W133" s="692">
        <f t="shared" si="33"/>
        <v>7260</v>
      </c>
      <c r="X133" s="692">
        <f t="shared" si="33"/>
        <v>7260</v>
      </c>
      <c r="Y133" s="692">
        <f t="shared" si="33"/>
        <v>7260</v>
      </c>
      <c r="Z133" s="692">
        <f t="shared" si="33"/>
        <v>7260</v>
      </c>
      <c r="AA133" s="692">
        <f t="shared" si="33"/>
        <v>7260</v>
      </c>
      <c r="AB133" s="692">
        <f t="shared" si="33"/>
        <v>7260</v>
      </c>
      <c r="AC133" s="692">
        <f t="shared" si="33"/>
        <v>7260</v>
      </c>
      <c r="AD133" s="692">
        <f t="shared" si="33"/>
        <v>8800</v>
      </c>
      <c r="AE133" s="692">
        <f t="shared" si="33"/>
        <v>0</v>
      </c>
      <c r="AF133" s="692">
        <f t="shared" si="33"/>
        <v>0</v>
      </c>
      <c r="AG133" s="692">
        <f t="shared" si="33"/>
        <v>0</v>
      </c>
    </row>
    <row r="134" spans="1:33" s="203" customFormat="1" ht="17.25" customHeight="1" outlineLevel="1" thickTop="1">
      <c r="A134" s="128"/>
      <c r="B134" s="241"/>
      <c r="C134" s="273" t="str">
        <f>Product_02</f>
        <v>Workstations</v>
      </c>
      <c r="D134" s="287"/>
      <c r="E134" s="287"/>
      <c r="F134" s="287"/>
      <c r="G134" s="287"/>
      <c r="H134" s="287"/>
      <c r="I134" s="287"/>
      <c r="J134" s="287"/>
      <c r="K134" s="287"/>
      <c r="L134" s="287"/>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row>
    <row r="135" spans="1:33" ht="17.25" customHeight="1" outlineLevel="1">
      <c r="A135" s="894"/>
      <c r="B135" s="241"/>
      <c r="C135" s="87" t="str">
        <f>"Reference: Net Sales " &amp;C134</f>
        <v>Reference: Net Sales Workstations</v>
      </c>
      <c r="D135" s="8" t="str">
        <f>Currency_Label</f>
        <v>USD</v>
      </c>
      <c r="E135" s="287"/>
      <c r="F135" s="234" t="s">
        <v>54</v>
      </c>
      <c r="G135" s="128"/>
      <c r="H135" s="287"/>
      <c r="I135" s="71">
        <f>SUM(J135:AG135)</f>
        <v>529000</v>
      </c>
      <c r="J135" s="131">
        <f>Sales!J71*J$6</f>
        <v>18400</v>
      </c>
      <c r="K135" s="131">
        <f>Sales!K71*K$6</f>
        <v>23000</v>
      </c>
      <c r="L135" s="131">
        <f>Sales!L71*L$6</f>
        <v>23000</v>
      </c>
      <c r="M135" s="131">
        <f>Sales!M71*M$6</f>
        <v>23000</v>
      </c>
      <c r="N135" s="131">
        <f>Sales!N71*N$6</f>
        <v>23000</v>
      </c>
      <c r="O135" s="131">
        <f>Sales!O71*O$6</f>
        <v>23000</v>
      </c>
      <c r="P135" s="131">
        <f>Sales!P71*P$6</f>
        <v>23000</v>
      </c>
      <c r="Q135" s="131">
        <f>Sales!Q71*Q$6</f>
        <v>23000</v>
      </c>
      <c r="R135" s="131">
        <f>Sales!R71*R$6</f>
        <v>23000</v>
      </c>
      <c r="S135" s="131">
        <f>Sales!S71*S$6</f>
        <v>27600</v>
      </c>
      <c r="T135" s="131">
        <f>Sales!T71*T$6</f>
        <v>27600</v>
      </c>
      <c r="U135" s="131">
        <f>Sales!U71*U$6</f>
        <v>27600</v>
      </c>
      <c r="V135" s="131">
        <f>Sales!V71*V$6</f>
        <v>27600</v>
      </c>
      <c r="W135" s="131">
        <f>Sales!W71*W$6</f>
        <v>27600</v>
      </c>
      <c r="X135" s="131">
        <f>Sales!X71*X$6</f>
        <v>27600</v>
      </c>
      <c r="Y135" s="131">
        <f>Sales!Y71*Y$6</f>
        <v>27600</v>
      </c>
      <c r="Z135" s="131">
        <f>Sales!Z71*Z$6</f>
        <v>27600</v>
      </c>
      <c r="AA135" s="131">
        <f>Sales!AA71*AA$6</f>
        <v>27600</v>
      </c>
      <c r="AB135" s="131">
        <f>Sales!AB71*AB$6</f>
        <v>27600</v>
      </c>
      <c r="AC135" s="131">
        <f>Sales!AC71*AC$6</f>
        <v>25300</v>
      </c>
      <c r="AD135" s="131">
        <f>Sales!AD71*AD$6</f>
        <v>25300</v>
      </c>
      <c r="AE135" s="131">
        <f>Sales!AE71*AE$6</f>
        <v>0</v>
      </c>
      <c r="AF135" s="131">
        <f>Sales!AF71*AF$6</f>
        <v>0</v>
      </c>
      <c r="AG135" s="131">
        <f>Sales!AG71*AG$6</f>
        <v>0</v>
      </c>
    </row>
    <row r="136" spans="1:33" ht="17.25" customHeight="1" outlineLevel="1">
      <c r="A136" s="894"/>
      <c r="B136" s="241"/>
      <c r="C136" s="649" t="s">
        <v>253</v>
      </c>
      <c r="D136" s="8" t="s">
        <v>255</v>
      </c>
      <c r="E136" s="287"/>
      <c r="F136" s="271">
        <v>0.3</v>
      </c>
      <c r="G136" s="330"/>
      <c r="H136" s="287"/>
      <c r="I136" s="702"/>
      <c r="J136" s="233">
        <f t="shared" ref="J136:AG136" si="34">$F$125*$F136*J135</f>
        <v>5520</v>
      </c>
      <c r="K136" s="233">
        <f t="shared" si="34"/>
        <v>6900</v>
      </c>
      <c r="L136" s="233">
        <f t="shared" si="34"/>
        <v>6900</v>
      </c>
      <c r="M136" s="233">
        <f t="shared" si="34"/>
        <v>6900</v>
      </c>
      <c r="N136" s="233">
        <f t="shared" si="34"/>
        <v>6900</v>
      </c>
      <c r="O136" s="233">
        <f t="shared" si="34"/>
        <v>6900</v>
      </c>
      <c r="P136" s="233">
        <f t="shared" si="34"/>
        <v>6900</v>
      </c>
      <c r="Q136" s="233">
        <f t="shared" si="34"/>
        <v>6900</v>
      </c>
      <c r="R136" s="233">
        <f t="shared" si="34"/>
        <v>6900</v>
      </c>
      <c r="S136" s="233">
        <f t="shared" si="34"/>
        <v>8280</v>
      </c>
      <c r="T136" s="233">
        <f t="shared" si="34"/>
        <v>8280</v>
      </c>
      <c r="U136" s="233">
        <f t="shared" si="34"/>
        <v>8280</v>
      </c>
      <c r="V136" s="233">
        <f t="shared" si="34"/>
        <v>8280</v>
      </c>
      <c r="W136" s="233">
        <f t="shared" si="34"/>
        <v>8280</v>
      </c>
      <c r="X136" s="233">
        <f t="shared" si="34"/>
        <v>8280</v>
      </c>
      <c r="Y136" s="233">
        <f t="shared" si="34"/>
        <v>8280</v>
      </c>
      <c r="Z136" s="233">
        <f t="shared" si="34"/>
        <v>8280</v>
      </c>
      <c r="AA136" s="233">
        <f t="shared" si="34"/>
        <v>8280</v>
      </c>
      <c r="AB136" s="233">
        <f t="shared" si="34"/>
        <v>8280</v>
      </c>
      <c r="AC136" s="233">
        <f t="shared" si="34"/>
        <v>7590</v>
      </c>
      <c r="AD136" s="233">
        <f t="shared" si="34"/>
        <v>7590</v>
      </c>
      <c r="AE136" s="233">
        <f t="shared" si="34"/>
        <v>0</v>
      </c>
      <c r="AF136" s="233">
        <f t="shared" si="34"/>
        <v>0</v>
      </c>
      <c r="AG136" s="233">
        <f t="shared" si="34"/>
        <v>0</v>
      </c>
    </row>
    <row r="137" spans="1:33" ht="17.25" customHeight="1" outlineLevel="1">
      <c r="A137" s="894"/>
      <c r="B137" s="241"/>
      <c r="C137" s="48" t="s">
        <v>249</v>
      </c>
      <c r="D137" s="8" t="str">
        <f>Currency_Label</f>
        <v>USD</v>
      </c>
      <c r="E137" s="287"/>
      <c r="F137" s="287"/>
      <c r="G137" s="330"/>
      <c r="H137" s="287"/>
      <c r="I137" s="287"/>
      <c r="J137" s="80">
        <f t="shared" ref="J137:AG137" si="35">IF(J136-I136&gt;0,MIN(J136-I136,MAX(J136-J139,-J113)),MAX(J136-J139,-J113))</f>
        <v>4770</v>
      </c>
      <c r="K137" s="80">
        <f t="shared" si="35"/>
        <v>1380</v>
      </c>
      <c r="L137" s="80">
        <f t="shared" si="35"/>
        <v>0</v>
      </c>
      <c r="M137" s="80">
        <f t="shared" si="35"/>
        <v>0</v>
      </c>
      <c r="N137" s="80">
        <f t="shared" si="35"/>
        <v>0</v>
      </c>
      <c r="O137" s="80">
        <f t="shared" si="35"/>
        <v>0</v>
      </c>
      <c r="P137" s="80">
        <f t="shared" si="35"/>
        <v>0</v>
      </c>
      <c r="Q137" s="80">
        <f t="shared" si="35"/>
        <v>0</v>
      </c>
      <c r="R137" s="80">
        <f t="shared" si="35"/>
        <v>0</v>
      </c>
      <c r="S137" s="80">
        <f t="shared" si="35"/>
        <v>1380</v>
      </c>
      <c r="T137" s="80">
        <f t="shared" si="35"/>
        <v>0</v>
      </c>
      <c r="U137" s="80">
        <f t="shared" si="35"/>
        <v>0</v>
      </c>
      <c r="V137" s="80">
        <f t="shared" si="35"/>
        <v>0</v>
      </c>
      <c r="W137" s="80">
        <f t="shared" si="35"/>
        <v>0</v>
      </c>
      <c r="X137" s="80">
        <f t="shared" si="35"/>
        <v>0</v>
      </c>
      <c r="Y137" s="80">
        <f t="shared" si="35"/>
        <v>0</v>
      </c>
      <c r="Z137" s="80">
        <f t="shared" si="35"/>
        <v>0</v>
      </c>
      <c r="AA137" s="80">
        <f t="shared" si="35"/>
        <v>0</v>
      </c>
      <c r="AB137" s="80">
        <f t="shared" si="35"/>
        <v>0</v>
      </c>
      <c r="AC137" s="80">
        <f t="shared" si="35"/>
        <v>-690</v>
      </c>
      <c r="AD137" s="80">
        <f t="shared" si="35"/>
        <v>0</v>
      </c>
      <c r="AE137" s="80">
        <f t="shared" si="35"/>
        <v>0</v>
      </c>
      <c r="AF137" s="80">
        <f t="shared" si="35"/>
        <v>0</v>
      </c>
      <c r="AG137" s="80">
        <f t="shared" si="35"/>
        <v>0</v>
      </c>
    </row>
    <row r="138" spans="1:33" ht="17.25" customHeight="1" outlineLevel="1">
      <c r="A138" s="894"/>
      <c r="B138" s="241"/>
      <c r="C138" s="277" t="s">
        <v>250</v>
      </c>
      <c r="D138" s="287"/>
      <c r="E138" s="287"/>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E138" s="287"/>
      <c r="AF138" s="287"/>
      <c r="AG138" s="287"/>
    </row>
    <row r="139" spans="1:33" s="203" customFormat="1" ht="17.25" customHeight="1" outlineLevel="1">
      <c r="A139" s="894"/>
      <c r="B139" s="241"/>
      <c r="C139" s="649" t="s">
        <v>140</v>
      </c>
      <c r="D139" s="8" t="str">
        <f>Currency_Label</f>
        <v>USD</v>
      </c>
      <c r="E139" s="287"/>
      <c r="F139" s="287"/>
      <c r="G139" s="287"/>
      <c r="H139" s="287"/>
      <c r="I139" s="287"/>
      <c r="J139" s="259">
        <f t="shared" ref="J139:AG139" si="36">I141*J$6</f>
        <v>750</v>
      </c>
      <c r="K139" s="259">
        <f t="shared" si="36"/>
        <v>5520</v>
      </c>
      <c r="L139" s="259">
        <f t="shared" si="36"/>
        <v>6900</v>
      </c>
      <c r="M139" s="259">
        <f t="shared" si="36"/>
        <v>6900</v>
      </c>
      <c r="N139" s="259">
        <f t="shared" si="36"/>
        <v>6900</v>
      </c>
      <c r="O139" s="259">
        <f t="shared" si="36"/>
        <v>6900</v>
      </c>
      <c r="P139" s="259">
        <f t="shared" si="36"/>
        <v>6900</v>
      </c>
      <c r="Q139" s="259">
        <f t="shared" si="36"/>
        <v>6900</v>
      </c>
      <c r="R139" s="259">
        <f t="shared" si="36"/>
        <v>6900</v>
      </c>
      <c r="S139" s="259">
        <f t="shared" si="36"/>
        <v>6900</v>
      </c>
      <c r="T139" s="259">
        <f t="shared" si="36"/>
        <v>8280</v>
      </c>
      <c r="U139" s="259">
        <f t="shared" si="36"/>
        <v>8280</v>
      </c>
      <c r="V139" s="259">
        <f t="shared" si="36"/>
        <v>8280</v>
      </c>
      <c r="W139" s="259">
        <f t="shared" si="36"/>
        <v>8280</v>
      </c>
      <c r="X139" s="259">
        <f t="shared" si="36"/>
        <v>8280</v>
      </c>
      <c r="Y139" s="259">
        <f t="shared" si="36"/>
        <v>8280</v>
      </c>
      <c r="Z139" s="259">
        <f t="shared" si="36"/>
        <v>8280</v>
      </c>
      <c r="AA139" s="259">
        <f t="shared" si="36"/>
        <v>8280</v>
      </c>
      <c r="AB139" s="259">
        <f t="shared" si="36"/>
        <v>8280</v>
      </c>
      <c r="AC139" s="259">
        <f t="shared" si="36"/>
        <v>8280</v>
      </c>
      <c r="AD139" s="259">
        <f t="shared" si="36"/>
        <v>7590</v>
      </c>
      <c r="AE139" s="259">
        <f t="shared" si="36"/>
        <v>0</v>
      </c>
      <c r="AF139" s="259">
        <f t="shared" si="36"/>
        <v>0</v>
      </c>
      <c r="AG139" s="259">
        <f t="shared" si="36"/>
        <v>0</v>
      </c>
    </row>
    <row r="140" spans="1:33" ht="17.25" customHeight="1" outlineLevel="1">
      <c r="A140" s="894"/>
      <c r="B140" s="241"/>
      <c r="C140" s="40" t="s">
        <v>251</v>
      </c>
      <c r="D140" s="8" t="str">
        <f>Currency_Label</f>
        <v>USD</v>
      </c>
      <c r="E140" s="287"/>
      <c r="F140" s="287"/>
      <c r="G140" s="287"/>
      <c r="H140" s="287"/>
      <c r="I140" s="71">
        <f>SUM(J140:AG140)</f>
        <v>6840</v>
      </c>
      <c r="J140" s="80">
        <f t="shared" ref="J140:AG140" si="37">J137</f>
        <v>4770</v>
      </c>
      <c r="K140" s="80">
        <f t="shared" si="37"/>
        <v>1380</v>
      </c>
      <c r="L140" s="80">
        <f t="shared" si="37"/>
        <v>0</v>
      </c>
      <c r="M140" s="80">
        <f t="shared" si="37"/>
        <v>0</v>
      </c>
      <c r="N140" s="80">
        <f t="shared" si="37"/>
        <v>0</v>
      </c>
      <c r="O140" s="80">
        <f t="shared" si="37"/>
        <v>0</v>
      </c>
      <c r="P140" s="80">
        <f t="shared" si="37"/>
        <v>0</v>
      </c>
      <c r="Q140" s="80">
        <f t="shared" si="37"/>
        <v>0</v>
      </c>
      <c r="R140" s="80">
        <f t="shared" si="37"/>
        <v>0</v>
      </c>
      <c r="S140" s="80">
        <f t="shared" si="37"/>
        <v>1380</v>
      </c>
      <c r="T140" s="80">
        <f t="shared" si="37"/>
        <v>0</v>
      </c>
      <c r="U140" s="80">
        <f t="shared" si="37"/>
        <v>0</v>
      </c>
      <c r="V140" s="80">
        <f t="shared" si="37"/>
        <v>0</v>
      </c>
      <c r="W140" s="80">
        <f t="shared" si="37"/>
        <v>0</v>
      </c>
      <c r="X140" s="80">
        <f t="shared" si="37"/>
        <v>0</v>
      </c>
      <c r="Y140" s="80">
        <f t="shared" si="37"/>
        <v>0</v>
      </c>
      <c r="Z140" s="80">
        <f t="shared" si="37"/>
        <v>0</v>
      </c>
      <c r="AA140" s="80">
        <f t="shared" si="37"/>
        <v>0</v>
      </c>
      <c r="AB140" s="80">
        <f t="shared" si="37"/>
        <v>0</v>
      </c>
      <c r="AC140" s="80">
        <f t="shared" si="37"/>
        <v>-690</v>
      </c>
      <c r="AD140" s="80">
        <f t="shared" si="37"/>
        <v>0</v>
      </c>
      <c r="AE140" s="80">
        <f t="shared" si="37"/>
        <v>0</v>
      </c>
      <c r="AF140" s="80">
        <f t="shared" si="37"/>
        <v>0</v>
      </c>
      <c r="AG140" s="80">
        <f t="shared" si="37"/>
        <v>0</v>
      </c>
    </row>
    <row r="141" spans="1:33" ht="17.25" customHeight="1" outlineLevel="1" thickBot="1">
      <c r="A141" s="894"/>
      <c r="B141" s="241"/>
      <c r="C141" s="649" t="s">
        <v>141</v>
      </c>
      <c r="D141" s="8" t="str">
        <f>Currency_Label</f>
        <v>USD</v>
      </c>
      <c r="E141" s="287"/>
      <c r="F141" s="287"/>
      <c r="G141" s="287"/>
      <c r="H141" s="287"/>
      <c r="I141" s="147">
        <f>Inputs!N233</f>
        <v>750</v>
      </c>
      <c r="J141" s="692">
        <f t="shared" ref="J141:AG141" si="38">SUM(J139:J140)</f>
        <v>5520</v>
      </c>
      <c r="K141" s="692">
        <f t="shared" si="38"/>
        <v>6900</v>
      </c>
      <c r="L141" s="692">
        <f t="shared" si="38"/>
        <v>6900</v>
      </c>
      <c r="M141" s="692">
        <f t="shared" si="38"/>
        <v>6900</v>
      </c>
      <c r="N141" s="692">
        <f t="shared" si="38"/>
        <v>6900</v>
      </c>
      <c r="O141" s="692">
        <f t="shared" si="38"/>
        <v>6900</v>
      </c>
      <c r="P141" s="692">
        <f t="shared" si="38"/>
        <v>6900</v>
      </c>
      <c r="Q141" s="692">
        <f t="shared" si="38"/>
        <v>6900</v>
      </c>
      <c r="R141" s="692">
        <f t="shared" si="38"/>
        <v>6900</v>
      </c>
      <c r="S141" s="692">
        <f t="shared" si="38"/>
        <v>8280</v>
      </c>
      <c r="T141" s="692">
        <f t="shared" si="38"/>
        <v>8280</v>
      </c>
      <c r="U141" s="692">
        <f t="shared" si="38"/>
        <v>8280</v>
      </c>
      <c r="V141" s="692">
        <f t="shared" si="38"/>
        <v>8280</v>
      </c>
      <c r="W141" s="692">
        <f t="shared" si="38"/>
        <v>8280</v>
      </c>
      <c r="X141" s="692">
        <f t="shared" si="38"/>
        <v>8280</v>
      </c>
      <c r="Y141" s="692">
        <f t="shared" si="38"/>
        <v>8280</v>
      </c>
      <c r="Z141" s="692">
        <f t="shared" si="38"/>
        <v>8280</v>
      </c>
      <c r="AA141" s="692">
        <f t="shared" si="38"/>
        <v>8280</v>
      </c>
      <c r="AB141" s="692">
        <f t="shared" si="38"/>
        <v>8280</v>
      </c>
      <c r="AC141" s="692">
        <f t="shared" si="38"/>
        <v>7590</v>
      </c>
      <c r="AD141" s="692">
        <f t="shared" si="38"/>
        <v>7590</v>
      </c>
      <c r="AE141" s="692">
        <f t="shared" si="38"/>
        <v>0</v>
      </c>
      <c r="AF141" s="692">
        <f t="shared" si="38"/>
        <v>0</v>
      </c>
      <c r="AG141" s="692">
        <f t="shared" si="38"/>
        <v>0</v>
      </c>
    </row>
    <row r="142" spans="1:33" ht="17.25" customHeight="1" outlineLevel="1" thickTop="1">
      <c r="A142" s="894"/>
      <c r="B142" s="241"/>
      <c r="C142" s="273" t="str">
        <f>Product_03</f>
        <v>Notebooks</v>
      </c>
      <c r="D142" s="287"/>
      <c r="E142" s="287"/>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E142" s="287"/>
      <c r="AF142" s="287"/>
      <c r="AG142" s="287"/>
    </row>
    <row r="143" spans="1:33" ht="17.25" customHeight="1" outlineLevel="1">
      <c r="A143" s="894"/>
      <c r="B143" s="241"/>
      <c r="C143" s="87" t="str">
        <f>"Reference: Net Sales " &amp;C142</f>
        <v>Reference: Net Sales Notebooks</v>
      </c>
      <c r="D143" s="8" t="str">
        <f>Currency_Label</f>
        <v>USD</v>
      </c>
      <c r="E143" s="287"/>
      <c r="F143" s="234" t="s">
        <v>54</v>
      </c>
      <c r="G143" s="128"/>
      <c r="H143" s="287"/>
      <c r="I143" s="71">
        <f>SUM(J143:AG143)</f>
        <v>303460</v>
      </c>
      <c r="J143" s="131">
        <f>Sales!J72*J$6</f>
        <v>13400</v>
      </c>
      <c r="K143" s="131">
        <f>Sales!K72*K$6</f>
        <v>13400</v>
      </c>
      <c r="L143" s="131">
        <f>Sales!L72*L$6</f>
        <v>13400</v>
      </c>
      <c r="M143" s="131">
        <f>Sales!M72*M$6</f>
        <v>13400</v>
      </c>
      <c r="N143" s="131">
        <f>Sales!N72*N$6</f>
        <v>13400</v>
      </c>
      <c r="O143" s="131">
        <f>Sales!O72*O$6</f>
        <v>13400</v>
      </c>
      <c r="P143" s="131">
        <f>Sales!P72*P$6</f>
        <v>13400</v>
      </c>
      <c r="Q143" s="131">
        <f>Sales!Q72*Q$6</f>
        <v>14740</v>
      </c>
      <c r="R143" s="131">
        <f>Sales!R72*R$6</f>
        <v>14740</v>
      </c>
      <c r="S143" s="131">
        <f>Sales!S72*S$6</f>
        <v>14740</v>
      </c>
      <c r="T143" s="131">
        <f>Sales!T72*T$6</f>
        <v>14740</v>
      </c>
      <c r="U143" s="131">
        <f>Sales!U72*U$6</f>
        <v>14740</v>
      </c>
      <c r="V143" s="131">
        <f>Sales!V72*V$6</f>
        <v>14740</v>
      </c>
      <c r="W143" s="131">
        <f>Sales!W72*W$6</f>
        <v>14740</v>
      </c>
      <c r="X143" s="131">
        <f>Sales!X72*X$6</f>
        <v>14740</v>
      </c>
      <c r="Y143" s="131">
        <f>Sales!Y72*Y$6</f>
        <v>14740</v>
      </c>
      <c r="Z143" s="131">
        <f>Sales!Z72*Z$6</f>
        <v>15400</v>
      </c>
      <c r="AA143" s="131">
        <f>Sales!AA72*AA$6</f>
        <v>15400</v>
      </c>
      <c r="AB143" s="131">
        <f>Sales!AB72*AB$6</f>
        <v>15400</v>
      </c>
      <c r="AC143" s="131">
        <f>Sales!AC72*AC$6</f>
        <v>15400</v>
      </c>
      <c r="AD143" s="131">
        <f>Sales!AD72*AD$6</f>
        <v>15400</v>
      </c>
      <c r="AE143" s="131">
        <f>Sales!AE72*AE$6</f>
        <v>0</v>
      </c>
      <c r="AF143" s="131">
        <f>Sales!AF72*AF$6</f>
        <v>0</v>
      </c>
      <c r="AG143" s="131">
        <f>Sales!AG72*AG$6</f>
        <v>0</v>
      </c>
    </row>
    <row r="144" spans="1:33" ht="17.25" customHeight="1" outlineLevel="1">
      <c r="A144" s="894"/>
      <c r="B144" s="241"/>
      <c r="C144" s="649" t="s">
        <v>253</v>
      </c>
      <c r="D144" s="8" t="s">
        <v>255</v>
      </c>
      <c r="E144" s="287"/>
      <c r="F144" s="271">
        <v>0.25</v>
      </c>
      <c r="G144" s="330"/>
      <c r="H144" s="287"/>
      <c r="I144" s="702"/>
      <c r="J144" s="233">
        <f t="shared" ref="J144:AG144" si="39">$F$125*$F144*J143</f>
        <v>3350</v>
      </c>
      <c r="K144" s="233">
        <f t="shared" si="39"/>
        <v>3350</v>
      </c>
      <c r="L144" s="233">
        <f t="shared" si="39"/>
        <v>3350</v>
      </c>
      <c r="M144" s="233">
        <f t="shared" si="39"/>
        <v>3350</v>
      </c>
      <c r="N144" s="233">
        <f t="shared" si="39"/>
        <v>3350</v>
      </c>
      <c r="O144" s="233">
        <f t="shared" si="39"/>
        <v>3350</v>
      </c>
      <c r="P144" s="233">
        <f t="shared" si="39"/>
        <v>3350</v>
      </c>
      <c r="Q144" s="233">
        <f t="shared" si="39"/>
        <v>3685</v>
      </c>
      <c r="R144" s="233">
        <f t="shared" si="39"/>
        <v>3685</v>
      </c>
      <c r="S144" s="233">
        <f t="shared" si="39"/>
        <v>3685</v>
      </c>
      <c r="T144" s="233">
        <f t="shared" si="39"/>
        <v>3685</v>
      </c>
      <c r="U144" s="233">
        <f t="shared" si="39"/>
        <v>3685</v>
      </c>
      <c r="V144" s="233">
        <f t="shared" si="39"/>
        <v>3685</v>
      </c>
      <c r="W144" s="233">
        <f t="shared" si="39"/>
        <v>3685</v>
      </c>
      <c r="X144" s="233">
        <f t="shared" si="39"/>
        <v>3685</v>
      </c>
      <c r="Y144" s="233">
        <f t="shared" si="39"/>
        <v>3685</v>
      </c>
      <c r="Z144" s="233">
        <f t="shared" si="39"/>
        <v>3850</v>
      </c>
      <c r="AA144" s="233">
        <f t="shared" si="39"/>
        <v>3850</v>
      </c>
      <c r="AB144" s="233">
        <f t="shared" si="39"/>
        <v>3850</v>
      </c>
      <c r="AC144" s="233">
        <f t="shared" si="39"/>
        <v>3850</v>
      </c>
      <c r="AD144" s="233">
        <f t="shared" si="39"/>
        <v>3850</v>
      </c>
      <c r="AE144" s="233">
        <f t="shared" si="39"/>
        <v>0</v>
      </c>
      <c r="AF144" s="233">
        <f t="shared" si="39"/>
        <v>0</v>
      </c>
      <c r="AG144" s="233">
        <f t="shared" si="39"/>
        <v>0</v>
      </c>
    </row>
    <row r="145" spans="1:33" s="649" customFormat="1" ht="17.25" customHeight="1" outlineLevel="1">
      <c r="A145" s="894"/>
      <c r="B145" s="287"/>
      <c r="C145" s="48" t="s">
        <v>249</v>
      </c>
      <c r="D145" s="8" t="str">
        <f>Currency_Label</f>
        <v>USD</v>
      </c>
      <c r="E145" s="287"/>
      <c r="F145" s="287"/>
      <c r="G145" s="330"/>
      <c r="H145" s="287"/>
      <c r="I145" s="287"/>
      <c r="J145" s="80">
        <f t="shared" ref="J145:AG145" si="40">IF(J144-I144&gt;0,MIN(J144-I144,MAX(J144-J147,-J114)),MAX(J144-J147,-J114))</f>
        <v>-1150</v>
      </c>
      <c r="K145" s="80">
        <f t="shared" si="40"/>
        <v>0</v>
      </c>
      <c r="L145" s="80">
        <f t="shared" si="40"/>
        <v>0</v>
      </c>
      <c r="M145" s="80">
        <f t="shared" si="40"/>
        <v>0</v>
      </c>
      <c r="N145" s="80">
        <f t="shared" si="40"/>
        <v>0</v>
      </c>
      <c r="O145" s="80">
        <f t="shared" si="40"/>
        <v>0</v>
      </c>
      <c r="P145" s="80">
        <f t="shared" si="40"/>
        <v>0</v>
      </c>
      <c r="Q145" s="80">
        <f t="shared" si="40"/>
        <v>335</v>
      </c>
      <c r="R145" s="80">
        <f t="shared" si="40"/>
        <v>0</v>
      </c>
      <c r="S145" s="80">
        <f t="shared" si="40"/>
        <v>0</v>
      </c>
      <c r="T145" s="80">
        <f t="shared" si="40"/>
        <v>0</v>
      </c>
      <c r="U145" s="80">
        <f t="shared" si="40"/>
        <v>0</v>
      </c>
      <c r="V145" s="80">
        <f t="shared" si="40"/>
        <v>0</v>
      </c>
      <c r="W145" s="80">
        <f t="shared" si="40"/>
        <v>0</v>
      </c>
      <c r="X145" s="80">
        <f t="shared" si="40"/>
        <v>0</v>
      </c>
      <c r="Y145" s="80">
        <f t="shared" si="40"/>
        <v>0</v>
      </c>
      <c r="Z145" s="80">
        <f t="shared" si="40"/>
        <v>165</v>
      </c>
      <c r="AA145" s="80">
        <f t="shared" si="40"/>
        <v>0</v>
      </c>
      <c r="AB145" s="80">
        <f t="shared" si="40"/>
        <v>0</v>
      </c>
      <c r="AC145" s="80">
        <f t="shared" si="40"/>
        <v>0</v>
      </c>
      <c r="AD145" s="80">
        <f t="shared" si="40"/>
        <v>0</v>
      </c>
      <c r="AE145" s="80">
        <f t="shared" si="40"/>
        <v>0</v>
      </c>
      <c r="AF145" s="80">
        <f t="shared" si="40"/>
        <v>0</v>
      </c>
      <c r="AG145" s="80">
        <f t="shared" si="40"/>
        <v>0</v>
      </c>
    </row>
    <row r="146" spans="1:33" s="649" customFormat="1" ht="17.25" customHeight="1" outlineLevel="1">
      <c r="A146" s="894"/>
      <c r="B146" s="287"/>
      <c r="C146" s="277" t="s">
        <v>250</v>
      </c>
      <c r="D146" s="287"/>
      <c r="E146" s="287"/>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E146" s="287"/>
      <c r="AF146" s="287"/>
      <c r="AG146" s="287"/>
    </row>
    <row r="147" spans="1:33" s="649" customFormat="1" ht="17.25" customHeight="1" outlineLevel="1">
      <c r="A147" s="894"/>
      <c r="B147" s="287"/>
      <c r="C147" s="649" t="s">
        <v>140</v>
      </c>
      <c r="D147" s="8" t="str">
        <f>Currency_Label</f>
        <v>USD</v>
      </c>
      <c r="E147" s="287"/>
      <c r="F147" s="287"/>
      <c r="G147" s="287"/>
      <c r="H147" s="287"/>
      <c r="I147" s="287"/>
      <c r="J147" s="259">
        <f t="shared" ref="J147:AG147" si="41">I149*J$6</f>
        <v>4500</v>
      </c>
      <c r="K147" s="259">
        <f t="shared" si="41"/>
        <v>3350</v>
      </c>
      <c r="L147" s="259">
        <f t="shared" si="41"/>
        <v>3350</v>
      </c>
      <c r="M147" s="259">
        <f t="shared" si="41"/>
        <v>3350</v>
      </c>
      <c r="N147" s="259">
        <f t="shared" si="41"/>
        <v>3350</v>
      </c>
      <c r="O147" s="259">
        <f t="shared" si="41"/>
        <v>3350</v>
      </c>
      <c r="P147" s="259">
        <f t="shared" si="41"/>
        <v>3350</v>
      </c>
      <c r="Q147" s="259">
        <f t="shared" si="41"/>
        <v>3350</v>
      </c>
      <c r="R147" s="259">
        <f t="shared" si="41"/>
        <v>3685</v>
      </c>
      <c r="S147" s="259">
        <f t="shared" si="41"/>
        <v>3685</v>
      </c>
      <c r="T147" s="259">
        <f t="shared" si="41"/>
        <v>3685</v>
      </c>
      <c r="U147" s="259">
        <f t="shared" si="41"/>
        <v>3685</v>
      </c>
      <c r="V147" s="259">
        <f t="shared" si="41"/>
        <v>3685</v>
      </c>
      <c r="W147" s="259">
        <f t="shared" si="41"/>
        <v>3685</v>
      </c>
      <c r="X147" s="259">
        <f t="shared" si="41"/>
        <v>3685</v>
      </c>
      <c r="Y147" s="259">
        <f t="shared" si="41"/>
        <v>3685</v>
      </c>
      <c r="Z147" s="259">
        <f t="shared" si="41"/>
        <v>3685</v>
      </c>
      <c r="AA147" s="259">
        <f t="shared" si="41"/>
        <v>3850</v>
      </c>
      <c r="AB147" s="259">
        <f t="shared" si="41"/>
        <v>3850</v>
      </c>
      <c r="AC147" s="259">
        <f t="shared" si="41"/>
        <v>3850</v>
      </c>
      <c r="AD147" s="259">
        <f t="shared" si="41"/>
        <v>3850</v>
      </c>
      <c r="AE147" s="259">
        <f t="shared" si="41"/>
        <v>0</v>
      </c>
      <c r="AF147" s="259">
        <f t="shared" si="41"/>
        <v>0</v>
      </c>
      <c r="AG147" s="259">
        <f t="shared" si="41"/>
        <v>0</v>
      </c>
    </row>
    <row r="148" spans="1:33" s="649" customFormat="1" ht="17.25" customHeight="1" outlineLevel="1">
      <c r="A148" s="894"/>
      <c r="B148" s="287"/>
      <c r="C148" s="40" t="s">
        <v>251</v>
      </c>
      <c r="D148" s="8" t="str">
        <f>Currency_Label</f>
        <v>USD</v>
      </c>
      <c r="E148" s="287"/>
      <c r="F148" s="287"/>
      <c r="G148" s="287"/>
      <c r="H148" s="287"/>
      <c r="I148" s="71">
        <f>SUM(J148:AG148)</f>
        <v>-650</v>
      </c>
      <c r="J148" s="80">
        <f t="shared" ref="J148:AG148" si="42">J145</f>
        <v>-1150</v>
      </c>
      <c r="K148" s="80">
        <f t="shared" si="42"/>
        <v>0</v>
      </c>
      <c r="L148" s="80">
        <f t="shared" si="42"/>
        <v>0</v>
      </c>
      <c r="M148" s="80">
        <f t="shared" si="42"/>
        <v>0</v>
      </c>
      <c r="N148" s="80">
        <f t="shared" si="42"/>
        <v>0</v>
      </c>
      <c r="O148" s="80">
        <f t="shared" si="42"/>
        <v>0</v>
      </c>
      <c r="P148" s="80">
        <f t="shared" si="42"/>
        <v>0</v>
      </c>
      <c r="Q148" s="80">
        <f t="shared" si="42"/>
        <v>335</v>
      </c>
      <c r="R148" s="80">
        <f t="shared" si="42"/>
        <v>0</v>
      </c>
      <c r="S148" s="80">
        <f t="shared" si="42"/>
        <v>0</v>
      </c>
      <c r="T148" s="80">
        <f t="shared" si="42"/>
        <v>0</v>
      </c>
      <c r="U148" s="80">
        <f t="shared" si="42"/>
        <v>0</v>
      </c>
      <c r="V148" s="80">
        <f t="shared" si="42"/>
        <v>0</v>
      </c>
      <c r="W148" s="80">
        <f t="shared" si="42"/>
        <v>0</v>
      </c>
      <c r="X148" s="80">
        <f t="shared" si="42"/>
        <v>0</v>
      </c>
      <c r="Y148" s="80">
        <f t="shared" si="42"/>
        <v>0</v>
      </c>
      <c r="Z148" s="80">
        <f t="shared" si="42"/>
        <v>165</v>
      </c>
      <c r="AA148" s="80">
        <f t="shared" si="42"/>
        <v>0</v>
      </c>
      <c r="AB148" s="80">
        <f t="shared" si="42"/>
        <v>0</v>
      </c>
      <c r="AC148" s="80">
        <f t="shared" si="42"/>
        <v>0</v>
      </c>
      <c r="AD148" s="80">
        <f t="shared" si="42"/>
        <v>0</v>
      </c>
      <c r="AE148" s="80">
        <f t="shared" si="42"/>
        <v>0</v>
      </c>
      <c r="AF148" s="80">
        <f t="shared" si="42"/>
        <v>0</v>
      </c>
      <c r="AG148" s="80">
        <f t="shared" si="42"/>
        <v>0</v>
      </c>
    </row>
    <row r="149" spans="1:33" s="649" customFormat="1" ht="17.25" customHeight="1" outlineLevel="1" thickBot="1">
      <c r="A149" s="894"/>
      <c r="B149" s="287"/>
      <c r="C149" s="649" t="s">
        <v>141</v>
      </c>
      <c r="D149" s="8" t="str">
        <f>Currency_Label</f>
        <v>USD</v>
      </c>
      <c r="E149" s="287"/>
      <c r="F149" s="287"/>
      <c r="G149" s="287"/>
      <c r="H149" s="287"/>
      <c r="I149" s="147">
        <f>Inputs!N234</f>
        <v>4500</v>
      </c>
      <c r="J149" s="692">
        <f t="shared" ref="J149:AG149" si="43">SUM(J147:J148)</f>
        <v>3350</v>
      </c>
      <c r="K149" s="692">
        <f t="shared" si="43"/>
        <v>3350</v>
      </c>
      <c r="L149" s="692">
        <f t="shared" si="43"/>
        <v>3350</v>
      </c>
      <c r="M149" s="692">
        <f t="shared" si="43"/>
        <v>3350</v>
      </c>
      <c r="N149" s="692">
        <f t="shared" si="43"/>
        <v>3350</v>
      </c>
      <c r="O149" s="692">
        <f t="shared" si="43"/>
        <v>3350</v>
      </c>
      <c r="P149" s="692">
        <f t="shared" si="43"/>
        <v>3350</v>
      </c>
      <c r="Q149" s="692">
        <f t="shared" si="43"/>
        <v>3685</v>
      </c>
      <c r="R149" s="692">
        <f t="shared" si="43"/>
        <v>3685</v>
      </c>
      <c r="S149" s="692">
        <f t="shared" si="43"/>
        <v>3685</v>
      </c>
      <c r="T149" s="692">
        <f t="shared" si="43"/>
        <v>3685</v>
      </c>
      <c r="U149" s="692">
        <f t="shared" si="43"/>
        <v>3685</v>
      </c>
      <c r="V149" s="692">
        <f t="shared" si="43"/>
        <v>3685</v>
      </c>
      <c r="W149" s="692">
        <f t="shared" si="43"/>
        <v>3685</v>
      </c>
      <c r="X149" s="692">
        <f t="shared" si="43"/>
        <v>3685</v>
      </c>
      <c r="Y149" s="692">
        <f t="shared" si="43"/>
        <v>3685</v>
      </c>
      <c r="Z149" s="692">
        <f t="shared" si="43"/>
        <v>3850</v>
      </c>
      <c r="AA149" s="692">
        <f t="shared" si="43"/>
        <v>3850</v>
      </c>
      <c r="AB149" s="692">
        <f t="shared" si="43"/>
        <v>3850</v>
      </c>
      <c r="AC149" s="692">
        <f t="shared" si="43"/>
        <v>3850</v>
      </c>
      <c r="AD149" s="692">
        <f t="shared" si="43"/>
        <v>3850</v>
      </c>
      <c r="AE149" s="692">
        <f t="shared" si="43"/>
        <v>0</v>
      </c>
      <c r="AF149" s="692">
        <f t="shared" si="43"/>
        <v>0</v>
      </c>
      <c r="AG149" s="692">
        <f t="shared" si="43"/>
        <v>0</v>
      </c>
    </row>
    <row r="150" spans="1:33" s="649" customFormat="1" ht="17.25" customHeight="1" outlineLevel="1" thickTop="1">
      <c r="A150" s="894"/>
      <c r="B150" s="287"/>
      <c r="C150" s="273" t="str">
        <f>Product_04</f>
        <v>Software Products</v>
      </c>
      <c r="D150" s="287"/>
      <c r="E150" s="287"/>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E150" s="287"/>
      <c r="AF150" s="287"/>
      <c r="AG150" s="287"/>
    </row>
    <row r="151" spans="1:33" s="649" customFormat="1" ht="17.25" customHeight="1" outlineLevel="1">
      <c r="A151" s="894"/>
      <c r="B151" s="287"/>
      <c r="C151" s="87" t="str">
        <f>"Reference: Net Sales " &amp;C150</f>
        <v>Reference: Net Sales Software Products</v>
      </c>
      <c r="D151" s="8" t="str">
        <f>Currency_Label</f>
        <v>USD</v>
      </c>
      <c r="E151" s="287"/>
      <c r="F151" s="234" t="s">
        <v>54</v>
      </c>
      <c r="G151" s="128"/>
      <c r="H151" s="128"/>
      <c r="I151" s="71">
        <f>SUM(J151:AG151)</f>
        <v>176100</v>
      </c>
      <c r="J151" s="131">
        <f>Sales!J73*J$6</f>
        <v>8250</v>
      </c>
      <c r="K151" s="131">
        <f>Sales!K73*K$6</f>
        <v>8550</v>
      </c>
      <c r="L151" s="131">
        <f>Sales!L73*L$6</f>
        <v>8550</v>
      </c>
      <c r="M151" s="131">
        <f>Sales!M73*M$6</f>
        <v>8550</v>
      </c>
      <c r="N151" s="131">
        <f>Sales!N73*N$6</f>
        <v>8550</v>
      </c>
      <c r="O151" s="131">
        <f>Sales!O73*O$6</f>
        <v>8550</v>
      </c>
      <c r="P151" s="131">
        <f>Sales!P73*P$6</f>
        <v>8550</v>
      </c>
      <c r="Q151" s="131">
        <f>Sales!Q73*Q$6</f>
        <v>8250</v>
      </c>
      <c r="R151" s="131">
        <f>Sales!R73*R$6</f>
        <v>8250</v>
      </c>
      <c r="S151" s="131">
        <f>Sales!S73*S$6</f>
        <v>8250</v>
      </c>
      <c r="T151" s="131">
        <f>Sales!T73*T$6</f>
        <v>8250</v>
      </c>
      <c r="U151" s="131">
        <f>Sales!U73*U$6</f>
        <v>8250</v>
      </c>
      <c r="V151" s="131">
        <f>Sales!V73*V$6</f>
        <v>8250</v>
      </c>
      <c r="W151" s="131">
        <f>Sales!W73*W$6</f>
        <v>8250</v>
      </c>
      <c r="X151" s="131">
        <f>Sales!X73*X$6</f>
        <v>8250</v>
      </c>
      <c r="Y151" s="131">
        <f>Sales!Y73*Y$6</f>
        <v>8250</v>
      </c>
      <c r="Z151" s="131">
        <f>Sales!Z73*Z$6</f>
        <v>8250</v>
      </c>
      <c r="AA151" s="131">
        <f>Sales!AA73*AA$6</f>
        <v>8250</v>
      </c>
      <c r="AB151" s="131">
        <f>Sales!AB73*AB$6</f>
        <v>8250</v>
      </c>
      <c r="AC151" s="131">
        <f>Sales!AC73*AC$6</f>
        <v>8250</v>
      </c>
      <c r="AD151" s="131">
        <f>Sales!AD73*AD$6</f>
        <v>9300</v>
      </c>
      <c r="AE151" s="131">
        <f>Sales!AE73*AE$6</f>
        <v>0</v>
      </c>
      <c r="AF151" s="131">
        <f>Sales!AF73*AF$6</f>
        <v>0</v>
      </c>
      <c r="AG151" s="131">
        <f>Sales!AG73*AG$6</f>
        <v>0</v>
      </c>
    </row>
    <row r="152" spans="1:33" s="649" customFormat="1" ht="17.25" customHeight="1" outlineLevel="1">
      <c r="A152" s="894"/>
      <c r="B152" s="287"/>
      <c r="C152" s="649" t="s">
        <v>253</v>
      </c>
      <c r="D152" s="8" t="s">
        <v>255</v>
      </c>
      <c r="E152" s="287"/>
      <c r="F152" s="271"/>
      <c r="G152" s="330"/>
      <c r="H152" s="287"/>
      <c r="I152" s="702"/>
      <c r="J152" s="233">
        <f t="shared" ref="J152:AG152" si="44">$F$125*$F152*J151</f>
        <v>0</v>
      </c>
      <c r="K152" s="233">
        <f t="shared" si="44"/>
        <v>0</v>
      </c>
      <c r="L152" s="233">
        <f t="shared" si="44"/>
        <v>0</v>
      </c>
      <c r="M152" s="233">
        <f t="shared" si="44"/>
        <v>0</v>
      </c>
      <c r="N152" s="233">
        <f t="shared" si="44"/>
        <v>0</v>
      </c>
      <c r="O152" s="233">
        <f t="shared" si="44"/>
        <v>0</v>
      </c>
      <c r="P152" s="233">
        <f t="shared" si="44"/>
        <v>0</v>
      </c>
      <c r="Q152" s="233">
        <f t="shared" si="44"/>
        <v>0</v>
      </c>
      <c r="R152" s="233">
        <f t="shared" si="44"/>
        <v>0</v>
      </c>
      <c r="S152" s="233">
        <f t="shared" si="44"/>
        <v>0</v>
      </c>
      <c r="T152" s="233">
        <f t="shared" si="44"/>
        <v>0</v>
      </c>
      <c r="U152" s="233">
        <f t="shared" si="44"/>
        <v>0</v>
      </c>
      <c r="V152" s="233">
        <f t="shared" si="44"/>
        <v>0</v>
      </c>
      <c r="W152" s="233">
        <f t="shared" si="44"/>
        <v>0</v>
      </c>
      <c r="X152" s="233">
        <f t="shared" si="44"/>
        <v>0</v>
      </c>
      <c r="Y152" s="233">
        <f t="shared" si="44"/>
        <v>0</v>
      </c>
      <c r="Z152" s="233">
        <f t="shared" si="44"/>
        <v>0</v>
      </c>
      <c r="AA152" s="233">
        <f t="shared" si="44"/>
        <v>0</v>
      </c>
      <c r="AB152" s="233">
        <f t="shared" si="44"/>
        <v>0</v>
      </c>
      <c r="AC152" s="233">
        <f t="shared" si="44"/>
        <v>0</v>
      </c>
      <c r="AD152" s="233">
        <f t="shared" si="44"/>
        <v>0</v>
      </c>
      <c r="AE152" s="233">
        <f t="shared" si="44"/>
        <v>0</v>
      </c>
      <c r="AF152" s="233">
        <f t="shared" si="44"/>
        <v>0</v>
      </c>
      <c r="AG152" s="233">
        <f t="shared" si="44"/>
        <v>0</v>
      </c>
    </row>
    <row r="153" spans="1:33" s="649" customFormat="1" ht="17.25" customHeight="1" outlineLevel="1">
      <c r="A153" s="894"/>
      <c r="B153" s="287"/>
      <c r="C153" s="48" t="s">
        <v>249</v>
      </c>
      <c r="D153" s="8" t="str">
        <f>Currency_Label</f>
        <v>USD</v>
      </c>
      <c r="E153" s="287"/>
      <c r="F153" s="287"/>
      <c r="G153" s="330"/>
      <c r="H153" s="287"/>
      <c r="I153" s="287"/>
      <c r="J153" s="80">
        <f t="shared" ref="J153:AG153" si="45">IF(J152-I152&gt;0,MIN(J152-I152,MAX(J152-J155,-J115)),MAX(J152-J155,-J115))</f>
        <v>-750</v>
      </c>
      <c r="K153" s="80">
        <f t="shared" si="45"/>
        <v>0</v>
      </c>
      <c r="L153" s="80">
        <f t="shared" si="45"/>
        <v>0</v>
      </c>
      <c r="M153" s="80">
        <f t="shared" si="45"/>
        <v>0</v>
      </c>
      <c r="N153" s="80">
        <f t="shared" si="45"/>
        <v>0</v>
      </c>
      <c r="O153" s="80">
        <f t="shared" si="45"/>
        <v>0</v>
      </c>
      <c r="P153" s="80">
        <f t="shared" si="45"/>
        <v>0</v>
      </c>
      <c r="Q153" s="80">
        <f t="shared" si="45"/>
        <v>0</v>
      </c>
      <c r="R153" s="80">
        <f t="shared" si="45"/>
        <v>0</v>
      </c>
      <c r="S153" s="80">
        <f t="shared" si="45"/>
        <v>0</v>
      </c>
      <c r="T153" s="80">
        <f t="shared" si="45"/>
        <v>0</v>
      </c>
      <c r="U153" s="80">
        <f t="shared" si="45"/>
        <v>0</v>
      </c>
      <c r="V153" s="80">
        <f t="shared" si="45"/>
        <v>0</v>
      </c>
      <c r="W153" s="80">
        <f t="shared" si="45"/>
        <v>0</v>
      </c>
      <c r="X153" s="80">
        <f t="shared" si="45"/>
        <v>0</v>
      </c>
      <c r="Y153" s="80">
        <f t="shared" si="45"/>
        <v>0</v>
      </c>
      <c r="Z153" s="80">
        <f t="shared" si="45"/>
        <v>0</v>
      </c>
      <c r="AA153" s="80">
        <f t="shared" si="45"/>
        <v>0</v>
      </c>
      <c r="AB153" s="80">
        <f t="shared" si="45"/>
        <v>0</v>
      </c>
      <c r="AC153" s="80">
        <f t="shared" si="45"/>
        <v>0</v>
      </c>
      <c r="AD153" s="80">
        <f t="shared" si="45"/>
        <v>0</v>
      </c>
      <c r="AE153" s="80">
        <f t="shared" si="45"/>
        <v>0</v>
      </c>
      <c r="AF153" s="80">
        <f t="shared" si="45"/>
        <v>0</v>
      </c>
      <c r="AG153" s="80">
        <f t="shared" si="45"/>
        <v>0</v>
      </c>
    </row>
    <row r="154" spans="1:33" s="649" customFormat="1" ht="17.25" customHeight="1" outlineLevel="1">
      <c r="A154" s="894"/>
      <c r="B154" s="287"/>
      <c r="C154" s="277" t="s">
        <v>250</v>
      </c>
      <c r="D154" s="287"/>
      <c r="E154" s="287"/>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E154" s="287"/>
      <c r="AF154" s="287"/>
      <c r="AG154" s="287"/>
    </row>
    <row r="155" spans="1:33" s="649" customFormat="1" ht="17.25" customHeight="1" outlineLevel="1">
      <c r="A155" s="894"/>
      <c r="B155" s="287"/>
      <c r="C155" s="649" t="s">
        <v>140</v>
      </c>
      <c r="D155" s="8" t="str">
        <f>Currency_Label</f>
        <v>USD</v>
      </c>
      <c r="E155" s="287"/>
      <c r="F155" s="287"/>
      <c r="G155" s="287"/>
      <c r="H155" s="287"/>
      <c r="I155" s="287"/>
      <c r="J155" s="259">
        <f t="shared" ref="J155:AG155" si="46">I157*J$6</f>
        <v>750</v>
      </c>
      <c r="K155" s="259">
        <f t="shared" si="46"/>
        <v>0</v>
      </c>
      <c r="L155" s="259">
        <f t="shared" si="46"/>
        <v>0</v>
      </c>
      <c r="M155" s="259">
        <f t="shared" si="46"/>
        <v>0</v>
      </c>
      <c r="N155" s="259">
        <f t="shared" si="46"/>
        <v>0</v>
      </c>
      <c r="O155" s="259">
        <f t="shared" si="46"/>
        <v>0</v>
      </c>
      <c r="P155" s="259">
        <f t="shared" si="46"/>
        <v>0</v>
      </c>
      <c r="Q155" s="259">
        <f t="shared" si="46"/>
        <v>0</v>
      </c>
      <c r="R155" s="259">
        <f t="shared" si="46"/>
        <v>0</v>
      </c>
      <c r="S155" s="259">
        <f t="shared" si="46"/>
        <v>0</v>
      </c>
      <c r="T155" s="259">
        <f t="shared" si="46"/>
        <v>0</v>
      </c>
      <c r="U155" s="259">
        <f t="shared" si="46"/>
        <v>0</v>
      </c>
      <c r="V155" s="259">
        <f t="shared" si="46"/>
        <v>0</v>
      </c>
      <c r="W155" s="259">
        <f t="shared" si="46"/>
        <v>0</v>
      </c>
      <c r="X155" s="259">
        <f t="shared" si="46"/>
        <v>0</v>
      </c>
      <c r="Y155" s="259">
        <f t="shared" si="46"/>
        <v>0</v>
      </c>
      <c r="Z155" s="259">
        <f t="shared" si="46"/>
        <v>0</v>
      </c>
      <c r="AA155" s="259">
        <f t="shared" si="46"/>
        <v>0</v>
      </c>
      <c r="AB155" s="259">
        <f t="shared" si="46"/>
        <v>0</v>
      </c>
      <c r="AC155" s="259">
        <f t="shared" si="46"/>
        <v>0</v>
      </c>
      <c r="AD155" s="259">
        <f t="shared" si="46"/>
        <v>0</v>
      </c>
      <c r="AE155" s="259">
        <f t="shared" si="46"/>
        <v>0</v>
      </c>
      <c r="AF155" s="259">
        <f t="shared" si="46"/>
        <v>0</v>
      </c>
      <c r="AG155" s="259">
        <f t="shared" si="46"/>
        <v>0</v>
      </c>
    </row>
    <row r="156" spans="1:33" s="649" customFormat="1" ht="17.25" customHeight="1" outlineLevel="1">
      <c r="A156" s="894"/>
      <c r="B156" s="287"/>
      <c r="C156" s="40" t="s">
        <v>251</v>
      </c>
      <c r="D156" s="8" t="str">
        <f>Currency_Label</f>
        <v>USD</v>
      </c>
      <c r="E156" s="287"/>
      <c r="F156" s="287"/>
      <c r="G156" s="287"/>
      <c r="H156" s="287"/>
      <c r="I156" s="71">
        <f>SUM(J156:AG156)</f>
        <v>-750</v>
      </c>
      <c r="J156" s="80">
        <f t="shared" ref="J156:AG156" si="47">J153</f>
        <v>-750</v>
      </c>
      <c r="K156" s="80">
        <f t="shared" si="47"/>
        <v>0</v>
      </c>
      <c r="L156" s="80">
        <f t="shared" si="47"/>
        <v>0</v>
      </c>
      <c r="M156" s="80">
        <f t="shared" si="47"/>
        <v>0</v>
      </c>
      <c r="N156" s="80">
        <f t="shared" si="47"/>
        <v>0</v>
      </c>
      <c r="O156" s="80">
        <f t="shared" si="47"/>
        <v>0</v>
      </c>
      <c r="P156" s="80">
        <f t="shared" si="47"/>
        <v>0</v>
      </c>
      <c r="Q156" s="80">
        <f t="shared" si="47"/>
        <v>0</v>
      </c>
      <c r="R156" s="80">
        <f t="shared" si="47"/>
        <v>0</v>
      </c>
      <c r="S156" s="80">
        <f t="shared" si="47"/>
        <v>0</v>
      </c>
      <c r="T156" s="80">
        <f t="shared" si="47"/>
        <v>0</v>
      </c>
      <c r="U156" s="80">
        <f t="shared" si="47"/>
        <v>0</v>
      </c>
      <c r="V156" s="80">
        <f t="shared" si="47"/>
        <v>0</v>
      </c>
      <c r="W156" s="80">
        <f t="shared" si="47"/>
        <v>0</v>
      </c>
      <c r="X156" s="80">
        <f t="shared" si="47"/>
        <v>0</v>
      </c>
      <c r="Y156" s="80">
        <f t="shared" si="47"/>
        <v>0</v>
      </c>
      <c r="Z156" s="80">
        <f t="shared" si="47"/>
        <v>0</v>
      </c>
      <c r="AA156" s="80">
        <f t="shared" si="47"/>
        <v>0</v>
      </c>
      <c r="AB156" s="80">
        <f t="shared" si="47"/>
        <v>0</v>
      </c>
      <c r="AC156" s="80">
        <f t="shared" si="47"/>
        <v>0</v>
      </c>
      <c r="AD156" s="80">
        <f t="shared" si="47"/>
        <v>0</v>
      </c>
      <c r="AE156" s="80">
        <f t="shared" si="47"/>
        <v>0</v>
      </c>
      <c r="AF156" s="80">
        <f t="shared" si="47"/>
        <v>0</v>
      </c>
      <c r="AG156" s="80">
        <f t="shared" si="47"/>
        <v>0</v>
      </c>
    </row>
    <row r="157" spans="1:33" s="649" customFormat="1" ht="17.25" customHeight="1" outlineLevel="1" thickBot="1">
      <c r="A157" s="894"/>
      <c r="B157" s="287"/>
      <c r="C157" s="649" t="s">
        <v>141</v>
      </c>
      <c r="D157" s="8" t="str">
        <f>Currency_Label</f>
        <v>USD</v>
      </c>
      <c r="E157" s="287"/>
      <c r="F157" s="287"/>
      <c r="G157" s="287"/>
      <c r="H157" s="287"/>
      <c r="I157" s="147">
        <f>Inputs!N235</f>
        <v>750</v>
      </c>
      <c r="J157" s="692">
        <f t="shared" ref="J157:AG157" si="48">SUM(J155:J156)</f>
        <v>0</v>
      </c>
      <c r="K157" s="692">
        <f t="shared" si="48"/>
        <v>0</v>
      </c>
      <c r="L157" s="692">
        <f t="shared" si="48"/>
        <v>0</v>
      </c>
      <c r="M157" s="692">
        <f t="shared" si="48"/>
        <v>0</v>
      </c>
      <c r="N157" s="692">
        <f t="shared" si="48"/>
        <v>0</v>
      </c>
      <c r="O157" s="692">
        <f t="shared" si="48"/>
        <v>0</v>
      </c>
      <c r="P157" s="692">
        <f t="shared" si="48"/>
        <v>0</v>
      </c>
      <c r="Q157" s="692">
        <f t="shared" si="48"/>
        <v>0</v>
      </c>
      <c r="R157" s="692">
        <f t="shared" si="48"/>
        <v>0</v>
      </c>
      <c r="S157" s="692">
        <f t="shared" si="48"/>
        <v>0</v>
      </c>
      <c r="T157" s="692">
        <f t="shared" si="48"/>
        <v>0</v>
      </c>
      <c r="U157" s="692">
        <f t="shared" si="48"/>
        <v>0</v>
      </c>
      <c r="V157" s="692">
        <f t="shared" si="48"/>
        <v>0</v>
      </c>
      <c r="W157" s="692">
        <f t="shared" si="48"/>
        <v>0</v>
      </c>
      <c r="X157" s="692">
        <f t="shared" si="48"/>
        <v>0</v>
      </c>
      <c r="Y157" s="692">
        <f t="shared" si="48"/>
        <v>0</v>
      </c>
      <c r="Z157" s="692">
        <f t="shared" si="48"/>
        <v>0</v>
      </c>
      <c r="AA157" s="692">
        <f t="shared" si="48"/>
        <v>0</v>
      </c>
      <c r="AB157" s="692">
        <f t="shared" si="48"/>
        <v>0</v>
      </c>
      <c r="AC157" s="692">
        <f t="shared" si="48"/>
        <v>0</v>
      </c>
      <c r="AD157" s="692">
        <f t="shared" si="48"/>
        <v>0</v>
      </c>
      <c r="AE157" s="692">
        <f t="shared" si="48"/>
        <v>0</v>
      </c>
      <c r="AF157" s="692">
        <f t="shared" si="48"/>
        <v>0</v>
      </c>
      <c r="AG157" s="692">
        <f t="shared" si="48"/>
        <v>0</v>
      </c>
    </row>
    <row r="158" spans="1:33" s="649" customFormat="1" ht="17.25" customHeight="1" outlineLevel="1" thickTop="1">
      <c r="A158" s="894"/>
      <c r="B158" s="287"/>
      <c r="C158" s="273" t="str">
        <f>Product_05</f>
        <v>Net work infrastructure solutions</v>
      </c>
      <c r="D158" s="287"/>
      <c r="E158" s="287"/>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E158" s="287"/>
      <c r="AF158" s="287"/>
      <c r="AG158" s="287"/>
    </row>
    <row r="159" spans="1:33" s="649" customFormat="1" ht="17.25" customHeight="1" outlineLevel="1">
      <c r="A159" s="894"/>
      <c r="B159" s="287"/>
      <c r="C159" s="87" t="str">
        <f>"Reference: Net Sales " &amp;C158</f>
        <v>Reference: Net Sales Net work infrastructure solutions</v>
      </c>
      <c r="D159" s="8" t="str">
        <f>Currency_Label</f>
        <v>USD</v>
      </c>
      <c r="E159" s="287"/>
      <c r="F159" s="234" t="s">
        <v>54</v>
      </c>
      <c r="G159" s="128"/>
      <c r="H159" s="128"/>
      <c r="I159" s="71">
        <f>SUM(J159:AG159)</f>
        <v>104412.51506598486</v>
      </c>
      <c r="J159" s="131">
        <f>Sales!J74*J$6</f>
        <v>4500</v>
      </c>
      <c r="K159" s="131">
        <f>Sales!K74*K$6</f>
        <v>4500</v>
      </c>
      <c r="L159" s="131">
        <f>Sales!L74*L$6</f>
        <v>4500</v>
      </c>
      <c r="M159" s="131">
        <f>Sales!M74*M$6</f>
        <v>4500</v>
      </c>
      <c r="N159" s="131">
        <f>Sales!N74*N$6</f>
        <v>4500</v>
      </c>
      <c r="O159" s="131">
        <f>Sales!O74*O$6</f>
        <v>4500</v>
      </c>
      <c r="P159" s="131">
        <f>Sales!P74*P$6</f>
        <v>4500</v>
      </c>
      <c r="Q159" s="131">
        <f>Sales!Q74*Q$6</f>
        <v>4500</v>
      </c>
      <c r="R159" s="131">
        <f>Sales!R74*R$6</f>
        <v>5000</v>
      </c>
      <c r="S159" s="131">
        <f>Sales!S74*S$6</f>
        <v>5000</v>
      </c>
      <c r="T159" s="131">
        <f>Sales!T74*T$6</f>
        <v>5050</v>
      </c>
      <c r="U159" s="131">
        <f>Sales!U74*U$6</f>
        <v>5100.5</v>
      </c>
      <c r="V159" s="131">
        <f>Sales!V74*V$6</f>
        <v>5151.5050000000001</v>
      </c>
      <c r="W159" s="131">
        <f>Sales!W74*W$6</f>
        <v>5203.0200500000001</v>
      </c>
      <c r="X159" s="131">
        <f>Sales!X74*X$6</f>
        <v>5255.0502505000004</v>
      </c>
      <c r="Y159" s="131">
        <f>Sales!Y74*Y$6</f>
        <v>5307.6007530050001</v>
      </c>
      <c r="Z159" s="131">
        <f>Sales!Z74*Z$6</f>
        <v>5360.6767605350506</v>
      </c>
      <c r="AA159" s="131">
        <f>Sales!AA74*AA$6</f>
        <v>5414.2835281404014</v>
      </c>
      <c r="AB159" s="131">
        <f>Sales!AB74*AB$6</f>
        <v>5468.426363421805</v>
      </c>
      <c r="AC159" s="131">
        <f>Sales!AC74*AC$6</f>
        <v>5523.1106270560231</v>
      </c>
      <c r="AD159" s="131">
        <f>Sales!AD74*AD$6</f>
        <v>5578.3417333265834</v>
      </c>
      <c r="AE159" s="131">
        <f>Sales!AE74*AE$6</f>
        <v>0</v>
      </c>
      <c r="AF159" s="131">
        <f>Sales!AF74*AF$6</f>
        <v>0</v>
      </c>
      <c r="AG159" s="131">
        <f>Sales!AG74*AG$6</f>
        <v>0</v>
      </c>
    </row>
    <row r="160" spans="1:33" s="649" customFormat="1" ht="17.25" customHeight="1" outlineLevel="1">
      <c r="A160" s="894"/>
      <c r="B160" s="287"/>
      <c r="C160" s="649" t="s">
        <v>253</v>
      </c>
      <c r="D160" s="8" t="s">
        <v>255</v>
      </c>
      <c r="E160" s="287"/>
      <c r="F160" s="271"/>
      <c r="G160" s="330"/>
      <c r="H160" s="287"/>
      <c r="I160" s="702"/>
      <c r="J160" s="233">
        <f t="shared" ref="J160:AG160" si="49">$F$125*$F160*J159</f>
        <v>0</v>
      </c>
      <c r="K160" s="233">
        <f t="shared" si="49"/>
        <v>0</v>
      </c>
      <c r="L160" s="233">
        <f t="shared" si="49"/>
        <v>0</v>
      </c>
      <c r="M160" s="233">
        <f t="shared" si="49"/>
        <v>0</v>
      </c>
      <c r="N160" s="233">
        <f t="shared" si="49"/>
        <v>0</v>
      </c>
      <c r="O160" s="233">
        <f t="shared" si="49"/>
        <v>0</v>
      </c>
      <c r="P160" s="233">
        <f t="shared" si="49"/>
        <v>0</v>
      </c>
      <c r="Q160" s="233">
        <f t="shared" si="49"/>
        <v>0</v>
      </c>
      <c r="R160" s="233">
        <f t="shared" si="49"/>
        <v>0</v>
      </c>
      <c r="S160" s="233">
        <f t="shared" si="49"/>
        <v>0</v>
      </c>
      <c r="T160" s="233">
        <f t="shared" si="49"/>
        <v>0</v>
      </c>
      <c r="U160" s="233">
        <f t="shared" si="49"/>
        <v>0</v>
      </c>
      <c r="V160" s="233">
        <f t="shared" si="49"/>
        <v>0</v>
      </c>
      <c r="W160" s="233">
        <f t="shared" si="49"/>
        <v>0</v>
      </c>
      <c r="X160" s="233">
        <f t="shared" si="49"/>
        <v>0</v>
      </c>
      <c r="Y160" s="233">
        <f t="shared" si="49"/>
        <v>0</v>
      </c>
      <c r="Z160" s="233">
        <f t="shared" si="49"/>
        <v>0</v>
      </c>
      <c r="AA160" s="233">
        <f t="shared" si="49"/>
        <v>0</v>
      </c>
      <c r="AB160" s="233">
        <f t="shared" si="49"/>
        <v>0</v>
      </c>
      <c r="AC160" s="233">
        <f t="shared" si="49"/>
        <v>0</v>
      </c>
      <c r="AD160" s="233">
        <f t="shared" si="49"/>
        <v>0</v>
      </c>
      <c r="AE160" s="233">
        <f t="shared" si="49"/>
        <v>0</v>
      </c>
      <c r="AF160" s="233">
        <f t="shared" si="49"/>
        <v>0</v>
      </c>
      <c r="AG160" s="233">
        <f t="shared" si="49"/>
        <v>0</v>
      </c>
    </row>
    <row r="161" spans="1:33" s="649" customFormat="1" ht="17.25" customHeight="1" outlineLevel="1">
      <c r="A161" s="894"/>
      <c r="B161" s="287"/>
      <c r="C161" s="48" t="s">
        <v>249</v>
      </c>
      <c r="D161" s="8" t="str">
        <f>Currency_Label</f>
        <v>USD</v>
      </c>
      <c r="E161" s="287"/>
      <c r="F161" s="287"/>
      <c r="G161" s="330"/>
      <c r="H161" s="287"/>
      <c r="I161" s="287"/>
      <c r="J161" s="80">
        <f t="shared" ref="J161:AG161" si="50">IF(J160-I160&gt;0,MIN(J160-I160,MAX(J160-J163,-J116)),MAX(J160-J163,-J116))</f>
        <v>0</v>
      </c>
      <c r="K161" s="80">
        <f t="shared" si="50"/>
        <v>0</v>
      </c>
      <c r="L161" s="80">
        <f t="shared" si="50"/>
        <v>0</v>
      </c>
      <c r="M161" s="80">
        <f t="shared" si="50"/>
        <v>0</v>
      </c>
      <c r="N161" s="80">
        <f t="shared" si="50"/>
        <v>0</v>
      </c>
      <c r="O161" s="80">
        <f t="shared" si="50"/>
        <v>0</v>
      </c>
      <c r="P161" s="80">
        <f t="shared" si="50"/>
        <v>0</v>
      </c>
      <c r="Q161" s="80">
        <f t="shared" si="50"/>
        <v>0</v>
      </c>
      <c r="R161" s="80">
        <f t="shared" si="50"/>
        <v>0</v>
      </c>
      <c r="S161" s="80">
        <f t="shared" si="50"/>
        <v>0</v>
      </c>
      <c r="T161" s="80">
        <f t="shared" si="50"/>
        <v>0</v>
      </c>
      <c r="U161" s="80">
        <f t="shared" si="50"/>
        <v>0</v>
      </c>
      <c r="V161" s="80">
        <f t="shared" si="50"/>
        <v>0</v>
      </c>
      <c r="W161" s="80">
        <f t="shared" si="50"/>
        <v>0</v>
      </c>
      <c r="X161" s="80">
        <f t="shared" si="50"/>
        <v>0</v>
      </c>
      <c r="Y161" s="80">
        <f t="shared" si="50"/>
        <v>0</v>
      </c>
      <c r="Z161" s="80">
        <f t="shared" si="50"/>
        <v>0</v>
      </c>
      <c r="AA161" s="80">
        <f t="shared" si="50"/>
        <v>0</v>
      </c>
      <c r="AB161" s="80">
        <f t="shared" si="50"/>
        <v>0</v>
      </c>
      <c r="AC161" s="80">
        <f t="shared" si="50"/>
        <v>0</v>
      </c>
      <c r="AD161" s="80">
        <f t="shared" si="50"/>
        <v>0</v>
      </c>
      <c r="AE161" s="80">
        <f t="shared" si="50"/>
        <v>0</v>
      </c>
      <c r="AF161" s="80">
        <f t="shared" si="50"/>
        <v>0</v>
      </c>
      <c r="AG161" s="80">
        <f t="shared" si="50"/>
        <v>0</v>
      </c>
    </row>
    <row r="162" spans="1:33" s="649" customFormat="1" ht="17.25" customHeight="1" outlineLevel="1">
      <c r="A162" s="894"/>
      <c r="B162" s="287"/>
      <c r="C162" s="277" t="s">
        <v>250</v>
      </c>
      <c r="D162" s="287"/>
      <c r="E162" s="287"/>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E162" s="287"/>
      <c r="AF162" s="287"/>
      <c r="AG162" s="287"/>
    </row>
    <row r="163" spans="1:33" s="649" customFormat="1" ht="17.25" customHeight="1" outlineLevel="1">
      <c r="A163" s="894"/>
      <c r="B163" s="287"/>
      <c r="C163" s="649" t="s">
        <v>140</v>
      </c>
      <c r="D163" s="8" t="str">
        <f>Currency_Label</f>
        <v>USD</v>
      </c>
      <c r="E163" s="287"/>
      <c r="F163" s="287"/>
      <c r="G163" s="287"/>
      <c r="H163" s="287"/>
      <c r="I163" s="287"/>
      <c r="J163" s="259">
        <f t="shared" ref="J163:AG163" si="51">I165*J$6</f>
        <v>0</v>
      </c>
      <c r="K163" s="259">
        <f t="shared" si="51"/>
        <v>0</v>
      </c>
      <c r="L163" s="259">
        <f t="shared" si="51"/>
        <v>0</v>
      </c>
      <c r="M163" s="259">
        <f t="shared" si="51"/>
        <v>0</v>
      </c>
      <c r="N163" s="259">
        <f t="shared" si="51"/>
        <v>0</v>
      </c>
      <c r="O163" s="259">
        <f t="shared" si="51"/>
        <v>0</v>
      </c>
      <c r="P163" s="259">
        <f t="shared" si="51"/>
        <v>0</v>
      </c>
      <c r="Q163" s="259">
        <f t="shared" si="51"/>
        <v>0</v>
      </c>
      <c r="R163" s="259">
        <f t="shared" si="51"/>
        <v>0</v>
      </c>
      <c r="S163" s="259">
        <f t="shared" si="51"/>
        <v>0</v>
      </c>
      <c r="T163" s="259">
        <f t="shared" si="51"/>
        <v>0</v>
      </c>
      <c r="U163" s="259">
        <f t="shared" si="51"/>
        <v>0</v>
      </c>
      <c r="V163" s="259">
        <f t="shared" si="51"/>
        <v>0</v>
      </c>
      <c r="W163" s="259">
        <f t="shared" si="51"/>
        <v>0</v>
      </c>
      <c r="X163" s="259">
        <f t="shared" si="51"/>
        <v>0</v>
      </c>
      <c r="Y163" s="259">
        <f t="shared" si="51"/>
        <v>0</v>
      </c>
      <c r="Z163" s="259">
        <f t="shared" si="51"/>
        <v>0</v>
      </c>
      <c r="AA163" s="259">
        <f t="shared" si="51"/>
        <v>0</v>
      </c>
      <c r="AB163" s="259">
        <f t="shared" si="51"/>
        <v>0</v>
      </c>
      <c r="AC163" s="259">
        <f t="shared" si="51"/>
        <v>0</v>
      </c>
      <c r="AD163" s="259">
        <f t="shared" si="51"/>
        <v>0</v>
      </c>
      <c r="AE163" s="259">
        <f t="shared" si="51"/>
        <v>0</v>
      </c>
      <c r="AF163" s="259">
        <f t="shared" si="51"/>
        <v>0</v>
      </c>
      <c r="AG163" s="259">
        <f t="shared" si="51"/>
        <v>0</v>
      </c>
    </row>
    <row r="164" spans="1:33" s="649" customFormat="1" ht="17.25" customHeight="1" outlineLevel="1">
      <c r="A164" s="894"/>
      <c r="B164" s="287"/>
      <c r="C164" s="40" t="s">
        <v>251</v>
      </c>
      <c r="D164" s="8" t="str">
        <f>Currency_Label</f>
        <v>USD</v>
      </c>
      <c r="E164" s="287"/>
      <c r="F164" s="287"/>
      <c r="G164" s="287"/>
      <c r="H164" s="287"/>
      <c r="I164" s="71">
        <f>SUM(J164:AG164)</f>
        <v>0</v>
      </c>
      <c r="J164" s="80">
        <f t="shared" ref="J164:AG164" si="52">J161</f>
        <v>0</v>
      </c>
      <c r="K164" s="80">
        <f t="shared" si="52"/>
        <v>0</v>
      </c>
      <c r="L164" s="80">
        <f t="shared" si="52"/>
        <v>0</v>
      </c>
      <c r="M164" s="80">
        <f t="shared" si="52"/>
        <v>0</v>
      </c>
      <c r="N164" s="80">
        <f t="shared" si="52"/>
        <v>0</v>
      </c>
      <c r="O164" s="80">
        <f t="shared" si="52"/>
        <v>0</v>
      </c>
      <c r="P164" s="80">
        <f t="shared" si="52"/>
        <v>0</v>
      </c>
      <c r="Q164" s="80">
        <f t="shared" si="52"/>
        <v>0</v>
      </c>
      <c r="R164" s="80">
        <f t="shared" si="52"/>
        <v>0</v>
      </c>
      <c r="S164" s="80">
        <f t="shared" si="52"/>
        <v>0</v>
      </c>
      <c r="T164" s="80">
        <f t="shared" si="52"/>
        <v>0</v>
      </c>
      <c r="U164" s="80">
        <f t="shared" si="52"/>
        <v>0</v>
      </c>
      <c r="V164" s="80">
        <f t="shared" si="52"/>
        <v>0</v>
      </c>
      <c r="W164" s="80">
        <f t="shared" si="52"/>
        <v>0</v>
      </c>
      <c r="X164" s="80">
        <f t="shared" si="52"/>
        <v>0</v>
      </c>
      <c r="Y164" s="80">
        <f t="shared" si="52"/>
        <v>0</v>
      </c>
      <c r="Z164" s="80">
        <f t="shared" si="52"/>
        <v>0</v>
      </c>
      <c r="AA164" s="80">
        <f t="shared" si="52"/>
        <v>0</v>
      </c>
      <c r="AB164" s="80">
        <f t="shared" si="52"/>
        <v>0</v>
      </c>
      <c r="AC164" s="80">
        <f t="shared" si="52"/>
        <v>0</v>
      </c>
      <c r="AD164" s="80">
        <f t="shared" si="52"/>
        <v>0</v>
      </c>
      <c r="AE164" s="80">
        <f t="shared" si="52"/>
        <v>0</v>
      </c>
      <c r="AF164" s="80">
        <f t="shared" si="52"/>
        <v>0</v>
      </c>
      <c r="AG164" s="80">
        <f t="shared" si="52"/>
        <v>0</v>
      </c>
    </row>
    <row r="165" spans="1:33" s="649" customFormat="1" ht="17.25" customHeight="1" outlineLevel="1" thickBot="1">
      <c r="A165" s="894"/>
      <c r="B165" s="287"/>
      <c r="C165" s="649" t="s">
        <v>141</v>
      </c>
      <c r="D165" s="8" t="str">
        <f>Currency_Label</f>
        <v>USD</v>
      </c>
      <c r="E165" s="287"/>
      <c r="F165" s="287"/>
      <c r="G165" s="287"/>
      <c r="H165" s="287"/>
      <c r="I165" s="147">
        <f>Inputs!N236</f>
        <v>0</v>
      </c>
      <c r="J165" s="692">
        <f t="shared" ref="J165:AG165" si="53">SUM(J163:J164)</f>
        <v>0</v>
      </c>
      <c r="K165" s="692">
        <f t="shared" si="53"/>
        <v>0</v>
      </c>
      <c r="L165" s="692">
        <f t="shared" si="53"/>
        <v>0</v>
      </c>
      <c r="M165" s="692">
        <f t="shared" si="53"/>
        <v>0</v>
      </c>
      <c r="N165" s="692">
        <f t="shared" si="53"/>
        <v>0</v>
      </c>
      <c r="O165" s="692">
        <f t="shared" si="53"/>
        <v>0</v>
      </c>
      <c r="P165" s="692">
        <f t="shared" si="53"/>
        <v>0</v>
      </c>
      <c r="Q165" s="692">
        <f t="shared" si="53"/>
        <v>0</v>
      </c>
      <c r="R165" s="692">
        <f t="shared" si="53"/>
        <v>0</v>
      </c>
      <c r="S165" s="692">
        <f t="shared" si="53"/>
        <v>0</v>
      </c>
      <c r="T165" s="692">
        <f t="shared" si="53"/>
        <v>0</v>
      </c>
      <c r="U165" s="692">
        <f t="shared" si="53"/>
        <v>0</v>
      </c>
      <c r="V165" s="692">
        <f t="shared" si="53"/>
        <v>0</v>
      </c>
      <c r="W165" s="692">
        <f t="shared" si="53"/>
        <v>0</v>
      </c>
      <c r="X165" s="692">
        <f t="shared" si="53"/>
        <v>0</v>
      </c>
      <c r="Y165" s="692">
        <f t="shared" si="53"/>
        <v>0</v>
      </c>
      <c r="Z165" s="692">
        <f t="shared" si="53"/>
        <v>0</v>
      </c>
      <c r="AA165" s="692">
        <f t="shared" si="53"/>
        <v>0</v>
      </c>
      <c r="AB165" s="692">
        <f t="shared" si="53"/>
        <v>0</v>
      </c>
      <c r="AC165" s="692">
        <f t="shared" si="53"/>
        <v>0</v>
      </c>
      <c r="AD165" s="692">
        <f t="shared" si="53"/>
        <v>0</v>
      </c>
      <c r="AE165" s="692">
        <f t="shared" si="53"/>
        <v>0</v>
      </c>
      <c r="AF165" s="692">
        <f t="shared" si="53"/>
        <v>0</v>
      </c>
      <c r="AG165" s="692">
        <f t="shared" si="53"/>
        <v>0</v>
      </c>
    </row>
    <row r="166" spans="1:33" s="649" customFormat="1" ht="17.25" customHeight="1" outlineLevel="1" thickTop="1">
      <c r="A166" s="894"/>
      <c r="B166" s="287"/>
      <c r="C166" s="273" t="str">
        <f>Product_06</f>
        <v>Repair Services</v>
      </c>
      <c r="D166" s="287"/>
      <c r="E166" s="287"/>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E166" s="287"/>
      <c r="AF166" s="287"/>
      <c r="AG166" s="287"/>
    </row>
    <row r="167" spans="1:33" s="649" customFormat="1" ht="17.25" customHeight="1" outlineLevel="1">
      <c r="A167" s="894"/>
      <c r="B167" s="287"/>
      <c r="C167" s="87" t="str">
        <f>"Reference: Net Sales " &amp;C166</f>
        <v>Reference: Net Sales Repair Services</v>
      </c>
      <c r="D167" s="8" t="str">
        <f>Currency_Label</f>
        <v>USD</v>
      </c>
      <c r="E167" s="287"/>
      <c r="F167" s="234" t="s">
        <v>54</v>
      </c>
      <c r="G167" s="128"/>
      <c r="H167" s="128"/>
      <c r="I167" s="71">
        <f>SUM(J167:AG167)</f>
        <v>281112</v>
      </c>
      <c r="J167" s="131">
        <f>Sales!J75*J$6</f>
        <v>13992</v>
      </c>
      <c r="K167" s="131">
        <f>Sales!K75*K$6</f>
        <v>13992</v>
      </c>
      <c r="L167" s="131">
        <f>Sales!L75*L$6</f>
        <v>13992</v>
      </c>
      <c r="M167" s="131">
        <f>Sales!M75*M$6</f>
        <v>13992</v>
      </c>
      <c r="N167" s="131">
        <f>Sales!N75*N$6</f>
        <v>13992</v>
      </c>
      <c r="O167" s="131">
        <f>Sales!O75*O$6</f>
        <v>13992</v>
      </c>
      <c r="P167" s="131">
        <f>Sales!P75*P$6</f>
        <v>13992</v>
      </c>
      <c r="Q167" s="131">
        <f>Sales!Q75*Q$6</f>
        <v>13992</v>
      </c>
      <c r="R167" s="131">
        <f>Sales!R75*R$6</f>
        <v>13992</v>
      </c>
      <c r="S167" s="131">
        <f>Sales!S75*S$6</f>
        <v>13992</v>
      </c>
      <c r="T167" s="131">
        <f>Sales!T75*T$6</f>
        <v>13992</v>
      </c>
      <c r="U167" s="131">
        <f>Sales!U75*U$6</f>
        <v>12720</v>
      </c>
      <c r="V167" s="131">
        <f>Sales!V75*V$6</f>
        <v>12720</v>
      </c>
      <c r="W167" s="131">
        <f>Sales!W75*W$6</f>
        <v>12720</v>
      </c>
      <c r="X167" s="131">
        <f>Sales!X75*X$6</f>
        <v>12720</v>
      </c>
      <c r="Y167" s="131">
        <f>Sales!Y75*Y$6</f>
        <v>12720</v>
      </c>
      <c r="Z167" s="131">
        <f>Sales!Z75*Z$6</f>
        <v>12720</v>
      </c>
      <c r="AA167" s="131">
        <f>Sales!AA75*AA$6</f>
        <v>12720</v>
      </c>
      <c r="AB167" s="131">
        <f>Sales!AB75*AB$6</f>
        <v>12720</v>
      </c>
      <c r="AC167" s="131">
        <f>Sales!AC75*AC$6</f>
        <v>12720</v>
      </c>
      <c r="AD167" s="131">
        <f>Sales!AD75*AD$6</f>
        <v>12720</v>
      </c>
      <c r="AE167" s="131">
        <f>Sales!AE75*AE$6</f>
        <v>0</v>
      </c>
      <c r="AF167" s="131">
        <f>Sales!AF75*AF$6</f>
        <v>0</v>
      </c>
      <c r="AG167" s="131">
        <f>Sales!AG75*AG$6</f>
        <v>0</v>
      </c>
    </row>
    <row r="168" spans="1:33" s="649" customFormat="1" ht="17.25" customHeight="1" outlineLevel="1">
      <c r="A168" s="894"/>
      <c r="B168" s="287"/>
      <c r="C168" s="649" t="s">
        <v>253</v>
      </c>
      <c r="D168" s="8" t="s">
        <v>255</v>
      </c>
      <c r="E168" s="287"/>
      <c r="F168" s="271"/>
      <c r="G168" s="330"/>
      <c r="H168" s="287"/>
      <c r="I168" s="702"/>
      <c r="J168" s="233">
        <f t="shared" ref="J168:AG168" si="54">$F$125*$F168*J167</f>
        <v>0</v>
      </c>
      <c r="K168" s="233">
        <f t="shared" si="54"/>
        <v>0</v>
      </c>
      <c r="L168" s="233">
        <f t="shared" si="54"/>
        <v>0</v>
      </c>
      <c r="M168" s="233">
        <f t="shared" si="54"/>
        <v>0</v>
      </c>
      <c r="N168" s="233">
        <f t="shared" si="54"/>
        <v>0</v>
      </c>
      <c r="O168" s="233">
        <f t="shared" si="54"/>
        <v>0</v>
      </c>
      <c r="P168" s="233">
        <f t="shared" si="54"/>
        <v>0</v>
      </c>
      <c r="Q168" s="233">
        <f t="shared" si="54"/>
        <v>0</v>
      </c>
      <c r="R168" s="233">
        <f t="shared" si="54"/>
        <v>0</v>
      </c>
      <c r="S168" s="233">
        <f t="shared" si="54"/>
        <v>0</v>
      </c>
      <c r="T168" s="233">
        <f t="shared" si="54"/>
        <v>0</v>
      </c>
      <c r="U168" s="233">
        <f t="shared" si="54"/>
        <v>0</v>
      </c>
      <c r="V168" s="233">
        <f t="shared" si="54"/>
        <v>0</v>
      </c>
      <c r="W168" s="233">
        <f t="shared" si="54"/>
        <v>0</v>
      </c>
      <c r="X168" s="233">
        <f t="shared" si="54"/>
        <v>0</v>
      </c>
      <c r="Y168" s="233">
        <f t="shared" si="54"/>
        <v>0</v>
      </c>
      <c r="Z168" s="233">
        <f t="shared" si="54"/>
        <v>0</v>
      </c>
      <c r="AA168" s="233">
        <f t="shared" si="54"/>
        <v>0</v>
      </c>
      <c r="AB168" s="233">
        <f t="shared" si="54"/>
        <v>0</v>
      </c>
      <c r="AC168" s="233">
        <f t="shared" si="54"/>
        <v>0</v>
      </c>
      <c r="AD168" s="233">
        <f t="shared" si="54"/>
        <v>0</v>
      </c>
      <c r="AE168" s="233">
        <f t="shared" si="54"/>
        <v>0</v>
      </c>
      <c r="AF168" s="233">
        <f t="shared" si="54"/>
        <v>0</v>
      </c>
      <c r="AG168" s="233">
        <f t="shared" si="54"/>
        <v>0</v>
      </c>
    </row>
    <row r="169" spans="1:33" s="649" customFormat="1" ht="17.25" customHeight="1" outlineLevel="1">
      <c r="A169" s="894"/>
      <c r="B169" s="287"/>
      <c r="C169" s="48" t="s">
        <v>249</v>
      </c>
      <c r="D169" s="8" t="str">
        <f>Currency_Label</f>
        <v>USD</v>
      </c>
      <c r="E169" s="287"/>
      <c r="F169" s="287"/>
      <c r="G169" s="330"/>
      <c r="H169" s="287"/>
      <c r="I169" s="287"/>
      <c r="J169" s="80">
        <f t="shared" ref="J169:AG169" si="55">IF(J168-I168&gt;0,MIN(J168-I168,MAX(J168-J171,-J117)),MAX(J168-J171,-J117))</f>
        <v>0</v>
      </c>
      <c r="K169" s="80">
        <f t="shared" si="55"/>
        <v>0</v>
      </c>
      <c r="L169" s="80">
        <f t="shared" si="55"/>
        <v>0</v>
      </c>
      <c r="M169" s="80">
        <f t="shared" si="55"/>
        <v>0</v>
      </c>
      <c r="N169" s="80">
        <f t="shared" si="55"/>
        <v>0</v>
      </c>
      <c r="O169" s="80">
        <f t="shared" si="55"/>
        <v>0</v>
      </c>
      <c r="P169" s="80">
        <f t="shared" si="55"/>
        <v>0</v>
      </c>
      <c r="Q169" s="80">
        <f t="shared" si="55"/>
        <v>0</v>
      </c>
      <c r="R169" s="80">
        <f t="shared" si="55"/>
        <v>0</v>
      </c>
      <c r="S169" s="80">
        <f t="shared" si="55"/>
        <v>0</v>
      </c>
      <c r="T169" s="80">
        <f t="shared" si="55"/>
        <v>0</v>
      </c>
      <c r="U169" s="80">
        <f t="shared" si="55"/>
        <v>0</v>
      </c>
      <c r="V169" s="80">
        <f t="shared" si="55"/>
        <v>0</v>
      </c>
      <c r="W169" s="80">
        <f t="shared" si="55"/>
        <v>0</v>
      </c>
      <c r="X169" s="80">
        <f t="shared" si="55"/>
        <v>0</v>
      </c>
      <c r="Y169" s="80">
        <f t="shared" si="55"/>
        <v>0</v>
      </c>
      <c r="Z169" s="80">
        <f t="shared" si="55"/>
        <v>0</v>
      </c>
      <c r="AA169" s="80">
        <f t="shared" si="55"/>
        <v>0</v>
      </c>
      <c r="AB169" s="80">
        <f t="shared" si="55"/>
        <v>0</v>
      </c>
      <c r="AC169" s="80">
        <f t="shared" si="55"/>
        <v>0</v>
      </c>
      <c r="AD169" s="80">
        <f t="shared" si="55"/>
        <v>0</v>
      </c>
      <c r="AE169" s="80">
        <f t="shared" si="55"/>
        <v>0</v>
      </c>
      <c r="AF169" s="80">
        <f t="shared" si="55"/>
        <v>0</v>
      </c>
      <c r="AG169" s="80">
        <f t="shared" si="55"/>
        <v>0</v>
      </c>
    </row>
    <row r="170" spans="1:33" s="649" customFormat="1" ht="17.25" customHeight="1" outlineLevel="1">
      <c r="A170" s="894"/>
      <c r="B170" s="287"/>
      <c r="C170" s="277" t="s">
        <v>250</v>
      </c>
      <c r="D170" s="287"/>
      <c r="E170" s="287"/>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E170" s="287"/>
      <c r="AF170" s="287"/>
      <c r="AG170" s="287"/>
    </row>
    <row r="171" spans="1:33" s="649" customFormat="1" ht="17.25" customHeight="1" outlineLevel="1">
      <c r="A171" s="894"/>
      <c r="B171" s="287"/>
      <c r="C171" s="649" t="s">
        <v>140</v>
      </c>
      <c r="D171" s="8" t="str">
        <f>Currency_Label</f>
        <v>USD</v>
      </c>
      <c r="E171" s="287"/>
      <c r="F171" s="287"/>
      <c r="G171" s="287"/>
      <c r="H171" s="287"/>
      <c r="I171" s="287"/>
      <c r="J171" s="259">
        <f t="shared" ref="J171:AG171" si="56">I173*J$6</f>
        <v>0</v>
      </c>
      <c r="K171" s="259">
        <f t="shared" si="56"/>
        <v>0</v>
      </c>
      <c r="L171" s="259">
        <f t="shared" si="56"/>
        <v>0</v>
      </c>
      <c r="M171" s="259">
        <f t="shared" si="56"/>
        <v>0</v>
      </c>
      <c r="N171" s="259">
        <f t="shared" si="56"/>
        <v>0</v>
      </c>
      <c r="O171" s="259">
        <f t="shared" si="56"/>
        <v>0</v>
      </c>
      <c r="P171" s="259">
        <f t="shared" si="56"/>
        <v>0</v>
      </c>
      <c r="Q171" s="259">
        <f t="shared" si="56"/>
        <v>0</v>
      </c>
      <c r="R171" s="259">
        <f t="shared" si="56"/>
        <v>0</v>
      </c>
      <c r="S171" s="259">
        <f t="shared" si="56"/>
        <v>0</v>
      </c>
      <c r="T171" s="259">
        <f t="shared" si="56"/>
        <v>0</v>
      </c>
      <c r="U171" s="259">
        <f t="shared" si="56"/>
        <v>0</v>
      </c>
      <c r="V171" s="259">
        <f t="shared" si="56"/>
        <v>0</v>
      </c>
      <c r="W171" s="259">
        <f t="shared" si="56"/>
        <v>0</v>
      </c>
      <c r="X171" s="259">
        <f t="shared" si="56"/>
        <v>0</v>
      </c>
      <c r="Y171" s="259">
        <f t="shared" si="56"/>
        <v>0</v>
      </c>
      <c r="Z171" s="259">
        <f t="shared" si="56"/>
        <v>0</v>
      </c>
      <c r="AA171" s="259">
        <f t="shared" si="56"/>
        <v>0</v>
      </c>
      <c r="AB171" s="259">
        <f t="shared" si="56"/>
        <v>0</v>
      </c>
      <c r="AC171" s="259">
        <f t="shared" si="56"/>
        <v>0</v>
      </c>
      <c r="AD171" s="259">
        <f t="shared" si="56"/>
        <v>0</v>
      </c>
      <c r="AE171" s="259">
        <f t="shared" si="56"/>
        <v>0</v>
      </c>
      <c r="AF171" s="259">
        <f t="shared" si="56"/>
        <v>0</v>
      </c>
      <c r="AG171" s="259">
        <f t="shared" si="56"/>
        <v>0</v>
      </c>
    </row>
    <row r="172" spans="1:33" s="649" customFormat="1" ht="17.25" customHeight="1" outlineLevel="1">
      <c r="A172" s="894"/>
      <c r="B172" s="287"/>
      <c r="C172" s="40" t="s">
        <v>251</v>
      </c>
      <c r="D172" s="8" t="str">
        <f>Currency_Label</f>
        <v>USD</v>
      </c>
      <c r="E172" s="287"/>
      <c r="F172" s="287"/>
      <c r="G172" s="287"/>
      <c r="H172" s="287"/>
      <c r="I172" s="71">
        <f>SUM(J172:AG172)</f>
        <v>0</v>
      </c>
      <c r="J172" s="80">
        <f t="shared" ref="J172:AG172" si="57">J169</f>
        <v>0</v>
      </c>
      <c r="K172" s="80">
        <f t="shared" si="57"/>
        <v>0</v>
      </c>
      <c r="L172" s="80">
        <f t="shared" si="57"/>
        <v>0</v>
      </c>
      <c r="M172" s="80">
        <f t="shared" si="57"/>
        <v>0</v>
      </c>
      <c r="N172" s="80">
        <f t="shared" si="57"/>
        <v>0</v>
      </c>
      <c r="O172" s="80">
        <f t="shared" si="57"/>
        <v>0</v>
      </c>
      <c r="P172" s="80">
        <f t="shared" si="57"/>
        <v>0</v>
      </c>
      <c r="Q172" s="80">
        <f t="shared" si="57"/>
        <v>0</v>
      </c>
      <c r="R172" s="80">
        <f t="shared" si="57"/>
        <v>0</v>
      </c>
      <c r="S172" s="80">
        <f t="shared" si="57"/>
        <v>0</v>
      </c>
      <c r="T172" s="80">
        <f t="shared" si="57"/>
        <v>0</v>
      </c>
      <c r="U172" s="80">
        <f t="shared" si="57"/>
        <v>0</v>
      </c>
      <c r="V172" s="80">
        <f t="shared" si="57"/>
        <v>0</v>
      </c>
      <c r="W172" s="80">
        <f t="shared" si="57"/>
        <v>0</v>
      </c>
      <c r="X172" s="80">
        <f t="shared" si="57"/>
        <v>0</v>
      </c>
      <c r="Y172" s="80">
        <f t="shared" si="57"/>
        <v>0</v>
      </c>
      <c r="Z172" s="80">
        <f t="shared" si="57"/>
        <v>0</v>
      </c>
      <c r="AA172" s="80">
        <f t="shared" si="57"/>
        <v>0</v>
      </c>
      <c r="AB172" s="80">
        <f t="shared" si="57"/>
        <v>0</v>
      </c>
      <c r="AC172" s="80">
        <f t="shared" si="57"/>
        <v>0</v>
      </c>
      <c r="AD172" s="80">
        <f t="shared" si="57"/>
        <v>0</v>
      </c>
      <c r="AE172" s="80">
        <f t="shared" si="57"/>
        <v>0</v>
      </c>
      <c r="AF172" s="80">
        <f t="shared" si="57"/>
        <v>0</v>
      </c>
      <c r="AG172" s="80">
        <f t="shared" si="57"/>
        <v>0</v>
      </c>
    </row>
    <row r="173" spans="1:33" s="649" customFormat="1" ht="17.25" customHeight="1" outlineLevel="1" thickBot="1">
      <c r="A173" s="894"/>
      <c r="B173" s="287"/>
      <c r="C173" s="649" t="s">
        <v>141</v>
      </c>
      <c r="D173" s="8" t="str">
        <f>Currency_Label</f>
        <v>USD</v>
      </c>
      <c r="E173" s="287"/>
      <c r="F173" s="287"/>
      <c r="G173" s="287"/>
      <c r="H173" s="287"/>
      <c r="I173" s="147">
        <f>Inputs!N237</f>
        <v>0</v>
      </c>
      <c r="J173" s="692">
        <f t="shared" ref="J173:AG173" si="58">SUM(J171:J172)</f>
        <v>0</v>
      </c>
      <c r="K173" s="692">
        <f t="shared" si="58"/>
        <v>0</v>
      </c>
      <c r="L173" s="692">
        <f t="shared" si="58"/>
        <v>0</v>
      </c>
      <c r="M173" s="692">
        <f t="shared" si="58"/>
        <v>0</v>
      </c>
      <c r="N173" s="692">
        <f t="shared" si="58"/>
        <v>0</v>
      </c>
      <c r="O173" s="692">
        <f t="shared" si="58"/>
        <v>0</v>
      </c>
      <c r="P173" s="692">
        <f t="shared" si="58"/>
        <v>0</v>
      </c>
      <c r="Q173" s="692">
        <f t="shared" si="58"/>
        <v>0</v>
      </c>
      <c r="R173" s="692">
        <f t="shared" si="58"/>
        <v>0</v>
      </c>
      <c r="S173" s="692">
        <f t="shared" si="58"/>
        <v>0</v>
      </c>
      <c r="T173" s="692">
        <f t="shared" si="58"/>
        <v>0</v>
      </c>
      <c r="U173" s="692">
        <f t="shared" si="58"/>
        <v>0</v>
      </c>
      <c r="V173" s="692">
        <f t="shared" si="58"/>
        <v>0</v>
      </c>
      <c r="W173" s="692">
        <f t="shared" si="58"/>
        <v>0</v>
      </c>
      <c r="X173" s="692">
        <f t="shared" si="58"/>
        <v>0</v>
      </c>
      <c r="Y173" s="692">
        <f t="shared" si="58"/>
        <v>0</v>
      </c>
      <c r="Z173" s="692">
        <f t="shared" si="58"/>
        <v>0</v>
      </c>
      <c r="AA173" s="692">
        <f t="shared" si="58"/>
        <v>0</v>
      </c>
      <c r="AB173" s="692">
        <f t="shared" si="58"/>
        <v>0</v>
      </c>
      <c r="AC173" s="692">
        <f t="shared" si="58"/>
        <v>0</v>
      </c>
      <c r="AD173" s="692">
        <f t="shared" si="58"/>
        <v>0</v>
      </c>
      <c r="AE173" s="692">
        <f t="shared" si="58"/>
        <v>0</v>
      </c>
      <c r="AF173" s="692">
        <f t="shared" si="58"/>
        <v>0</v>
      </c>
      <c r="AG173" s="692">
        <f t="shared" si="58"/>
        <v>0</v>
      </c>
    </row>
    <row r="174" spans="1:33" s="649" customFormat="1" ht="17.25" customHeight="1" outlineLevel="1" thickTop="1">
      <c r="A174" s="894"/>
      <c r="B174" s="287"/>
      <c r="C174" s="273" t="str">
        <f>Product_07</f>
        <v>Integration Services</v>
      </c>
      <c r="D174" s="287"/>
      <c r="E174" s="287"/>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E174" s="287"/>
      <c r="AF174" s="287"/>
      <c r="AG174" s="287"/>
    </row>
    <row r="175" spans="1:33" s="649" customFormat="1" ht="17.25" customHeight="1" outlineLevel="1">
      <c r="A175" s="894"/>
      <c r="B175" s="287"/>
      <c r="C175" s="87" t="str">
        <f>"Reference: Net Sales " &amp;C174</f>
        <v>Reference: Net Sales Integration Services</v>
      </c>
      <c r="D175" s="8" t="str">
        <f>Currency_Label</f>
        <v>USD</v>
      </c>
      <c r="E175" s="287"/>
      <c r="F175" s="234" t="s">
        <v>54</v>
      </c>
      <c r="G175" s="128"/>
      <c r="H175" s="128"/>
      <c r="I175" s="71">
        <f>SUM(J175:AG175)</f>
        <v>404000</v>
      </c>
      <c r="J175" s="131">
        <f>Sales!J76*J$6</f>
        <v>18000</v>
      </c>
      <c r="K175" s="131">
        <f>Sales!K76*K$6</f>
        <v>18000</v>
      </c>
      <c r="L175" s="131">
        <f>Sales!L76*L$6</f>
        <v>18000</v>
      </c>
      <c r="M175" s="131">
        <f>Sales!M76*M$6</f>
        <v>18000</v>
      </c>
      <c r="N175" s="131">
        <f>Sales!N76*N$6</f>
        <v>18000</v>
      </c>
      <c r="O175" s="131">
        <f>Sales!O76*O$6</f>
        <v>18000</v>
      </c>
      <c r="P175" s="131">
        <f>Sales!P76*P$6</f>
        <v>18000</v>
      </c>
      <c r="Q175" s="131">
        <f>Sales!Q76*Q$6</f>
        <v>18000</v>
      </c>
      <c r="R175" s="131">
        <f>Sales!R76*R$6</f>
        <v>20000</v>
      </c>
      <c r="S175" s="131">
        <f>Sales!S76*S$6</f>
        <v>20000</v>
      </c>
      <c r="T175" s="131">
        <f>Sales!T76*T$6</f>
        <v>20000</v>
      </c>
      <c r="U175" s="131">
        <f>Sales!U76*U$6</f>
        <v>20000</v>
      </c>
      <c r="V175" s="131">
        <f>Sales!V76*V$6</f>
        <v>20000</v>
      </c>
      <c r="W175" s="131">
        <f>Sales!W76*W$6</f>
        <v>20000</v>
      </c>
      <c r="X175" s="131">
        <f>Sales!X76*X$6</f>
        <v>20000</v>
      </c>
      <c r="Y175" s="131">
        <f>Sales!Y76*Y$6</f>
        <v>20000</v>
      </c>
      <c r="Z175" s="131">
        <f>Sales!Z76*Z$6</f>
        <v>20000</v>
      </c>
      <c r="AA175" s="131">
        <f>Sales!AA76*AA$6</f>
        <v>20000</v>
      </c>
      <c r="AB175" s="131">
        <f>Sales!AB76*AB$6</f>
        <v>20000</v>
      </c>
      <c r="AC175" s="131">
        <f>Sales!AC76*AC$6</f>
        <v>20000</v>
      </c>
      <c r="AD175" s="131">
        <f>Sales!AD76*AD$6</f>
        <v>20000</v>
      </c>
      <c r="AE175" s="131">
        <f>Sales!AE76*AE$6</f>
        <v>0</v>
      </c>
      <c r="AF175" s="131">
        <f>Sales!AF76*AF$6</f>
        <v>0</v>
      </c>
      <c r="AG175" s="131">
        <f>Sales!AG76*AG$6</f>
        <v>0</v>
      </c>
    </row>
    <row r="176" spans="1:33" s="649" customFormat="1" ht="17.25" customHeight="1" outlineLevel="1">
      <c r="A176" s="894"/>
      <c r="B176" s="287"/>
      <c r="C176" s="649" t="s">
        <v>253</v>
      </c>
      <c r="D176" s="8" t="s">
        <v>255</v>
      </c>
      <c r="E176" s="287"/>
      <c r="F176" s="271"/>
      <c r="G176" s="330"/>
      <c r="H176" s="287"/>
      <c r="I176" s="702"/>
      <c r="J176" s="233">
        <f t="shared" ref="J176:AG176" si="59">$F$125*$F176*J175</f>
        <v>0</v>
      </c>
      <c r="K176" s="233">
        <f t="shared" si="59"/>
        <v>0</v>
      </c>
      <c r="L176" s="233">
        <f t="shared" si="59"/>
        <v>0</v>
      </c>
      <c r="M176" s="233">
        <f t="shared" si="59"/>
        <v>0</v>
      </c>
      <c r="N176" s="233">
        <f t="shared" si="59"/>
        <v>0</v>
      </c>
      <c r="O176" s="233">
        <f t="shared" si="59"/>
        <v>0</v>
      </c>
      <c r="P176" s="233">
        <f t="shared" si="59"/>
        <v>0</v>
      </c>
      <c r="Q176" s="233">
        <f t="shared" si="59"/>
        <v>0</v>
      </c>
      <c r="R176" s="233">
        <f t="shared" si="59"/>
        <v>0</v>
      </c>
      <c r="S176" s="233">
        <f t="shared" si="59"/>
        <v>0</v>
      </c>
      <c r="T176" s="233">
        <f t="shared" si="59"/>
        <v>0</v>
      </c>
      <c r="U176" s="233">
        <f t="shared" si="59"/>
        <v>0</v>
      </c>
      <c r="V176" s="233">
        <f t="shared" si="59"/>
        <v>0</v>
      </c>
      <c r="W176" s="233">
        <f t="shared" si="59"/>
        <v>0</v>
      </c>
      <c r="X176" s="233">
        <f t="shared" si="59"/>
        <v>0</v>
      </c>
      <c r="Y176" s="233">
        <f t="shared" si="59"/>
        <v>0</v>
      </c>
      <c r="Z176" s="233">
        <f t="shared" si="59"/>
        <v>0</v>
      </c>
      <c r="AA176" s="233">
        <f t="shared" si="59"/>
        <v>0</v>
      </c>
      <c r="AB176" s="233">
        <f t="shared" si="59"/>
        <v>0</v>
      </c>
      <c r="AC176" s="233">
        <f t="shared" si="59"/>
        <v>0</v>
      </c>
      <c r="AD176" s="233">
        <f t="shared" si="59"/>
        <v>0</v>
      </c>
      <c r="AE176" s="233">
        <f t="shared" si="59"/>
        <v>0</v>
      </c>
      <c r="AF176" s="233">
        <f t="shared" si="59"/>
        <v>0</v>
      </c>
      <c r="AG176" s="233">
        <f t="shared" si="59"/>
        <v>0</v>
      </c>
    </row>
    <row r="177" spans="1:33" s="649" customFormat="1" ht="17.25" customHeight="1" outlineLevel="1">
      <c r="A177" s="894"/>
      <c r="B177" s="287"/>
      <c r="C177" s="48" t="s">
        <v>249</v>
      </c>
      <c r="D177" s="8" t="str">
        <f>Currency_Label</f>
        <v>USD</v>
      </c>
      <c r="E177" s="287"/>
      <c r="F177" s="287"/>
      <c r="G177" s="330"/>
      <c r="H177" s="287"/>
      <c r="I177" s="287"/>
      <c r="J177" s="80">
        <f t="shared" ref="J177:AG177" si="60">IF(J176-I176&gt;0,MIN(J176-I176,MAX(J176-J179,-J118)),MAX(J176-J179,-J118))</f>
        <v>0</v>
      </c>
      <c r="K177" s="80">
        <f t="shared" si="60"/>
        <v>0</v>
      </c>
      <c r="L177" s="80">
        <f t="shared" si="60"/>
        <v>0</v>
      </c>
      <c r="M177" s="80">
        <f t="shared" si="60"/>
        <v>0</v>
      </c>
      <c r="N177" s="80">
        <f t="shared" si="60"/>
        <v>0</v>
      </c>
      <c r="O177" s="80">
        <f t="shared" si="60"/>
        <v>0</v>
      </c>
      <c r="P177" s="80">
        <f t="shared" si="60"/>
        <v>0</v>
      </c>
      <c r="Q177" s="80">
        <f t="shared" si="60"/>
        <v>0</v>
      </c>
      <c r="R177" s="80">
        <f t="shared" si="60"/>
        <v>0</v>
      </c>
      <c r="S177" s="80">
        <f t="shared" si="60"/>
        <v>0</v>
      </c>
      <c r="T177" s="80">
        <f t="shared" si="60"/>
        <v>0</v>
      </c>
      <c r="U177" s="80">
        <f t="shared" si="60"/>
        <v>0</v>
      </c>
      <c r="V177" s="80">
        <f t="shared" si="60"/>
        <v>0</v>
      </c>
      <c r="W177" s="80">
        <f t="shared" si="60"/>
        <v>0</v>
      </c>
      <c r="X177" s="80">
        <f t="shared" si="60"/>
        <v>0</v>
      </c>
      <c r="Y177" s="80">
        <f t="shared" si="60"/>
        <v>0</v>
      </c>
      <c r="Z177" s="80">
        <f t="shared" si="60"/>
        <v>0</v>
      </c>
      <c r="AA177" s="80">
        <f t="shared" si="60"/>
        <v>0</v>
      </c>
      <c r="AB177" s="80">
        <f t="shared" si="60"/>
        <v>0</v>
      </c>
      <c r="AC177" s="80">
        <f t="shared" si="60"/>
        <v>0</v>
      </c>
      <c r="AD177" s="80">
        <f t="shared" si="60"/>
        <v>0</v>
      </c>
      <c r="AE177" s="80">
        <f t="shared" si="60"/>
        <v>0</v>
      </c>
      <c r="AF177" s="80">
        <f t="shared" si="60"/>
        <v>0</v>
      </c>
      <c r="AG177" s="80">
        <f t="shared" si="60"/>
        <v>0</v>
      </c>
    </row>
    <row r="178" spans="1:33" s="649" customFormat="1" ht="17.25" customHeight="1" outlineLevel="1">
      <c r="A178" s="894"/>
      <c r="B178" s="287"/>
      <c r="C178" s="277" t="s">
        <v>250</v>
      </c>
      <c r="D178" s="287"/>
      <c r="E178" s="287"/>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E178" s="287"/>
      <c r="AF178" s="287"/>
      <c r="AG178" s="287"/>
    </row>
    <row r="179" spans="1:33" s="649" customFormat="1" ht="17.25" customHeight="1" outlineLevel="1">
      <c r="A179" s="894"/>
      <c r="B179" s="287"/>
      <c r="C179" s="649" t="s">
        <v>140</v>
      </c>
      <c r="D179" s="8" t="str">
        <f>Currency_Label</f>
        <v>USD</v>
      </c>
      <c r="E179" s="287"/>
      <c r="F179" s="287"/>
      <c r="G179" s="287"/>
      <c r="H179" s="287"/>
      <c r="I179" s="287"/>
      <c r="J179" s="259">
        <f t="shared" ref="J179:AG179" si="61">I181*J$6</f>
        <v>0</v>
      </c>
      <c r="K179" s="259">
        <f t="shared" si="61"/>
        <v>0</v>
      </c>
      <c r="L179" s="259">
        <f t="shared" si="61"/>
        <v>0</v>
      </c>
      <c r="M179" s="259">
        <f t="shared" si="61"/>
        <v>0</v>
      </c>
      <c r="N179" s="259">
        <f t="shared" si="61"/>
        <v>0</v>
      </c>
      <c r="O179" s="259">
        <f t="shared" si="61"/>
        <v>0</v>
      </c>
      <c r="P179" s="259">
        <f t="shared" si="61"/>
        <v>0</v>
      </c>
      <c r="Q179" s="259">
        <f t="shared" si="61"/>
        <v>0</v>
      </c>
      <c r="R179" s="259">
        <f t="shared" si="61"/>
        <v>0</v>
      </c>
      <c r="S179" s="259">
        <f t="shared" si="61"/>
        <v>0</v>
      </c>
      <c r="T179" s="259">
        <f t="shared" si="61"/>
        <v>0</v>
      </c>
      <c r="U179" s="259">
        <f t="shared" si="61"/>
        <v>0</v>
      </c>
      <c r="V179" s="259">
        <f t="shared" si="61"/>
        <v>0</v>
      </c>
      <c r="W179" s="259">
        <f t="shared" si="61"/>
        <v>0</v>
      </c>
      <c r="X179" s="259">
        <f t="shared" si="61"/>
        <v>0</v>
      </c>
      <c r="Y179" s="259">
        <f t="shared" si="61"/>
        <v>0</v>
      </c>
      <c r="Z179" s="259">
        <f t="shared" si="61"/>
        <v>0</v>
      </c>
      <c r="AA179" s="259">
        <f t="shared" si="61"/>
        <v>0</v>
      </c>
      <c r="AB179" s="259">
        <f t="shared" si="61"/>
        <v>0</v>
      </c>
      <c r="AC179" s="259">
        <f t="shared" si="61"/>
        <v>0</v>
      </c>
      <c r="AD179" s="259">
        <f t="shared" si="61"/>
        <v>0</v>
      </c>
      <c r="AE179" s="259">
        <f t="shared" si="61"/>
        <v>0</v>
      </c>
      <c r="AF179" s="259">
        <f t="shared" si="61"/>
        <v>0</v>
      </c>
      <c r="AG179" s="259">
        <f t="shared" si="61"/>
        <v>0</v>
      </c>
    </row>
    <row r="180" spans="1:33" s="649" customFormat="1" ht="17.25" customHeight="1" outlineLevel="1">
      <c r="A180" s="894"/>
      <c r="B180" s="287"/>
      <c r="C180" s="40" t="s">
        <v>251</v>
      </c>
      <c r="D180" s="8" t="str">
        <f>Currency_Label</f>
        <v>USD</v>
      </c>
      <c r="E180" s="287"/>
      <c r="F180" s="287"/>
      <c r="G180" s="287"/>
      <c r="H180" s="287"/>
      <c r="I180" s="71">
        <f>SUM(J180:AG180)</f>
        <v>0</v>
      </c>
      <c r="J180" s="80">
        <f t="shared" ref="J180:AG180" si="62">J177</f>
        <v>0</v>
      </c>
      <c r="K180" s="80">
        <f t="shared" si="62"/>
        <v>0</v>
      </c>
      <c r="L180" s="80">
        <f t="shared" si="62"/>
        <v>0</v>
      </c>
      <c r="M180" s="80">
        <f t="shared" si="62"/>
        <v>0</v>
      </c>
      <c r="N180" s="80">
        <f t="shared" si="62"/>
        <v>0</v>
      </c>
      <c r="O180" s="80">
        <f t="shared" si="62"/>
        <v>0</v>
      </c>
      <c r="P180" s="80">
        <f t="shared" si="62"/>
        <v>0</v>
      </c>
      <c r="Q180" s="80">
        <f t="shared" si="62"/>
        <v>0</v>
      </c>
      <c r="R180" s="80">
        <f t="shared" si="62"/>
        <v>0</v>
      </c>
      <c r="S180" s="80">
        <f t="shared" si="62"/>
        <v>0</v>
      </c>
      <c r="T180" s="80">
        <f t="shared" si="62"/>
        <v>0</v>
      </c>
      <c r="U180" s="80">
        <f t="shared" si="62"/>
        <v>0</v>
      </c>
      <c r="V180" s="80">
        <f t="shared" si="62"/>
        <v>0</v>
      </c>
      <c r="W180" s="80">
        <f t="shared" si="62"/>
        <v>0</v>
      </c>
      <c r="X180" s="80">
        <f t="shared" si="62"/>
        <v>0</v>
      </c>
      <c r="Y180" s="80">
        <f t="shared" si="62"/>
        <v>0</v>
      </c>
      <c r="Z180" s="80">
        <f t="shared" si="62"/>
        <v>0</v>
      </c>
      <c r="AA180" s="80">
        <f t="shared" si="62"/>
        <v>0</v>
      </c>
      <c r="AB180" s="80">
        <f t="shared" si="62"/>
        <v>0</v>
      </c>
      <c r="AC180" s="80">
        <f t="shared" si="62"/>
        <v>0</v>
      </c>
      <c r="AD180" s="80">
        <f t="shared" si="62"/>
        <v>0</v>
      </c>
      <c r="AE180" s="80">
        <f t="shared" si="62"/>
        <v>0</v>
      </c>
      <c r="AF180" s="80">
        <f t="shared" si="62"/>
        <v>0</v>
      </c>
      <c r="AG180" s="80">
        <f t="shared" si="62"/>
        <v>0</v>
      </c>
    </row>
    <row r="181" spans="1:33" s="649" customFormat="1" ht="17.25" customHeight="1" outlineLevel="1" thickBot="1">
      <c r="A181" s="894"/>
      <c r="B181" s="287"/>
      <c r="C181" s="649" t="s">
        <v>141</v>
      </c>
      <c r="D181" s="8" t="str">
        <f>Currency_Label</f>
        <v>USD</v>
      </c>
      <c r="E181" s="287"/>
      <c r="F181" s="287"/>
      <c r="G181" s="287"/>
      <c r="H181" s="287"/>
      <c r="I181" s="147">
        <f>Inputs!N238</f>
        <v>0</v>
      </c>
      <c r="J181" s="692">
        <f t="shared" ref="J181:AG181" si="63">SUM(J179:J180)</f>
        <v>0</v>
      </c>
      <c r="K181" s="692">
        <f t="shared" si="63"/>
        <v>0</v>
      </c>
      <c r="L181" s="692">
        <f t="shared" si="63"/>
        <v>0</v>
      </c>
      <c r="M181" s="692">
        <f t="shared" si="63"/>
        <v>0</v>
      </c>
      <c r="N181" s="692">
        <f t="shared" si="63"/>
        <v>0</v>
      </c>
      <c r="O181" s="692">
        <f t="shared" si="63"/>
        <v>0</v>
      </c>
      <c r="P181" s="692">
        <f t="shared" si="63"/>
        <v>0</v>
      </c>
      <c r="Q181" s="692">
        <f t="shared" si="63"/>
        <v>0</v>
      </c>
      <c r="R181" s="692">
        <f t="shared" si="63"/>
        <v>0</v>
      </c>
      <c r="S181" s="692">
        <f t="shared" si="63"/>
        <v>0</v>
      </c>
      <c r="T181" s="692">
        <f t="shared" si="63"/>
        <v>0</v>
      </c>
      <c r="U181" s="692">
        <f t="shared" si="63"/>
        <v>0</v>
      </c>
      <c r="V181" s="692">
        <f t="shared" si="63"/>
        <v>0</v>
      </c>
      <c r="W181" s="692">
        <f t="shared" si="63"/>
        <v>0</v>
      </c>
      <c r="X181" s="692">
        <f t="shared" si="63"/>
        <v>0</v>
      </c>
      <c r="Y181" s="692">
        <f t="shared" si="63"/>
        <v>0</v>
      </c>
      <c r="Z181" s="692">
        <f t="shared" si="63"/>
        <v>0</v>
      </c>
      <c r="AA181" s="692">
        <f t="shared" si="63"/>
        <v>0</v>
      </c>
      <c r="AB181" s="692">
        <f t="shared" si="63"/>
        <v>0</v>
      </c>
      <c r="AC181" s="692">
        <f t="shared" si="63"/>
        <v>0</v>
      </c>
      <c r="AD181" s="692">
        <f t="shared" si="63"/>
        <v>0</v>
      </c>
      <c r="AE181" s="692">
        <f t="shared" si="63"/>
        <v>0</v>
      </c>
      <c r="AF181" s="692">
        <f t="shared" si="63"/>
        <v>0</v>
      </c>
      <c r="AG181" s="692">
        <f t="shared" si="63"/>
        <v>0</v>
      </c>
    </row>
    <row r="182" spans="1:33" s="649" customFormat="1" ht="17.25" customHeight="1" outlineLevel="1" thickTop="1">
      <c r="A182" s="894"/>
      <c r="B182" s="287"/>
      <c r="C182" s="273" t="str">
        <f>Product_08</f>
        <v>Consulting Services</v>
      </c>
      <c r="D182" s="287"/>
      <c r="E182" s="287"/>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E182" s="287"/>
      <c r="AF182" s="287"/>
      <c r="AG182" s="287"/>
    </row>
    <row r="183" spans="1:33" s="649" customFormat="1" ht="17.25" customHeight="1" outlineLevel="1">
      <c r="A183" s="894"/>
      <c r="B183" s="287"/>
      <c r="C183" s="87" t="str">
        <f>"Reference: Net Sales " &amp;C182</f>
        <v>Reference: Net Sales Consulting Services</v>
      </c>
      <c r="D183" s="8" t="str">
        <f>Currency_Label</f>
        <v>USD</v>
      </c>
      <c r="E183" s="287"/>
      <c r="F183" s="234" t="s">
        <v>54</v>
      </c>
      <c r="G183" s="128"/>
      <c r="H183" s="128"/>
      <c r="I183" s="71">
        <f>SUM(J183:AG183)</f>
        <v>440498.92292858503</v>
      </c>
      <c r="J183" s="131">
        <f>Sales!J77*J$6</f>
        <v>18955</v>
      </c>
      <c r="K183" s="131">
        <f>Sales!K77*K$6</f>
        <v>19144.55</v>
      </c>
      <c r="L183" s="131">
        <f>Sales!L77*L$6</f>
        <v>19335.995500000001</v>
      </c>
      <c r="M183" s="131">
        <f>Sales!M77*M$6</f>
        <v>19529.355455000001</v>
      </c>
      <c r="N183" s="131">
        <f>Sales!N77*N$6</f>
        <v>19724.649009550001</v>
      </c>
      <c r="O183" s="131">
        <f>Sales!O77*O$6</f>
        <v>19921.895499645503</v>
      </c>
      <c r="P183" s="131">
        <f>Sales!P77*P$6</f>
        <v>20121.11445464196</v>
      </c>
      <c r="Q183" s="131">
        <f>Sales!Q77*Q$6</f>
        <v>20322.325599188382</v>
      </c>
      <c r="R183" s="131">
        <f>Sales!R77*R$6</f>
        <v>20525.548855180266</v>
      </c>
      <c r="S183" s="131">
        <f>Sales!S77*S$6</f>
        <v>20730.80434373207</v>
      </c>
      <c r="T183" s="131">
        <f>Sales!T77*T$6</f>
        <v>20938.112387169393</v>
      </c>
      <c r="U183" s="131">
        <f>Sales!U77*U$6</f>
        <v>21147.493511041088</v>
      </c>
      <c r="V183" s="131">
        <f>Sales!V77*V$6</f>
        <v>21358.968446151499</v>
      </c>
      <c r="W183" s="131">
        <f>Sales!W77*W$6</f>
        <v>21572.558130613015</v>
      </c>
      <c r="X183" s="131">
        <f>Sales!X77*X$6</f>
        <v>21788.283711919146</v>
      </c>
      <c r="Y183" s="131">
        <f>Sales!Y77*Y$6</f>
        <v>22006.166549038338</v>
      </c>
      <c r="Z183" s="131">
        <f>Sales!Z77*Z$6</f>
        <v>22226.228214528721</v>
      </c>
      <c r="AA183" s="131">
        <f>Sales!AA77*AA$6</f>
        <v>22448.490496674007</v>
      </c>
      <c r="AB183" s="131">
        <f>Sales!AB77*AB$6</f>
        <v>22672.975401640746</v>
      </c>
      <c r="AC183" s="131">
        <f>Sales!AC77*AC$6</f>
        <v>22899.705155657153</v>
      </c>
      <c r="AD183" s="131">
        <f>Sales!AD77*AD$6</f>
        <v>23128.702207213726</v>
      </c>
      <c r="AE183" s="131">
        <f>Sales!AE77*AE$6</f>
        <v>0</v>
      </c>
      <c r="AF183" s="131">
        <f>Sales!AF77*AF$6</f>
        <v>0</v>
      </c>
      <c r="AG183" s="131">
        <f>Sales!AG77*AG$6</f>
        <v>0</v>
      </c>
    </row>
    <row r="184" spans="1:33" s="649" customFormat="1" ht="17.25" customHeight="1" outlineLevel="1">
      <c r="A184" s="894"/>
      <c r="B184" s="287"/>
      <c r="C184" s="649" t="s">
        <v>253</v>
      </c>
      <c r="D184" s="8" t="s">
        <v>255</v>
      </c>
      <c r="E184" s="287"/>
      <c r="F184" s="271"/>
      <c r="G184" s="330"/>
      <c r="H184" s="287"/>
      <c r="I184" s="702"/>
      <c r="J184" s="233">
        <f t="shared" ref="J184:AG184" si="64">$F$125*$F184*J183</f>
        <v>0</v>
      </c>
      <c r="K184" s="233">
        <f t="shared" si="64"/>
        <v>0</v>
      </c>
      <c r="L184" s="233">
        <f t="shared" si="64"/>
        <v>0</v>
      </c>
      <c r="M184" s="233">
        <f t="shared" si="64"/>
        <v>0</v>
      </c>
      <c r="N184" s="233">
        <f t="shared" si="64"/>
        <v>0</v>
      </c>
      <c r="O184" s="233">
        <f t="shared" si="64"/>
        <v>0</v>
      </c>
      <c r="P184" s="233">
        <f t="shared" si="64"/>
        <v>0</v>
      </c>
      <c r="Q184" s="233">
        <f t="shared" si="64"/>
        <v>0</v>
      </c>
      <c r="R184" s="233">
        <f t="shared" si="64"/>
        <v>0</v>
      </c>
      <c r="S184" s="233">
        <f t="shared" si="64"/>
        <v>0</v>
      </c>
      <c r="T184" s="233">
        <f t="shared" si="64"/>
        <v>0</v>
      </c>
      <c r="U184" s="233">
        <f t="shared" si="64"/>
        <v>0</v>
      </c>
      <c r="V184" s="233">
        <f t="shared" si="64"/>
        <v>0</v>
      </c>
      <c r="W184" s="233">
        <f t="shared" si="64"/>
        <v>0</v>
      </c>
      <c r="X184" s="233">
        <f t="shared" si="64"/>
        <v>0</v>
      </c>
      <c r="Y184" s="233">
        <f t="shared" si="64"/>
        <v>0</v>
      </c>
      <c r="Z184" s="233">
        <f t="shared" si="64"/>
        <v>0</v>
      </c>
      <c r="AA184" s="233">
        <f t="shared" si="64"/>
        <v>0</v>
      </c>
      <c r="AB184" s="233">
        <f t="shared" si="64"/>
        <v>0</v>
      </c>
      <c r="AC184" s="233">
        <f t="shared" si="64"/>
        <v>0</v>
      </c>
      <c r="AD184" s="233">
        <f t="shared" si="64"/>
        <v>0</v>
      </c>
      <c r="AE184" s="233">
        <f t="shared" si="64"/>
        <v>0</v>
      </c>
      <c r="AF184" s="233">
        <f t="shared" si="64"/>
        <v>0</v>
      </c>
      <c r="AG184" s="233">
        <f t="shared" si="64"/>
        <v>0</v>
      </c>
    </row>
    <row r="185" spans="1:33" s="649" customFormat="1" ht="17.25" customHeight="1" outlineLevel="1">
      <c r="A185" s="894"/>
      <c r="B185" s="287"/>
      <c r="C185" s="48" t="s">
        <v>249</v>
      </c>
      <c r="D185" s="8" t="str">
        <f>Currency_Label</f>
        <v>USD</v>
      </c>
      <c r="E185" s="287"/>
      <c r="F185" s="287"/>
      <c r="G185" s="330"/>
      <c r="H185" s="287"/>
      <c r="I185" s="287"/>
      <c r="J185" s="80">
        <f t="shared" ref="J185:AG185" si="65">IF(J184-I184&gt;0,MIN(J184-I184,MAX(J184-J187,-J119)),MAX(J184-J187,-J119))</f>
        <v>0</v>
      </c>
      <c r="K185" s="80">
        <f t="shared" si="65"/>
        <v>0</v>
      </c>
      <c r="L185" s="80">
        <f t="shared" si="65"/>
        <v>0</v>
      </c>
      <c r="M185" s="80">
        <f t="shared" si="65"/>
        <v>0</v>
      </c>
      <c r="N185" s="80">
        <f t="shared" si="65"/>
        <v>0</v>
      </c>
      <c r="O185" s="80">
        <f t="shared" si="65"/>
        <v>0</v>
      </c>
      <c r="P185" s="80">
        <f t="shared" si="65"/>
        <v>0</v>
      </c>
      <c r="Q185" s="80">
        <f t="shared" si="65"/>
        <v>0</v>
      </c>
      <c r="R185" s="80">
        <f t="shared" si="65"/>
        <v>0</v>
      </c>
      <c r="S185" s="80">
        <f t="shared" si="65"/>
        <v>0</v>
      </c>
      <c r="T185" s="80">
        <f t="shared" si="65"/>
        <v>0</v>
      </c>
      <c r="U185" s="80">
        <f t="shared" si="65"/>
        <v>0</v>
      </c>
      <c r="V185" s="80">
        <f t="shared" si="65"/>
        <v>0</v>
      </c>
      <c r="W185" s="80">
        <f t="shared" si="65"/>
        <v>0</v>
      </c>
      <c r="X185" s="80">
        <f t="shared" si="65"/>
        <v>0</v>
      </c>
      <c r="Y185" s="80">
        <f t="shared" si="65"/>
        <v>0</v>
      </c>
      <c r="Z185" s="80">
        <f t="shared" si="65"/>
        <v>0</v>
      </c>
      <c r="AA185" s="80">
        <f t="shared" si="65"/>
        <v>0</v>
      </c>
      <c r="AB185" s="80">
        <f t="shared" si="65"/>
        <v>0</v>
      </c>
      <c r="AC185" s="80">
        <f t="shared" si="65"/>
        <v>0</v>
      </c>
      <c r="AD185" s="80">
        <f t="shared" si="65"/>
        <v>0</v>
      </c>
      <c r="AE185" s="80">
        <f t="shared" si="65"/>
        <v>0</v>
      </c>
      <c r="AF185" s="80">
        <f t="shared" si="65"/>
        <v>0</v>
      </c>
      <c r="AG185" s="80">
        <f t="shared" si="65"/>
        <v>0</v>
      </c>
    </row>
    <row r="186" spans="1:33" s="649" customFormat="1" ht="17.25" customHeight="1" outlineLevel="1">
      <c r="A186" s="894"/>
      <c r="B186" s="287"/>
      <c r="C186" s="277" t="s">
        <v>250</v>
      </c>
      <c r="D186" s="287"/>
      <c r="E186" s="287"/>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E186" s="287"/>
      <c r="AF186" s="287"/>
      <c r="AG186" s="287"/>
    </row>
    <row r="187" spans="1:33" s="649" customFormat="1" ht="17.25" customHeight="1" outlineLevel="1">
      <c r="A187" s="894"/>
      <c r="B187" s="287"/>
      <c r="C187" s="649" t="s">
        <v>140</v>
      </c>
      <c r="D187" s="8" t="str">
        <f>Currency_Label</f>
        <v>USD</v>
      </c>
      <c r="E187" s="287"/>
      <c r="F187" s="287"/>
      <c r="G187" s="287"/>
      <c r="H187" s="287"/>
      <c r="I187" s="287"/>
      <c r="J187" s="259">
        <f t="shared" ref="J187:AG187" si="66">I189*J$6</f>
        <v>0</v>
      </c>
      <c r="K187" s="259">
        <f t="shared" si="66"/>
        <v>0</v>
      </c>
      <c r="L187" s="259">
        <f t="shared" si="66"/>
        <v>0</v>
      </c>
      <c r="M187" s="259">
        <f t="shared" si="66"/>
        <v>0</v>
      </c>
      <c r="N187" s="259">
        <f t="shared" si="66"/>
        <v>0</v>
      </c>
      <c r="O187" s="259">
        <f t="shared" si="66"/>
        <v>0</v>
      </c>
      <c r="P187" s="259">
        <f t="shared" si="66"/>
        <v>0</v>
      </c>
      <c r="Q187" s="259">
        <f t="shared" si="66"/>
        <v>0</v>
      </c>
      <c r="R187" s="259">
        <f t="shared" si="66"/>
        <v>0</v>
      </c>
      <c r="S187" s="259">
        <f t="shared" si="66"/>
        <v>0</v>
      </c>
      <c r="T187" s="259">
        <f t="shared" si="66"/>
        <v>0</v>
      </c>
      <c r="U187" s="259">
        <f t="shared" si="66"/>
        <v>0</v>
      </c>
      <c r="V187" s="259">
        <f t="shared" si="66"/>
        <v>0</v>
      </c>
      <c r="W187" s="259">
        <f t="shared" si="66"/>
        <v>0</v>
      </c>
      <c r="X187" s="259">
        <f t="shared" si="66"/>
        <v>0</v>
      </c>
      <c r="Y187" s="259">
        <f t="shared" si="66"/>
        <v>0</v>
      </c>
      <c r="Z187" s="259">
        <f t="shared" si="66"/>
        <v>0</v>
      </c>
      <c r="AA187" s="259">
        <f t="shared" si="66"/>
        <v>0</v>
      </c>
      <c r="AB187" s="259">
        <f t="shared" si="66"/>
        <v>0</v>
      </c>
      <c r="AC187" s="259">
        <f t="shared" si="66"/>
        <v>0</v>
      </c>
      <c r="AD187" s="259">
        <f t="shared" si="66"/>
        <v>0</v>
      </c>
      <c r="AE187" s="259">
        <f t="shared" si="66"/>
        <v>0</v>
      </c>
      <c r="AF187" s="259">
        <f t="shared" si="66"/>
        <v>0</v>
      </c>
      <c r="AG187" s="259">
        <f t="shared" si="66"/>
        <v>0</v>
      </c>
    </row>
    <row r="188" spans="1:33" s="649" customFormat="1" ht="17.25" customHeight="1" outlineLevel="1">
      <c r="A188" s="894"/>
      <c r="B188" s="287"/>
      <c r="C188" s="40" t="s">
        <v>251</v>
      </c>
      <c r="D188" s="8" t="str">
        <f>Currency_Label</f>
        <v>USD</v>
      </c>
      <c r="E188" s="287"/>
      <c r="F188" s="287"/>
      <c r="G188" s="287"/>
      <c r="H188" s="287"/>
      <c r="I188" s="71">
        <f>SUM(J188:AG188)</f>
        <v>0</v>
      </c>
      <c r="J188" s="80">
        <f t="shared" ref="J188:AG188" si="67">J185</f>
        <v>0</v>
      </c>
      <c r="K188" s="80">
        <f t="shared" si="67"/>
        <v>0</v>
      </c>
      <c r="L188" s="80">
        <f t="shared" si="67"/>
        <v>0</v>
      </c>
      <c r="M188" s="80">
        <f t="shared" si="67"/>
        <v>0</v>
      </c>
      <c r="N188" s="80">
        <f t="shared" si="67"/>
        <v>0</v>
      </c>
      <c r="O188" s="80">
        <f t="shared" si="67"/>
        <v>0</v>
      </c>
      <c r="P188" s="80">
        <f t="shared" si="67"/>
        <v>0</v>
      </c>
      <c r="Q188" s="80">
        <f t="shared" si="67"/>
        <v>0</v>
      </c>
      <c r="R188" s="80">
        <f t="shared" si="67"/>
        <v>0</v>
      </c>
      <c r="S188" s="80">
        <f t="shared" si="67"/>
        <v>0</v>
      </c>
      <c r="T188" s="80">
        <f t="shared" si="67"/>
        <v>0</v>
      </c>
      <c r="U188" s="80">
        <f t="shared" si="67"/>
        <v>0</v>
      </c>
      <c r="V188" s="80">
        <f t="shared" si="67"/>
        <v>0</v>
      </c>
      <c r="W188" s="80">
        <f t="shared" si="67"/>
        <v>0</v>
      </c>
      <c r="X188" s="80">
        <f t="shared" si="67"/>
        <v>0</v>
      </c>
      <c r="Y188" s="80">
        <f t="shared" si="67"/>
        <v>0</v>
      </c>
      <c r="Z188" s="80">
        <f t="shared" si="67"/>
        <v>0</v>
      </c>
      <c r="AA188" s="80">
        <f t="shared" si="67"/>
        <v>0</v>
      </c>
      <c r="AB188" s="80">
        <f t="shared" si="67"/>
        <v>0</v>
      </c>
      <c r="AC188" s="80">
        <f t="shared" si="67"/>
        <v>0</v>
      </c>
      <c r="AD188" s="80">
        <f t="shared" si="67"/>
        <v>0</v>
      </c>
      <c r="AE188" s="80">
        <f t="shared" si="67"/>
        <v>0</v>
      </c>
      <c r="AF188" s="80">
        <f t="shared" si="67"/>
        <v>0</v>
      </c>
      <c r="AG188" s="80">
        <f t="shared" si="67"/>
        <v>0</v>
      </c>
    </row>
    <row r="189" spans="1:33" s="649" customFormat="1" ht="17.25" customHeight="1" outlineLevel="1" thickBot="1">
      <c r="A189" s="894"/>
      <c r="B189" s="287"/>
      <c r="C189" s="649" t="s">
        <v>141</v>
      </c>
      <c r="D189" s="8" t="str">
        <f>Currency_Label</f>
        <v>USD</v>
      </c>
      <c r="E189" s="287"/>
      <c r="F189" s="287"/>
      <c r="G189" s="287"/>
      <c r="H189" s="287"/>
      <c r="I189" s="147">
        <f>Inputs!N239</f>
        <v>0</v>
      </c>
      <c r="J189" s="692">
        <f t="shared" ref="J189:AG189" si="68">SUM(J187:J188)</f>
        <v>0</v>
      </c>
      <c r="K189" s="692">
        <f t="shared" si="68"/>
        <v>0</v>
      </c>
      <c r="L189" s="692">
        <f t="shared" si="68"/>
        <v>0</v>
      </c>
      <c r="M189" s="692">
        <f t="shared" si="68"/>
        <v>0</v>
      </c>
      <c r="N189" s="692">
        <f t="shared" si="68"/>
        <v>0</v>
      </c>
      <c r="O189" s="692">
        <f t="shared" si="68"/>
        <v>0</v>
      </c>
      <c r="P189" s="692">
        <f t="shared" si="68"/>
        <v>0</v>
      </c>
      <c r="Q189" s="692">
        <f t="shared" si="68"/>
        <v>0</v>
      </c>
      <c r="R189" s="692">
        <f t="shared" si="68"/>
        <v>0</v>
      </c>
      <c r="S189" s="692">
        <f t="shared" si="68"/>
        <v>0</v>
      </c>
      <c r="T189" s="692">
        <f t="shared" si="68"/>
        <v>0</v>
      </c>
      <c r="U189" s="692">
        <f t="shared" si="68"/>
        <v>0</v>
      </c>
      <c r="V189" s="692">
        <f t="shared" si="68"/>
        <v>0</v>
      </c>
      <c r="W189" s="692">
        <f t="shared" si="68"/>
        <v>0</v>
      </c>
      <c r="X189" s="692">
        <f t="shared" si="68"/>
        <v>0</v>
      </c>
      <c r="Y189" s="692">
        <f t="shared" si="68"/>
        <v>0</v>
      </c>
      <c r="Z189" s="692">
        <f t="shared" si="68"/>
        <v>0</v>
      </c>
      <c r="AA189" s="692">
        <f t="shared" si="68"/>
        <v>0</v>
      </c>
      <c r="AB189" s="692">
        <f t="shared" si="68"/>
        <v>0</v>
      </c>
      <c r="AC189" s="692">
        <f t="shared" si="68"/>
        <v>0</v>
      </c>
      <c r="AD189" s="692">
        <f t="shared" si="68"/>
        <v>0</v>
      </c>
      <c r="AE189" s="692">
        <f t="shared" si="68"/>
        <v>0</v>
      </c>
      <c r="AF189" s="692">
        <f t="shared" si="68"/>
        <v>0</v>
      </c>
      <c r="AG189" s="692">
        <f t="shared" si="68"/>
        <v>0</v>
      </c>
    </row>
    <row r="190" spans="1:33" s="649" customFormat="1" ht="17.25" customHeight="1" outlineLevel="1" thickTop="1">
      <c r="A190" s="894"/>
      <c r="B190" s="287"/>
      <c r="C190" s="273" t="str">
        <f>Product_09</f>
        <v>Spare Parts</v>
      </c>
      <c r="D190" s="287"/>
      <c r="E190" s="287"/>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E190" s="287"/>
      <c r="AF190" s="287"/>
      <c r="AG190" s="287"/>
    </row>
    <row r="191" spans="1:33" s="649" customFormat="1" ht="17.25" customHeight="1" outlineLevel="1">
      <c r="A191" s="894"/>
      <c r="B191" s="287"/>
      <c r="C191" s="87" t="str">
        <f>"Reference: Net Sales " &amp;C190</f>
        <v>Reference: Net Sales Spare Parts</v>
      </c>
      <c r="D191" s="8" t="str">
        <f>Currency_Label</f>
        <v>USD</v>
      </c>
      <c r="E191" s="287"/>
      <c r="F191" s="234" t="s">
        <v>54</v>
      </c>
      <c r="G191" s="128"/>
      <c r="H191" s="128"/>
      <c r="I191" s="71">
        <f>SUM(J191:AG191)</f>
        <v>199650</v>
      </c>
      <c r="J191" s="131">
        <f>Sales!J78*J$6</f>
        <v>9625</v>
      </c>
      <c r="K191" s="131">
        <f>Sales!K78*K$6</f>
        <v>10175</v>
      </c>
      <c r="L191" s="131">
        <f>Sales!L78*L$6</f>
        <v>10175</v>
      </c>
      <c r="M191" s="131">
        <f>Sales!M78*M$6</f>
        <v>10175</v>
      </c>
      <c r="N191" s="131">
        <f>Sales!N78*N$6</f>
        <v>10175</v>
      </c>
      <c r="O191" s="131">
        <f>Sales!O78*O$6</f>
        <v>10175</v>
      </c>
      <c r="P191" s="131">
        <f>Sales!P78*P$6</f>
        <v>10175</v>
      </c>
      <c r="Q191" s="131">
        <f>Sales!Q78*Q$6</f>
        <v>9075</v>
      </c>
      <c r="R191" s="131">
        <f>Sales!R78*R$6</f>
        <v>9075</v>
      </c>
      <c r="S191" s="131">
        <f>Sales!S78*S$6</f>
        <v>9075</v>
      </c>
      <c r="T191" s="131">
        <f>Sales!T78*T$6</f>
        <v>9075</v>
      </c>
      <c r="U191" s="131">
        <f>Sales!U78*U$6</f>
        <v>9075</v>
      </c>
      <c r="V191" s="131">
        <f>Sales!V78*V$6</f>
        <v>9075</v>
      </c>
      <c r="W191" s="131">
        <f>Sales!W78*W$6</f>
        <v>9075</v>
      </c>
      <c r="X191" s="131">
        <f>Sales!X78*X$6</f>
        <v>9075</v>
      </c>
      <c r="Y191" s="131">
        <f>Sales!Y78*Y$6</f>
        <v>9075</v>
      </c>
      <c r="Z191" s="131">
        <f>Sales!Z78*Z$6</f>
        <v>9075</v>
      </c>
      <c r="AA191" s="131">
        <f>Sales!AA78*AA$6</f>
        <v>9075</v>
      </c>
      <c r="AB191" s="131">
        <f>Sales!AB78*AB$6</f>
        <v>9075</v>
      </c>
      <c r="AC191" s="131">
        <f>Sales!AC78*AC$6</f>
        <v>9075</v>
      </c>
      <c r="AD191" s="131">
        <f>Sales!AD78*AD$6</f>
        <v>11000</v>
      </c>
      <c r="AE191" s="131">
        <f>Sales!AE78*AE$6</f>
        <v>0</v>
      </c>
      <c r="AF191" s="131">
        <f>Sales!AF78*AF$6</f>
        <v>0</v>
      </c>
      <c r="AG191" s="131">
        <f>Sales!AG78*AG$6</f>
        <v>0</v>
      </c>
    </row>
    <row r="192" spans="1:33" s="649" customFormat="1" ht="17.25" customHeight="1" outlineLevel="1">
      <c r="A192" s="894"/>
      <c r="B192" s="287"/>
      <c r="C192" s="649" t="s">
        <v>253</v>
      </c>
      <c r="D192" s="8" t="s">
        <v>255</v>
      </c>
      <c r="E192" s="287"/>
      <c r="F192" s="271"/>
      <c r="G192" s="330"/>
      <c r="H192" s="287"/>
      <c r="I192" s="702"/>
      <c r="J192" s="233">
        <f t="shared" ref="J192:AG192" si="69">$F$125*$F192*J191</f>
        <v>0</v>
      </c>
      <c r="K192" s="233">
        <f t="shared" si="69"/>
        <v>0</v>
      </c>
      <c r="L192" s="233">
        <f t="shared" si="69"/>
        <v>0</v>
      </c>
      <c r="M192" s="233">
        <f t="shared" si="69"/>
        <v>0</v>
      </c>
      <c r="N192" s="233">
        <f t="shared" si="69"/>
        <v>0</v>
      </c>
      <c r="O192" s="233">
        <f t="shared" si="69"/>
        <v>0</v>
      </c>
      <c r="P192" s="233">
        <f t="shared" si="69"/>
        <v>0</v>
      </c>
      <c r="Q192" s="233">
        <f t="shared" si="69"/>
        <v>0</v>
      </c>
      <c r="R192" s="233">
        <f t="shared" si="69"/>
        <v>0</v>
      </c>
      <c r="S192" s="233">
        <f t="shared" si="69"/>
        <v>0</v>
      </c>
      <c r="T192" s="233">
        <f t="shared" si="69"/>
        <v>0</v>
      </c>
      <c r="U192" s="233">
        <f t="shared" si="69"/>
        <v>0</v>
      </c>
      <c r="V192" s="233">
        <f t="shared" si="69"/>
        <v>0</v>
      </c>
      <c r="W192" s="233">
        <f t="shared" si="69"/>
        <v>0</v>
      </c>
      <c r="X192" s="233">
        <f t="shared" si="69"/>
        <v>0</v>
      </c>
      <c r="Y192" s="233">
        <f t="shared" si="69"/>
        <v>0</v>
      </c>
      <c r="Z192" s="233">
        <f t="shared" si="69"/>
        <v>0</v>
      </c>
      <c r="AA192" s="233">
        <f t="shared" si="69"/>
        <v>0</v>
      </c>
      <c r="AB192" s="233">
        <f t="shared" si="69"/>
        <v>0</v>
      </c>
      <c r="AC192" s="233">
        <f t="shared" si="69"/>
        <v>0</v>
      </c>
      <c r="AD192" s="233">
        <f t="shared" si="69"/>
        <v>0</v>
      </c>
      <c r="AE192" s="233">
        <f t="shared" si="69"/>
        <v>0</v>
      </c>
      <c r="AF192" s="233">
        <f t="shared" si="69"/>
        <v>0</v>
      </c>
      <c r="AG192" s="233">
        <f t="shared" si="69"/>
        <v>0</v>
      </c>
    </row>
    <row r="193" spans="1:33" s="649" customFormat="1" ht="17.25" customHeight="1" outlineLevel="1">
      <c r="A193" s="894"/>
      <c r="B193" s="287"/>
      <c r="C193" s="48" t="s">
        <v>249</v>
      </c>
      <c r="D193" s="8" t="str">
        <f>Currency_Label</f>
        <v>USD</v>
      </c>
      <c r="E193" s="287"/>
      <c r="F193" s="287"/>
      <c r="G193" s="330"/>
      <c r="H193" s="287"/>
      <c r="I193" s="287"/>
      <c r="J193" s="80">
        <f t="shared" ref="J193:AG193" si="70">IF(J192-I192&gt;0,MIN(J192-I192,MAX(J192-J195,-J120)),MAX(J192-J195,-J120))</f>
        <v>0</v>
      </c>
      <c r="K193" s="80">
        <f t="shared" si="70"/>
        <v>0</v>
      </c>
      <c r="L193" s="80">
        <f t="shared" si="70"/>
        <v>0</v>
      </c>
      <c r="M193" s="80">
        <f t="shared" si="70"/>
        <v>0</v>
      </c>
      <c r="N193" s="80">
        <f t="shared" si="70"/>
        <v>0</v>
      </c>
      <c r="O193" s="80">
        <f t="shared" si="70"/>
        <v>0</v>
      </c>
      <c r="P193" s="80">
        <f t="shared" si="70"/>
        <v>0</v>
      </c>
      <c r="Q193" s="80">
        <f t="shared" si="70"/>
        <v>0</v>
      </c>
      <c r="R193" s="80">
        <f t="shared" si="70"/>
        <v>0</v>
      </c>
      <c r="S193" s="80">
        <f t="shared" si="70"/>
        <v>0</v>
      </c>
      <c r="T193" s="80">
        <f t="shared" si="70"/>
        <v>0</v>
      </c>
      <c r="U193" s="80">
        <f t="shared" si="70"/>
        <v>0</v>
      </c>
      <c r="V193" s="80">
        <f t="shared" si="70"/>
        <v>0</v>
      </c>
      <c r="W193" s="80">
        <f t="shared" si="70"/>
        <v>0</v>
      </c>
      <c r="X193" s="80">
        <f t="shared" si="70"/>
        <v>0</v>
      </c>
      <c r="Y193" s="80">
        <f t="shared" si="70"/>
        <v>0</v>
      </c>
      <c r="Z193" s="80">
        <f t="shared" si="70"/>
        <v>0</v>
      </c>
      <c r="AA193" s="80">
        <f t="shared" si="70"/>
        <v>0</v>
      </c>
      <c r="AB193" s="80">
        <f t="shared" si="70"/>
        <v>0</v>
      </c>
      <c r="AC193" s="80">
        <f t="shared" si="70"/>
        <v>0</v>
      </c>
      <c r="AD193" s="80">
        <f t="shared" si="70"/>
        <v>0</v>
      </c>
      <c r="AE193" s="80">
        <f t="shared" si="70"/>
        <v>0</v>
      </c>
      <c r="AF193" s="80">
        <f t="shared" si="70"/>
        <v>0</v>
      </c>
      <c r="AG193" s="80">
        <f t="shared" si="70"/>
        <v>0</v>
      </c>
    </row>
    <row r="194" spans="1:33" s="649" customFormat="1" ht="17.25" customHeight="1" outlineLevel="1">
      <c r="A194" s="894"/>
      <c r="B194" s="287"/>
      <c r="C194" s="277" t="s">
        <v>250</v>
      </c>
      <c r="D194" s="287"/>
      <c r="E194" s="287"/>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E194" s="287"/>
      <c r="AF194" s="287"/>
      <c r="AG194" s="287"/>
    </row>
    <row r="195" spans="1:33" s="649" customFormat="1" ht="17.25" customHeight="1" outlineLevel="1">
      <c r="A195" s="894"/>
      <c r="B195" s="287"/>
      <c r="C195" s="649" t="s">
        <v>140</v>
      </c>
      <c r="D195" s="8" t="str">
        <f>Currency_Label</f>
        <v>USD</v>
      </c>
      <c r="E195" s="287"/>
      <c r="F195" s="287"/>
      <c r="G195" s="287"/>
      <c r="H195" s="287"/>
      <c r="I195" s="287"/>
      <c r="J195" s="259">
        <f t="shared" ref="J195:AG195" si="71">I197*J$6</f>
        <v>0</v>
      </c>
      <c r="K195" s="259">
        <f t="shared" si="71"/>
        <v>0</v>
      </c>
      <c r="L195" s="259">
        <f t="shared" si="71"/>
        <v>0</v>
      </c>
      <c r="M195" s="259">
        <f t="shared" si="71"/>
        <v>0</v>
      </c>
      <c r="N195" s="259">
        <f t="shared" si="71"/>
        <v>0</v>
      </c>
      <c r="O195" s="259">
        <f t="shared" si="71"/>
        <v>0</v>
      </c>
      <c r="P195" s="259">
        <f t="shared" si="71"/>
        <v>0</v>
      </c>
      <c r="Q195" s="259">
        <f t="shared" si="71"/>
        <v>0</v>
      </c>
      <c r="R195" s="259">
        <f t="shared" si="71"/>
        <v>0</v>
      </c>
      <c r="S195" s="259">
        <f t="shared" si="71"/>
        <v>0</v>
      </c>
      <c r="T195" s="259">
        <f t="shared" si="71"/>
        <v>0</v>
      </c>
      <c r="U195" s="259">
        <f t="shared" si="71"/>
        <v>0</v>
      </c>
      <c r="V195" s="259">
        <f t="shared" si="71"/>
        <v>0</v>
      </c>
      <c r="W195" s="259">
        <f t="shared" si="71"/>
        <v>0</v>
      </c>
      <c r="X195" s="259">
        <f t="shared" si="71"/>
        <v>0</v>
      </c>
      <c r="Y195" s="259">
        <f t="shared" si="71"/>
        <v>0</v>
      </c>
      <c r="Z195" s="259">
        <f t="shared" si="71"/>
        <v>0</v>
      </c>
      <c r="AA195" s="259">
        <f t="shared" si="71"/>
        <v>0</v>
      </c>
      <c r="AB195" s="259">
        <f t="shared" si="71"/>
        <v>0</v>
      </c>
      <c r="AC195" s="259">
        <f t="shared" si="71"/>
        <v>0</v>
      </c>
      <c r="AD195" s="259">
        <f t="shared" si="71"/>
        <v>0</v>
      </c>
      <c r="AE195" s="259">
        <f t="shared" si="71"/>
        <v>0</v>
      </c>
      <c r="AF195" s="259">
        <f t="shared" si="71"/>
        <v>0</v>
      </c>
      <c r="AG195" s="259">
        <f t="shared" si="71"/>
        <v>0</v>
      </c>
    </row>
    <row r="196" spans="1:33" s="649" customFormat="1" ht="17.25" customHeight="1" outlineLevel="1">
      <c r="A196" s="894"/>
      <c r="B196" s="287"/>
      <c r="C196" s="40" t="s">
        <v>251</v>
      </c>
      <c r="D196" s="8" t="str">
        <f>Currency_Label</f>
        <v>USD</v>
      </c>
      <c r="E196" s="287"/>
      <c r="F196" s="287"/>
      <c r="G196" s="287"/>
      <c r="H196" s="287"/>
      <c r="I196" s="71">
        <f>SUM(J196:AG196)</f>
        <v>0</v>
      </c>
      <c r="J196" s="80">
        <f t="shared" ref="J196:AG196" si="72">J193</f>
        <v>0</v>
      </c>
      <c r="K196" s="80">
        <f t="shared" si="72"/>
        <v>0</v>
      </c>
      <c r="L196" s="80">
        <f t="shared" si="72"/>
        <v>0</v>
      </c>
      <c r="M196" s="80">
        <f t="shared" si="72"/>
        <v>0</v>
      </c>
      <c r="N196" s="80">
        <f t="shared" si="72"/>
        <v>0</v>
      </c>
      <c r="O196" s="80">
        <f t="shared" si="72"/>
        <v>0</v>
      </c>
      <c r="P196" s="80">
        <f t="shared" si="72"/>
        <v>0</v>
      </c>
      <c r="Q196" s="80">
        <f t="shared" si="72"/>
        <v>0</v>
      </c>
      <c r="R196" s="80">
        <f t="shared" si="72"/>
        <v>0</v>
      </c>
      <c r="S196" s="80">
        <f t="shared" si="72"/>
        <v>0</v>
      </c>
      <c r="T196" s="80">
        <f t="shared" si="72"/>
        <v>0</v>
      </c>
      <c r="U196" s="80">
        <f t="shared" si="72"/>
        <v>0</v>
      </c>
      <c r="V196" s="80">
        <f t="shared" si="72"/>
        <v>0</v>
      </c>
      <c r="W196" s="80">
        <f t="shared" si="72"/>
        <v>0</v>
      </c>
      <c r="X196" s="80">
        <f t="shared" si="72"/>
        <v>0</v>
      </c>
      <c r="Y196" s="80">
        <f t="shared" si="72"/>
        <v>0</v>
      </c>
      <c r="Z196" s="80">
        <f t="shared" si="72"/>
        <v>0</v>
      </c>
      <c r="AA196" s="80">
        <f t="shared" si="72"/>
        <v>0</v>
      </c>
      <c r="AB196" s="80">
        <f t="shared" si="72"/>
        <v>0</v>
      </c>
      <c r="AC196" s="80">
        <f t="shared" si="72"/>
        <v>0</v>
      </c>
      <c r="AD196" s="80">
        <f t="shared" si="72"/>
        <v>0</v>
      </c>
      <c r="AE196" s="80">
        <f t="shared" si="72"/>
        <v>0</v>
      </c>
      <c r="AF196" s="80">
        <f t="shared" si="72"/>
        <v>0</v>
      </c>
      <c r="AG196" s="80">
        <f t="shared" si="72"/>
        <v>0</v>
      </c>
    </row>
    <row r="197" spans="1:33" s="649" customFormat="1" ht="17.25" customHeight="1" outlineLevel="1" thickBot="1">
      <c r="A197" s="894"/>
      <c r="B197" s="287"/>
      <c r="C197" s="649" t="s">
        <v>141</v>
      </c>
      <c r="D197" s="8" t="str">
        <f>Currency_Label</f>
        <v>USD</v>
      </c>
      <c r="E197" s="287"/>
      <c r="F197" s="287"/>
      <c r="G197" s="287"/>
      <c r="H197" s="287"/>
      <c r="I197" s="147">
        <f>Inputs!N240</f>
        <v>0</v>
      </c>
      <c r="J197" s="692">
        <f t="shared" ref="J197:AG197" si="73">SUM(J195:J196)</f>
        <v>0</v>
      </c>
      <c r="K197" s="692">
        <f t="shared" si="73"/>
        <v>0</v>
      </c>
      <c r="L197" s="692">
        <f t="shared" si="73"/>
        <v>0</v>
      </c>
      <c r="M197" s="692">
        <f t="shared" si="73"/>
        <v>0</v>
      </c>
      <c r="N197" s="692">
        <f t="shared" si="73"/>
        <v>0</v>
      </c>
      <c r="O197" s="692">
        <f t="shared" si="73"/>
        <v>0</v>
      </c>
      <c r="P197" s="692">
        <f t="shared" si="73"/>
        <v>0</v>
      </c>
      <c r="Q197" s="692">
        <f t="shared" si="73"/>
        <v>0</v>
      </c>
      <c r="R197" s="692">
        <f t="shared" si="73"/>
        <v>0</v>
      </c>
      <c r="S197" s="692">
        <f t="shared" si="73"/>
        <v>0</v>
      </c>
      <c r="T197" s="692">
        <f t="shared" si="73"/>
        <v>0</v>
      </c>
      <c r="U197" s="692">
        <f t="shared" si="73"/>
        <v>0</v>
      </c>
      <c r="V197" s="692">
        <f t="shared" si="73"/>
        <v>0</v>
      </c>
      <c r="W197" s="692">
        <f t="shared" si="73"/>
        <v>0</v>
      </c>
      <c r="X197" s="692">
        <f t="shared" si="73"/>
        <v>0</v>
      </c>
      <c r="Y197" s="692">
        <f t="shared" si="73"/>
        <v>0</v>
      </c>
      <c r="Z197" s="692">
        <f t="shared" si="73"/>
        <v>0</v>
      </c>
      <c r="AA197" s="692">
        <f t="shared" si="73"/>
        <v>0</v>
      </c>
      <c r="AB197" s="692">
        <f t="shared" si="73"/>
        <v>0</v>
      </c>
      <c r="AC197" s="692">
        <f t="shared" si="73"/>
        <v>0</v>
      </c>
      <c r="AD197" s="692">
        <f t="shared" si="73"/>
        <v>0</v>
      </c>
      <c r="AE197" s="692">
        <f t="shared" si="73"/>
        <v>0</v>
      </c>
      <c r="AF197" s="692">
        <f t="shared" si="73"/>
        <v>0</v>
      </c>
      <c r="AG197" s="692">
        <f t="shared" si="73"/>
        <v>0</v>
      </c>
    </row>
    <row r="198" spans="1:33" s="649" customFormat="1" ht="17.25" customHeight="1" outlineLevel="1" thickTop="1">
      <c r="A198" s="894"/>
      <c r="B198" s="287"/>
      <c r="C198" s="273" t="str">
        <f>Product_10</f>
        <v>License Fees</v>
      </c>
      <c r="D198" s="287"/>
      <c r="E198" s="287"/>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E198" s="287"/>
      <c r="AF198" s="287"/>
      <c r="AG198" s="287"/>
    </row>
    <row r="199" spans="1:33" s="649" customFormat="1" ht="17.25" customHeight="1" outlineLevel="1">
      <c r="A199" s="894"/>
      <c r="B199" s="287"/>
      <c r="C199" s="87" t="str">
        <f>"Reference: Net Sales " &amp;C198</f>
        <v>Reference: Net Sales License Fees</v>
      </c>
      <c r="D199" s="8" t="str">
        <f>Currency_Label</f>
        <v>USD</v>
      </c>
      <c r="E199" s="287"/>
      <c r="F199" s="234" t="s">
        <v>54</v>
      </c>
      <c r="G199" s="128"/>
      <c r="H199" s="128"/>
      <c r="I199" s="71">
        <f>SUM(J199:AG199)</f>
        <v>500200</v>
      </c>
      <c r="J199" s="131">
        <f>Sales!J79*J$6</f>
        <v>0</v>
      </c>
      <c r="K199" s="131">
        <f>Sales!K79*K$6</f>
        <v>0</v>
      </c>
      <c r="L199" s="131">
        <f>Sales!L79*L$6</f>
        <v>0</v>
      </c>
      <c r="M199" s="131">
        <f>Sales!M79*M$6</f>
        <v>0</v>
      </c>
      <c r="N199" s="131">
        <f>Sales!N79*N$6</f>
        <v>0</v>
      </c>
      <c r="O199" s="131">
        <f>Sales!O79*O$6</f>
        <v>0</v>
      </c>
      <c r="P199" s="131">
        <f>Sales!P79*P$6</f>
        <v>100020</v>
      </c>
      <c r="Q199" s="131">
        <f>Sales!Q79*Q$6</f>
        <v>0</v>
      </c>
      <c r="R199" s="131">
        <f>Sales!R79*R$6</f>
        <v>0</v>
      </c>
      <c r="S199" s="131">
        <f>Sales!S79*S$6</f>
        <v>100030</v>
      </c>
      <c r="T199" s="131">
        <f>Sales!T79*T$6</f>
        <v>0</v>
      </c>
      <c r="U199" s="131">
        <f>Sales!U79*U$6</f>
        <v>0</v>
      </c>
      <c r="V199" s="131">
        <f>Sales!V79*V$6</f>
        <v>100040</v>
      </c>
      <c r="W199" s="131">
        <f>Sales!W79*W$6</f>
        <v>0</v>
      </c>
      <c r="X199" s="131">
        <f>Sales!X79*X$6</f>
        <v>0</v>
      </c>
      <c r="Y199" s="131">
        <f>Sales!Y79*Y$6</f>
        <v>100050</v>
      </c>
      <c r="Z199" s="131">
        <f>Sales!Z79*Z$6</f>
        <v>0</v>
      </c>
      <c r="AA199" s="131">
        <f>Sales!AA79*AA$6</f>
        <v>0</v>
      </c>
      <c r="AB199" s="131">
        <f>Sales!AB79*AB$6</f>
        <v>100060</v>
      </c>
      <c r="AC199" s="131">
        <f>Sales!AC79*AC$6</f>
        <v>0</v>
      </c>
      <c r="AD199" s="131">
        <f>Sales!AD79*AD$6</f>
        <v>0</v>
      </c>
      <c r="AE199" s="131">
        <f>Sales!AE79*AE$6</f>
        <v>0</v>
      </c>
      <c r="AF199" s="131">
        <f>Sales!AF79*AF$6</f>
        <v>0</v>
      </c>
      <c r="AG199" s="131">
        <f>Sales!AG79*AG$6</f>
        <v>0</v>
      </c>
    </row>
    <row r="200" spans="1:33" s="649" customFormat="1" ht="17.25" customHeight="1" outlineLevel="1">
      <c r="A200" s="894"/>
      <c r="B200" s="287"/>
      <c r="C200" s="649" t="s">
        <v>253</v>
      </c>
      <c r="D200" s="8" t="s">
        <v>255</v>
      </c>
      <c r="E200" s="287"/>
      <c r="F200" s="271"/>
      <c r="G200" s="330"/>
      <c r="H200" s="287"/>
      <c r="I200" s="702"/>
      <c r="J200" s="233">
        <f t="shared" ref="J200:AG200" si="74">$F$125*$F200*J199</f>
        <v>0</v>
      </c>
      <c r="K200" s="233">
        <f t="shared" si="74"/>
        <v>0</v>
      </c>
      <c r="L200" s="233">
        <f t="shared" si="74"/>
        <v>0</v>
      </c>
      <c r="M200" s="233">
        <f t="shared" si="74"/>
        <v>0</v>
      </c>
      <c r="N200" s="233">
        <f t="shared" si="74"/>
        <v>0</v>
      </c>
      <c r="O200" s="233">
        <f t="shared" si="74"/>
        <v>0</v>
      </c>
      <c r="P200" s="233">
        <f t="shared" si="74"/>
        <v>0</v>
      </c>
      <c r="Q200" s="233">
        <f t="shared" si="74"/>
        <v>0</v>
      </c>
      <c r="R200" s="233">
        <f t="shared" si="74"/>
        <v>0</v>
      </c>
      <c r="S200" s="233">
        <f t="shared" si="74"/>
        <v>0</v>
      </c>
      <c r="T200" s="233">
        <f t="shared" si="74"/>
        <v>0</v>
      </c>
      <c r="U200" s="233">
        <f t="shared" si="74"/>
        <v>0</v>
      </c>
      <c r="V200" s="233">
        <f t="shared" si="74"/>
        <v>0</v>
      </c>
      <c r="W200" s="233">
        <f t="shared" si="74"/>
        <v>0</v>
      </c>
      <c r="X200" s="233">
        <f t="shared" si="74"/>
        <v>0</v>
      </c>
      <c r="Y200" s="233">
        <f t="shared" si="74"/>
        <v>0</v>
      </c>
      <c r="Z200" s="233">
        <f t="shared" si="74"/>
        <v>0</v>
      </c>
      <c r="AA200" s="233">
        <f t="shared" si="74"/>
        <v>0</v>
      </c>
      <c r="AB200" s="233">
        <f t="shared" si="74"/>
        <v>0</v>
      </c>
      <c r="AC200" s="233">
        <f t="shared" si="74"/>
        <v>0</v>
      </c>
      <c r="AD200" s="233">
        <f t="shared" si="74"/>
        <v>0</v>
      </c>
      <c r="AE200" s="233">
        <f t="shared" si="74"/>
        <v>0</v>
      </c>
      <c r="AF200" s="233">
        <f t="shared" si="74"/>
        <v>0</v>
      </c>
      <c r="AG200" s="233">
        <f t="shared" si="74"/>
        <v>0</v>
      </c>
    </row>
    <row r="201" spans="1:33" s="649" customFormat="1" ht="17.25" customHeight="1" outlineLevel="1">
      <c r="A201" s="894"/>
      <c r="B201" s="287"/>
      <c r="C201" s="48" t="s">
        <v>249</v>
      </c>
      <c r="D201" s="8" t="str">
        <f>Currency_Label</f>
        <v>USD</v>
      </c>
      <c r="E201" s="287"/>
      <c r="F201" s="287"/>
      <c r="G201" s="330"/>
      <c r="H201" s="287"/>
      <c r="I201" s="287"/>
      <c r="J201" s="80">
        <f t="shared" ref="J201:AG201" si="75">IF(J200-I200&gt;0,MIN(J200-I200,MAX(J200-J203,-J121)),MAX(J200-J203,-J121))</f>
        <v>0</v>
      </c>
      <c r="K201" s="80">
        <f t="shared" si="75"/>
        <v>0</v>
      </c>
      <c r="L201" s="80">
        <f t="shared" si="75"/>
        <v>0</v>
      </c>
      <c r="M201" s="80">
        <f t="shared" si="75"/>
        <v>0</v>
      </c>
      <c r="N201" s="80">
        <f t="shared" si="75"/>
        <v>0</v>
      </c>
      <c r="O201" s="80">
        <f t="shared" si="75"/>
        <v>0</v>
      </c>
      <c r="P201" s="80">
        <f t="shared" si="75"/>
        <v>0</v>
      </c>
      <c r="Q201" s="80">
        <f t="shared" si="75"/>
        <v>0</v>
      </c>
      <c r="R201" s="80">
        <f t="shared" si="75"/>
        <v>0</v>
      </c>
      <c r="S201" s="80">
        <f t="shared" si="75"/>
        <v>0</v>
      </c>
      <c r="T201" s="80">
        <f t="shared" si="75"/>
        <v>0</v>
      </c>
      <c r="U201" s="80">
        <f t="shared" si="75"/>
        <v>0</v>
      </c>
      <c r="V201" s="80">
        <f t="shared" si="75"/>
        <v>0</v>
      </c>
      <c r="W201" s="80">
        <f t="shared" si="75"/>
        <v>0</v>
      </c>
      <c r="X201" s="80">
        <f t="shared" si="75"/>
        <v>0</v>
      </c>
      <c r="Y201" s="80">
        <f t="shared" si="75"/>
        <v>0</v>
      </c>
      <c r="Z201" s="80">
        <f t="shared" si="75"/>
        <v>0</v>
      </c>
      <c r="AA201" s="80">
        <f t="shared" si="75"/>
        <v>0</v>
      </c>
      <c r="AB201" s="80">
        <f t="shared" si="75"/>
        <v>0</v>
      </c>
      <c r="AC201" s="80">
        <f t="shared" si="75"/>
        <v>0</v>
      </c>
      <c r="AD201" s="80">
        <f t="shared" si="75"/>
        <v>0</v>
      </c>
      <c r="AE201" s="80">
        <f t="shared" si="75"/>
        <v>0</v>
      </c>
      <c r="AF201" s="80">
        <f t="shared" si="75"/>
        <v>0</v>
      </c>
      <c r="AG201" s="80">
        <f t="shared" si="75"/>
        <v>0</v>
      </c>
    </row>
    <row r="202" spans="1:33" s="649" customFormat="1" ht="17.25" customHeight="1" outlineLevel="1">
      <c r="A202" s="894"/>
      <c r="B202" s="287"/>
      <c r="C202" s="277" t="s">
        <v>250</v>
      </c>
      <c r="D202" s="287"/>
      <c r="E202" s="287"/>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E202" s="287"/>
      <c r="AF202" s="287"/>
      <c r="AG202" s="287"/>
    </row>
    <row r="203" spans="1:33" s="649" customFormat="1" ht="17.25" customHeight="1" outlineLevel="1">
      <c r="A203" s="894"/>
      <c r="B203" s="287"/>
      <c r="C203" s="649" t="s">
        <v>140</v>
      </c>
      <c r="D203" s="8" t="str">
        <f>Currency_Label</f>
        <v>USD</v>
      </c>
      <c r="E203" s="287"/>
      <c r="F203" s="287"/>
      <c r="G203" s="287"/>
      <c r="H203" s="287"/>
      <c r="I203" s="287"/>
      <c r="J203" s="259">
        <f t="shared" ref="J203:AG203" si="76">I205*J$6</f>
        <v>0</v>
      </c>
      <c r="K203" s="259">
        <f t="shared" si="76"/>
        <v>0</v>
      </c>
      <c r="L203" s="259">
        <f t="shared" si="76"/>
        <v>0</v>
      </c>
      <c r="M203" s="259">
        <f t="shared" si="76"/>
        <v>0</v>
      </c>
      <c r="N203" s="259">
        <f t="shared" si="76"/>
        <v>0</v>
      </c>
      <c r="O203" s="259">
        <f t="shared" si="76"/>
        <v>0</v>
      </c>
      <c r="P203" s="259">
        <f t="shared" si="76"/>
        <v>0</v>
      </c>
      <c r="Q203" s="259">
        <f t="shared" si="76"/>
        <v>0</v>
      </c>
      <c r="R203" s="259">
        <f t="shared" si="76"/>
        <v>0</v>
      </c>
      <c r="S203" s="259">
        <f t="shared" si="76"/>
        <v>0</v>
      </c>
      <c r="T203" s="259">
        <f t="shared" si="76"/>
        <v>0</v>
      </c>
      <c r="U203" s="259">
        <f t="shared" si="76"/>
        <v>0</v>
      </c>
      <c r="V203" s="259">
        <f t="shared" si="76"/>
        <v>0</v>
      </c>
      <c r="W203" s="259">
        <f t="shared" si="76"/>
        <v>0</v>
      </c>
      <c r="X203" s="259">
        <f t="shared" si="76"/>
        <v>0</v>
      </c>
      <c r="Y203" s="259">
        <f t="shared" si="76"/>
        <v>0</v>
      </c>
      <c r="Z203" s="259">
        <f t="shared" si="76"/>
        <v>0</v>
      </c>
      <c r="AA203" s="259">
        <f t="shared" si="76"/>
        <v>0</v>
      </c>
      <c r="AB203" s="259">
        <f t="shared" si="76"/>
        <v>0</v>
      </c>
      <c r="AC203" s="259">
        <f t="shared" si="76"/>
        <v>0</v>
      </c>
      <c r="AD203" s="259">
        <f t="shared" si="76"/>
        <v>0</v>
      </c>
      <c r="AE203" s="259">
        <f t="shared" si="76"/>
        <v>0</v>
      </c>
      <c r="AF203" s="259">
        <f t="shared" si="76"/>
        <v>0</v>
      </c>
      <c r="AG203" s="259">
        <f t="shared" si="76"/>
        <v>0</v>
      </c>
    </row>
    <row r="204" spans="1:33" s="649" customFormat="1" ht="17.25" customHeight="1" outlineLevel="1">
      <c r="A204" s="894"/>
      <c r="B204" s="287"/>
      <c r="C204" s="40" t="s">
        <v>251</v>
      </c>
      <c r="D204" s="8" t="str">
        <f>Currency_Label</f>
        <v>USD</v>
      </c>
      <c r="E204" s="287"/>
      <c r="F204" s="287"/>
      <c r="G204" s="287"/>
      <c r="H204" s="287"/>
      <c r="I204" s="71">
        <f>SUM(J204:AG204)</f>
        <v>0</v>
      </c>
      <c r="J204" s="80">
        <f t="shared" ref="J204:AG204" si="77">J201</f>
        <v>0</v>
      </c>
      <c r="K204" s="80">
        <f t="shared" si="77"/>
        <v>0</v>
      </c>
      <c r="L204" s="80">
        <f t="shared" si="77"/>
        <v>0</v>
      </c>
      <c r="M204" s="80">
        <f t="shared" si="77"/>
        <v>0</v>
      </c>
      <c r="N204" s="80">
        <f t="shared" si="77"/>
        <v>0</v>
      </c>
      <c r="O204" s="80">
        <f t="shared" si="77"/>
        <v>0</v>
      </c>
      <c r="P204" s="80">
        <f t="shared" si="77"/>
        <v>0</v>
      </c>
      <c r="Q204" s="80">
        <f t="shared" si="77"/>
        <v>0</v>
      </c>
      <c r="R204" s="80">
        <f t="shared" si="77"/>
        <v>0</v>
      </c>
      <c r="S204" s="80">
        <f t="shared" si="77"/>
        <v>0</v>
      </c>
      <c r="T204" s="80">
        <f t="shared" si="77"/>
        <v>0</v>
      </c>
      <c r="U204" s="80">
        <f t="shared" si="77"/>
        <v>0</v>
      </c>
      <c r="V204" s="80">
        <f t="shared" si="77"/>
        <v>0</v>
      </c>
      <c r="W204" s="80">
        <f t="shared" si="77"/>
        <v>0</v>
      </c>
      <c r="X204" s="80">
        <f t="shared" si="77"/>
        <v>0</v>
      </c>
      <c r="Y204" s="80">
        <f t="shared" si="77"/>
        <v>0</v>
      </c>
      <c r="Z204" s="80">
        <f t="shared" si="77"/>
        <v>0</v>
      </c>
      <c r="AA204" s="80">
        <f t="shared" si="77"/>
        <v>0</v>
      </c>
      <c r="AB204" s="80">
        <f t="shared" si="77"/>
        <v>0</v>
      </c>
      <c r="AC204" s="80">
        <f t="shared" si="77"/>
        <v>0</v>
      </c>
      <c r="AD204" s="80">
        <f t="shared" si="77"/>
        <v>0</v>
      </c>
      <c r="AE204" s="80">
        <f t="shared" si="77"/>
        <v>0</v>
      </c>
      <c r="AF204" s="80">
        <f t="shared" si="77"/>
        <v>0</v>
      </c>
      <c r="AG204" s="80">
        <f t="shared" si="77"/>
        <v>0</v>
      </c>
    </row>
    <row r="205" spans="1:33" s="649" customFormat="1" ht="17.25" customHeight="1" outlineLevel="1" thickBot="1">
      <c r="A205" s="894"/>
      <c r="B205" s="287"/>
      <c r="C205" s="649" t="s">
        <v>141</v>
      </c>
      <c r="D205" s="8" t="str">
        <f>Currency_Label</f>
        <v>USD</v>
      </c>
      <c r="E205" s="287"/>
      <c r="F205" s="287"/>
      <c r="G205" s="287"/>
      <c r="H205" s="287"/>
      <c r="I205" s="147">
        <f>Inputs!N241</f>
        <v>0</v>
      </c>
      <c r="J205" s="692">
        <f t="shared" ref="J205:AG205" si="78">SUM(J203:J204)</f>
        <v>0</v>
      </c>
      <c r="K205" s="692">
        <f t="shared" si="78"/>
        <v>0</v>
      </c>
      <c r="L205" s="692">
        <f t="shared" si="78"/>
        <v>0</v>
      </c>
      <c r="M205" s="692">
        <f t="shared" si="78"/>
        <v>0</v>
      </c>
      <c r="N205" s="692">
        <f t="shared" si="78"/>
        <v>0</v>
      </c>
      <c r="O205" s="692">
        <f t="shared" si="78"/>
        <v>0</v>
      </c>
      <c r="P205" s="692">
        <f t="shared" si="78"/>
        <v>0</v>
      </c>
      <c r="Q205" s="692">
        <f t="shared" si="78"/>
        <v>0</v>
      </c>
      <c r="R205" s="692">
        <f t="shared" si="78"/>
        <v>0</v>
      </c>
      <c r="S205" s="692">
        <f t="shared" si="78"/>
        <v>0</v>
      </c>
      <c r="T205" s="692">
        <f t="shared" si="78"/>
        <v>0</v>
      </c>
      <c r="U205" s="692">
        <f t="shared" si="78"/>
        <v>0</v>
      </c>
      <c r="V205" s="692">
        <f t="shared" si="78"/>
        <v>0</v>
      </c>
      <c r="W205" s="692">
        <f t="shared" si="78"/>
        <v>0</v>
      </c>
      <c r="X205" s="692">
        <f t="shared" si="78"/>
        <v>0</v>
      </c>
      <c r="Y205" s="692">
        <f t="shared" si="78"/>
        <v>0</v>
      </c>
      <c r="Z205" s="692">
        <f t="shared" si="78"/>
        <v>0</v>
      </c>
      <c r="AA205" s="692">
        <f t="shared" si="78"/>
        <v>0</v>
      </c>
      <c r="AB205" s="692">
        <f t="shared" si="78"/>
        <v>0</v>
      </c>
      <c r="AC205" s="692">
        <f t="shared" si="78"/>
        <v>0</v>
      </c>
      <c r="AD205" s="692">
        <f t="shared" si="78"/>
        <v>0</v>
      </c>
      <c r="AE205" s="692">
        <f t="shared" si="78"/>
        <v>0</v>
      </c>
      <c r="AF205" s="692">
        <f t="shared" si="78"/>
        <v>0</v>
      </c>
      <c r="AG205" s="692">
        <f t="shared" si="78"/>
        <v>0</v>
      </c>
    </row>
    <row r="206" spans="1:33" s="649" customFormat="1" ht="17.25" customHeight="1" outlineLevel="1" thickTop="1">
      <c r="A206" s="894"/>
      <c r="B206" s="287"/>
      <c r="C206" s="287"/>
      <c r="D206" s="287"/>
      <c r="E206" s="287"/>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E206" s="287"/>
      <c r="AF206" s="287"/>
      <c r="AG206" s="287"/>
    </row>
    <row r="207" spans="1:33" s="649" customFormat="1" ht="17.25" customHeight="1" outlineLevel="1">
      <c r="A207" s="894"/>
      <c r="B207" s="287"/>
      <c r="C207" s="279" t="s">
        <v>347</v>
      </c>
      <c r="D207" s="287"/>
      <c r="E207" s="287"/>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E207" s="287"/>
      <c r="AF207" s="287"/>
      <c r="AG207" s="287"/>
    </row>
    <row r="208" spans="1:33" s="649" customFormat="1" ht="17.25" customHeight="1" outlineLevel="1">
      <c r="A208" s="894"/>
      <c r="B208" s="287"/>
      <c r="C208" s="273" t="s">
        <v>250</v>
      </c>
      <c r="D208" s="287"/>
      <c r="E208" s="287"/>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E208" s="287"/>
      <c r="AF208" s="287"/>
      <c r="AG208" s="287"/>
    </row>
    <row r="209" spans="1:33" s="649" customFormat="1" ht="17.25" customHeight="1" outlineLevel="1">
      <c r="A209" s="894"/>
      <c r="B209" s="287"/>
      <c r="C209" s="649" t="s">
        <v>140</v>
      </c>
      <c r="D209" s="8" t="str">
        <f>Currency_Label</f>
        <v>USD</v>
      </c>
      <c r="E209" s="287"/>
      <c r="F209" s="287"/>
      <c r="G209" s="287"/>
      <c r="H209" s="287"/>
      <c r="I209" s="287"/>
      <c r="J209" s="259">
        <f t="shared" ref="J209:AG209" si="79">I211*J$6</f>
        <v>12000</v>
      </c>
      <c r="K209" s="259">
        <f t="shared" si="79"/>
        <v>16570</v>
      </c>
      <c r="L209" s="259">
        <f t="shared" si="79"/>
        <v>18390</v>
      </c>
      <c r="M209" s="259">
        <f t="shared" si="79"/>
        <v>18390</v>
      </c>
      <c r="N209" s="259">
        <f t="shared" si="79"/>
        <v>18390</v>
      </c>
      <c r="O209" s="259">
        <f t="shared" si="79"/>
        <v>18390</v>
      </c>
      <c r="P209" s="259">
        <f t="shared" si="79"/>
        <v>18390</v>
      </c>
      <c r="Q209" s="259">
        <f t="shared" si="79"/>
        <v>18390</v>
      </c>
      <c r="R209" s="259">
        <f t="shared" si="79"/>
        <v>17845</v>
      </c>
      <c r="S209" s="259">
        <f t="shared" si="79"/>
        <v>17845</v>
      </c>
      <c r="T209" s="259">
        <f t="shared" si="79"/>
        <v>19225</v>
      </c>
      <c r="U209" s="259">
        <f t="shared" si="79"/>
        <v>19225</v>
      </c>
      <c r="V209" s="259">
        <f t="shared" si="79"/>
        <v>19225</v>
      </c>
      <c r="W209" s="259">
        <f t="shared" si="79"/>
        <v>19225</v>
      </c>
      <c r="X209" s="259">
        <f t="shared" si="79"/>
        <v>19225</v>
      </c>
      <c r="Y209" s="259">
        <f t="shared" si="79"/>
        <v>19225</v>
      </c>
      <c r="Z209" s="259">
        <f t="shared" si="79"/>
        <v>19225</v>
      </c>
      <c r="AA209" s="259">
        <f t="shared" si="79"/>
        <v>19390</v>
      </c>
      <c r="AB209" s="259">
        <f t="shared" si="79"/>
        <v>19390</v>
      </c>
      <c r="AC209" s="259">
        <f t="shared" si="79"/>
        <v>19390</v>
      </c>
      <c r="AD209" s="259">
        <f t="shared" si="79"/>
        <v>18700</v>
      </c>
      <c r="AE209" s="259">
        <f t="shared" si="79"/>
        <v>0</v>
      </c>
      <c r="AF209" s="259">
        <f t="shared" si="79"/>
        <v>0</v>
      </c>
      <c r="AG209" s="259">
        <f t="shared" si="79"/>
        <v>0</v>
      </c>
    </row>
    <row r="210" spans="1:33" s="649" customFormat="1" ht="17.25" customHeight="1" outlineLevel="1">
      <c r="A210" s="894"/>
      <c r="B210" s="287"/>
      <c r="C210" s="40" t="s">
        <v>251</v>
      </c>
      <c r="D210" s="8" t="str">
        <f>Currency_Label</f>
        <v>USD</v>
      </c>
      <c r="E210" s="287"/>
      <c r="F210" s="287"/>
      <c r="G210" s="287"/>
      <c r="H210" s="287"/>
      <c r="I210" s="71">
        <f>SUM(J210:AG210)</f>
        <v>8240</v>
      </c>
      <c r="J210" s="80">
        <f>J132+J140+J148+J156+J164+J172+J180+J188+J196+J204</f>
        <v>4570</v>
      </c>
      <c r="K210" s="80">
        <f>K132+K140+K148+K156+K164+K172+K180+K188+K196+K204</f>
        <v>1820</v>
      </c>
      <c r="L210" s="80">
        <f t="shared" ref="L210:M210" si="80">L132+L140+L148+L156+L164+L172+L180+L188+L196+L204</f>
        <v>0</v>
      </c>
      <c r="M210" s="80">
        <f t="shared" si="80"/>
        <v>0</v>
      </c>
      <c r="N210" s="80">
        <f t="shared" ref="N210:AG210" si="81">N132+N140+N148+N156+N164+N172+N180+N188+N196+N204</f>
        <v>0</v>
      </c>
      <c r="O210" s="80">
        <f t="shared" si="81"/>
        <v>0</v>
      </c>
      <c r="P210" s="80">
        <f t="shared" si="81"/>
        <v>0</v>
      </c>
      <c r="Q210" s="80">
        <f t="shared" si="81"/>
        <v>-545</v>
      </c>
      <c r="R210" s="80">
        <f t="shared" si="81"/>
        <v>0</v>
      </c>
      <c r="S210" s="80">
        <f t="shared" si="81"/>
        <v>1380</v>
      </c>
      <c r="T210" s="80">
        <f t="shared" si="81"/>
        <v>0</v>
      </c>
      <c r="U210" s="80">
        <f t="shared" si="81"/>
        <v>0</v>
      </c>
      <c r="V210" s="80">
        <f t="shared" si="81"/>
        <v>0</v>
      </c>
      <c r="W210" s="80">
        <f t="shared" si="81"/>
        <v>0</v>
      </c>
      <c r="X210" s="80">
        <f t="shared" si="81"/>
        <v>0</v>
      </c>
      <c r="Y210" s="80">
        <f t="shared" si="81"/>
        <v>0</v>
      </c>
      <c r="Z210" s="80">
        <f t="shared" si="81"/>
        <v>165</v>
      </c>
      <c r="AA210" s="80">
        <f t="shared" si="81"/>
        <v>0</v>
      </c>
      <c r="AB210" s="80">
        <f t="shared" si="81"/>
        <v>0</v>
      </c>
      <c r="AC210" s="80">
        <f t="shared" si="81"/>
        <v>-690</v>
      </c>
      <c r="AD210" s="80">
        <f t="shared" si="81"/>
        <v>1540</v>
      </c>
      <c r="AE210" s="80">
        <f t="shared" si="81"/>
        <v>0</v>
      </c>
      <c r="AF210" s="80">
        <f t="shared" si="81"/>
        <v>0</v>
      </c>
      <c r="AG210" s="80">
        <f t="shared" si="81"/>
        <v>0</v>
      </c>
    </row>
    <row r="211" spans="1:33" s="649" customFormat="1" ht="17.25" customHeight="1" outlineLevel="1" thickBot="1">
      <c r="A211" s="894"/>
      <c r="B211" s="287"/>
      <c r="C211" s="649" t="s">
        <v>141</v>
      </c>
      <c r="D211" s="8" t="str">
        <f>Currency_Label</f>
        <v>USD</v>
      </c>
      <c r="E211" s="287"/>
      <c r="F211" s="287"/>
      <c r="G211" s="287"/>
      <c r="H211" s="287"/>
      <c r="I211" s="147">
        <f>Inputs!F231</f>
        <v>12000</v>
      </c>
      <c r="J211" s="692">
        <f t="shared" ref="J211:AG211" si="82">SUM(J209:J210)</f>
        <v>16570</v>
      </c>
      <c r="K211" s="692">
        <f t="shared" si="82"/>
        <v>18390</v>
      </c>
      <c r="L211" s="692">
        <f t="shared" si="82"/>
        <v>18390</v>
      </c>
      <c r="M211" s="692">
        <f t="shared" si="82"/>
        <v>18390</v>
      </c>
      <c r="N211" s="692">
        <f t="shared" si="82"/>
        <v>18390</v>
      </c>
      <c r="O211" s="692">
        <f t="shared" si="82"/>
        <v>18390</v>
      </c>
      <c r="P211" s="692">
        <f t="shared" si="82"/>
        <v>18390</v>
      </c>
      <c r="Q211" s="692">
        <f t="shared" si="82"/>
        <v>17845</v>
      </c>
      <c r="R211" s="692">
        <f t="shared" si="82"/>
        <v>17845</v>
      </c>
      <c r="S211" s="692">
        <f t="shared" si="82"/>
        <v>19225</v>
      </c>
      <c r="T211" s="692">
        <f t="shared" si="82"/>
        <v>19225</v>
      </c>
      <c r="U211" s="692">
        <f t="shared" si="82"/>
        <v>19225</v>
      </c>
      <c r="V211" s="692">
        <f t="shared" si="82"/>
        <v>19225</v>
      </c>
      <c r="W211" s="692">
        <f t="shared" si="82"/>
        <v>19225</v>
      </c>
      <c r="X211" s="692">
        <f t="shared" si="82"/>
        <v>19225</v>
      </c>
      <c r="Y211" s="692">
        <f t="shared" si="82"/>
        <v>19225</v>
      </c>
      <c r="Z211" s="692">
        <f t="shared" si="82"/>
        <v>19390</v>
      </c>
      <c r="AA211" s="692">
        <f t="shared" si="82"/>
        <v>19390</v>
      </c>
      <c r="AB211" s="692">
        <f t="shared" si="82"/>
        <v>19390</v>
      </c>
      <c r="AC211" s="692">
        <f t="shared" si="82"/>
        <v>18700</v>
      </c>
      <c r="AD211" s="692">
        <f t="shared" si="82"/>
        <v>20240</v>
      </c>
      <c r="AE211" s="692">
        <f t="shared" si="82"/>
        <v>0</v>
      </c>
      <c r="AF211" s="692">
        <f t="shared" si="82"/>
        <v>0</v>
      </c>
      <c r="AG211" s="692">
        <f t="shared" si="82"/>
        <v>0</v>
      </c>
    </row>
    <row r="212" spans="1:33" s="649" customFormat="1" ht="17.25" customHeight="1" outlineLevel="1" thickTop="1">
      <c r="A212" s="894"/>
      <c r="B212" s="287"/>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E212" s="287"/>
      <c r="AF212" s="287"/>
      <c r="AG212" s="287"/>
    </row>
    <row r="213" spans="1:33" s="649" customFormat="1" ht="24" customHeight="1" thickBot="1">
      <c r="A213" s="323"/>
      <c r="B213" s="323"/>
      <c r="C213" s="323" t="str">
        <f>Name_VAT &amp;" on Cost of Materials/Goods"</f>
        <v>VAT on Cost of Materials/Goods</v>
      </c>
      <c r="D213" s="323"/>
      <c r="E213" s="323"/>
      <c r="F213" s="323"/>
      <c r="G213" s="323"/>
      <c r="H213" s="323"/>
      <c r="I213" s="323"/>
      <c r="J213" s="323"/>
      <c r="K213" s="323"/>
      <c r="L213" s="323"/>
      <c r="M213" s="323"/>
      <c r="N213" s="323"/>
      <c r="O213" s="323"/>
      <c r="P213" s="323"/>
      <c r="Q213" s="323"/>
      <c r="R213" s="323"/>
      <c r="S213" s="323"/>
      <c r="T213" s="323"/>
      <c r="U213" s="323"/>
      <c r="V213" s="323"/>
      <c r="W213" s="323"/>
      <c r="X213" s="323"/>
      <c r="Y213" s="323"/>
      <c r="Z213" s="323"/>
      <c r="AA213" s="323"/>
      <c r="AB213" s="323"/>
      <c r="AC213" s="323"/>
      <c r="AD213" s="323"/>
      <c r="AE213" s="323"/>
      <c r="AF213" s="323"/>
      <c r="AG213" s="323"/>
    </row>
    <row r="214" spans="1:33" s="704" customFormat="1" ht="26.25" customHeight="1" outlineLevel="1">
      <c r="A214" s="894"/>
      <c r="B214" s="287"/>
      <c r="C214" s="279" t="str">
        <f>Name_VAT &amp;" on Cost of Materials/Goods (incl. inventory changes)"</f>
        <v>VAT on Cost of Materials/Goods (incl. inventory changes)</v>
      </c>
      <c r="D214" s="287"/>
      <c r="E214" s="287"/>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E214" s="287"/>
      <c r="AF214" s="287"/>
      <c r="AG214" s="287"/>
    </row>
    <row r="215" spans="1:33" s="649" customFormat="1" ht="17.25" customHeight="1" outlineLevel="1">
      <c r="A215" s="894"/>
      <c r="B215" s="287"/>
      <c r="C215" s="24" t="s">
        <v>406</v>
      </c>
      <c r="D215" s="412"/>
      <c r="E215" s="287" t="s">
        <v>245</v>
      </c>
      <c r="F215" s="287"/>
      <c r="G215" s="532" t="str">
        <f>Name_VAT &amp; " Rate"</f>
        <v>VAT Rate</v>
      </c>
      <c r="H215" s="287"/>
      <c r="I215" s="71">
        <f>SUM(J215:AG215)</f>
        <v>1512033.8982874597</v>
      </c>
      <c r="J215" s="695">
        <f t="shared" ref="J215:AG215" si="83">J122+J210</f>
        <v>71480.574999999997</v>
      </c>
      <c r="K215" s="695">
        <f t="shared" si="83"/>
        <v>73777.291249999995</v>
      </c>
      <c r="L215" s="695">
        <f t="shared" si="83"/>
        <v>71971.6496625</v>
      </c>
      <c r="M215" s="695">
        <f t="shared" si="83"/>
        <v>71986.151659124997</v>
      </c>
      <c r="N215" s="695">
        <f t="shared" si="83"/>
        <v>72000.798675716243</v>
      </c>
      <c r="O215" s="695">
        <f t="shared" si="83"/>
        <v>72015.592162473418</v>
      </c>
      <c r="P215" s="695">
        <f t="shared" si="83"/>
        <v>72030.533584098142</v>
      </c>
      <c r="Q215" s="695">
        <f t="shared" si="83"/>
        <v>68855.624419939122</v>
      </c>
      <c r="R215" s="695">
        <f t="shared" si="83"/>
        <v>69640.866164138512</v>
      </c>
      <c r="S215" s="695">
        <f t="shared" si="83"/>
        <v>74236.260325779906</v>
      </c>
      <c r="T215" s="695">
        <f t="shared" si="83"/>
        <v>72285.70842903771</v>
      </c>
      <c r="U215" s="695">
        <f t="shared" si="83"/>
        <v>71615.447013328085</v>
      </c>
      <c r="V215" s="695">
        <f t="shared" si="83"/>
        <v>71645.078983461368</v>
      </c>
      <c r="W215" s="695">
        <f t="shared" si="83"/>
        <v>71675.007273295982</v>
      </c>
      <c r="X215" s="695">
        <f t="shared" si="83"/>
        <v>71705.234846028936</v>
      </c>
      <c r="Y215" s="695">
        <f t="shared" si="83"/>
        <v>71735.764694489219</v>
      </c>
      <c r="Z215" s="695">
        <f t="shared" si="83"/>
        <v>71931.599841434116</v>
      </c>
      <c r="AA215" s="695">
        <f t="shared" si="83"/>
        <v>71797.743339848457</v>
      </c>
      <c r="AB215" s="695">
        <f t="shared" si="83"/>
        <v>71829.198273246948</v>
      </c>
      <c r="AC215" s="695">
        <f t="shared" si="83"/>
        <v>69570.967755979422</v>
      </c>
      <c r="AD215" s="695">
        <f t="shared" si="83"/>
        <v>78246.804933539213</v>
      </c>
      <c r="AE215" s="695">
        <f t="shared" si="83"/>
        <v>0</v>
      </c>
      <c r="AF215" s="695">
        <f t="shared" si="83"/>
        <v>0</v>
      </c>
      <c r="AG215" s="695">
        <f t="shared" si="83"/>
        <v>0</v>
      </c>
    </row>
    <row r="216" spans="1:33" s="649" customFormat="1" ht="17.25" customHeight="1" outlineLevel="1">
      <c r="A216" s="894"/>
      <c r="B216" s="287"/>
      <c r="C216" s="24" t="str">
        <f>Name_VAT &amp;" on Cost of Materials/Goods (incl. inventory changes)"</f>
        <v>VAT on Cost of Materials/Goods (incl. inventory changes)</v>
      </c>
      <c r="D216" s="8" t="str">
        <f t="shared" ref="D216" si="84">Currency_Label</f>
        <v>USD</v>
      </c>
      <c r="E216" s="85">
        <f>Inputs!$F$190</f>
        <v>0.8</v>
      </c>
      <c r="F216" s="346"/>
      <c r="G216" s="85">
        <f>Inputs!$I$190</f>
        <v>0.2</v>
      </c>
      <c r="H216" s="346"/>
      <c r="I216" s="71">
        <f>SUM(J216:AG216)</f>
        <v>241925.42372599361</v>
      </c>
      <c r="J216" s="715">
        <f t="shared" ref="J216:AG216" si="85">$E216*$G216*J215</f>
        <v>11436.892000000002</v>
      </c>
      <c r="K216" s="715">
        <f t="shared" si="85"/>
        <v>11804.366600000001</v>
      </c>
      <c r="L216" s="715">
        <f t="shared" si="85"/>
        <v>11515.463946000002</v>
      </c>
      <c r="M216" s="715">
        <f t="shared" si="85"/>
        <v>11517.784265460001</v>
      </c>
      <c r="N216" s="715">
        <f t="shared" si="85"/>
        <v>11520.127788114602</v>
      </c>
      <c r="O216" s="715">
        <f t="shared" si="85"/>
        <v>11522.494745995749</v>
      </c>
      <c r="P216" s="715">
        <f t="shared" si="85"/>
        <v>11524.885373455705</v>
      </c>
      <c r="Q216" s="715">
        <f t="shared" si="85"/>
        <v>11016.899907190262</v>
      </c>
      <c r="R216" s="715">
        <f t="shared" si="85"/>
        <v>11142.538586262164</v>
      </c>
      <c r="S216" s="715">
        <f t="shared" si="85"/>
        <v>11877.801652124786</v>
      </c>
      <c r="T216" s="715">
        <f t="shared" si="85"/>
        <v>11565.713348646035</v>
      </c>
      <c r="U216" s="715">
        <f t="shared" si="85"/>
        <v>11458.471522132495</v>
      </c>
      <c r="V216" s="715">
        <f t="shared" si="85"/>
        <v>11463.212637353821</v>
      </c>
      <c r="W216" s="715">
        <f t="shared" si="85"/>
        <v>11468.00116372736</v>
      </c>
      <c r="X216" s="715">
        <f t="shared" si="85"/>
        <v>11472.837575364632</v>
      </c>
      <c r="Y216" s="715">
        <f t="shared" si="85"/>
        <v>11477.722351118276</v>
      </c>
      <c r="Z216" s="715">
        <f t="shared" si="85"/>
        <v>11509.05597462946</v>
      </c>
      <c r="AA216" s="715">
        <f t="shared" si="85"/>
        <v>11487.638934375755</v>
      </c>
      <c r="AB216" s="715">
        <f t="shared" si="85"/>
        <v>11492.671723719513</v>
      </c>
      <c r="AC216" s="715">
        <f t="shared" si="85"/>
        <v>11131.35484095671</v>
      </c>
      <c r="AD216" s="715">
        <f t="shared" si="85"/>
        <v>12519.488789366276</v>
      </c>
      <c r="AE216" s="715">
        <f t="shared" si="85"/>
        <v>0</v>
      </c>
      <c r="AF216" s="715">
        <f t="shared" si="85"/>
        <v>0</v>
      </c>
      <c r="AG216" s="715">
        <f t="shared" si="85"/>
        <v>0</v>
      </c>
    </row>
    <row r="217" spans="1:33" s="649" customFormat="1" ht="17.25" customHeight="1" outlineLevel="1">
      <c r="A217" s="894"/>
      <c r="B217" s="287"/>
      <c r="C217" s="287"/>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E217" s="287"/>
      <c r="AF217" s="287"/>
      <c r="AG217" s="287"/>
    </row>
    <row r="218" spans="1:33" s="649" customFormat="1" ht="17.25" customHeight="1">
      <c r="A218" s="894"/>
      <c r="B218" s="287"/>
      <c r="C218" s="287"/>
      <c r="D218" s="287"/>
      <c r="E218" s="287"/>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E218" s="287"/>
      <c r="AF218" s="287"/>
      <c r="AG218" s="287"/>
    </row>
    <row r="219" spans="1:33" s="241" customFormat="1" ht="17.25" customHeight="1">
      <c r="A219" s="894"/>
    </row>
    <row r="220" spans="1:33" s="241" customFormat="1" ht="17.25" customHeight="1">
      <c r="A220" s="894"/>
      <c r="I220" s="329"/>
    </row>
    <row r="221" spans="1:33" s="241" customFormat="1" ht="17.25" customHeight="1"/>
    <row r="222" spans="1:33" s="241" customFormat="1" ht="17.25" customHeight="1"/>
    <row r="223" spans="1:33" s="241" customFormat="1" ht="17.25" customHeight="1"/>
    <row r="224" spans="1:33" s="241" customFormat="1" ht="17.25" customHeight="1"/>
    <row r="225" s="241" customFormat="1" ht="17.25" customHeight="1"/>
    <row r="226" s="241" customFormat="1" ht="17.25" customHeight="1"/>
    <row r="227" s="241" customFormat="1" ht="17.25" customHeight="1"/>
    <row r="228" s="241" customFormat="1" ht="17.25" customHeight="1"/>
    <row r="229" s="241" customFormat="1" ht="17.25" customHeight="1"/>
    <row r="230" s="241" customFormat="1" ht="17.25" customHeight="1"/>
    <row r="231" s="241" customFormat="1" ht="17.25" customHeight="1"/>
    <row r="232" s="241" customFormat="1" ht="17.25" customHeight="1"/>
    <row r="233" s="241" customFormat="1" ht="17.25" customHeight="1"/>
    <row r="234" s="241" customFormat="1" ht="17.25" customHeight="1"/>
    <row r="235" s="241" customFormat="1" ht="17.25" customHeight="1"/>
    <row r="236" s="241" customFormat="1" ht="17.25" customHeight="1"/>
    <row r="237" s="241" customFormat="1" ht="17.25" customHeight="1"/>
    <row r="238" s="241" customFormat="1" ht="17.25" customHeight="1"/>
    <row r="239" s="241" customFormat="1" ht="17.25" customHeight="1"/>
    <row r="240" s="241" customFormat="1" ht="17.25" customHeight="1"/>
    <row r="241" s="241" customFormat="1" ht="17.25" customHeight="1"/>
    <row r="242" s="241" customFormat="1" ht="17.25" customHeight="1"/>
    <row r="243" s="241" customFormat="1" ht="17.25" customHeight="1"/>
    <row r="244" s="241" customFormat="1" ht="17.25" customHeight="1"/>
    <row r="245" s="241" customFormat="1" ht="17.25" customHeight="1"/>
    <row r="246" s="241" customFormat="1" ht="17.25" customHeight="1"/>
    <row r="247" s="241" customFormat="1" ht="17.25" customHeight="1"/>
    <row r="248" s="241" customFormat="1" ht="17.25" customHeight="1"/>
    <row r="249" s="241" customFormat="1" ht="17.25" customHeight="1"/>
    <row r="250" s="241" customFormat="1" ht="17.25" customHeight="1"/>
    <row r="251" s="241" customFormat="1" ht="17.25" customHeight="1"/>
    <row r="252" s="241" customFormat="1" ht="17.25" customHeight="1"/>
    <row r="253" s="241" customFormat="1" ht="17.25" customHeight="1"/>
    <row r="254" s="241" customFormat="1" ht="17.25" customHeight="1"/>
    <row r="255" s="241" customFormat="1" ht="17.25" customHeight="1"/>
  </sheetData>
  <sheetProtection password="F66A" sheet="1"/>
  <conditionalFormatting sqref="J31:AG31 J35:AG35 J12:AG21 J39:AG39 J27:AG27 J43:AG43 J47:AG47 J51:AG51 J55:AG55 J59:AG59 J63:AG63">
    <cfRule type="expression" dxfId="342" priority="148" stopIfTrue="1">
      <formula>J$6=0</formula>
    </cfRule>
  </conditionalFormatting>
  <conditionalFormatting sqref="E112:E122">
    <cfRule type="expression" dxfId="341" priority="91">
      <formula>B112=1</formula>
    </cfRule>
  </conditionalFormatting>
  <conditionalFormatting sqref="K27">
    <cfRule type="expression" dxfId="340" priority="71" stopIfTrue="1">
      <formula>K$6=0</formula>
    </cfRule>
  </conditionalFormatting>
  <conditionalFormatting sqref="D3">
    <cfRule type="cellIs" dxfId="339" priority="59" operator="notEqual">
      <formula>0</formula>
    </cfRule>
  </conditionalFormatting>
  <conditionalFormatting sqref="F128">
    <cfRule type="expression" dxfId="338" priority="30" stopIfTrue="1">
      <formula>$F$125=0</formula>
    </cfRule>
  </conditionalFormatting>
  <conditionalFormatting sqref="F136">
    <cfRule type="expression" dxfId="337" priority="20" stopIfTrue="1">
      <formula>$F$125=0</formula>
    </cfRule>
  </conditionalFormatting>
  <conditionalFormatting sqref="F144">
    <cfRule type="expression" dxfId="336" priority="19" stopIfTrue="1">
      <formula>$F$125=0</formula>
    </cfRule>
  </conditionalFormatting>
  <conditionalFormatting sqref="F152">
    <cfRule type="expression" dxfId="335" priority="18" stopIfTrue="1">
      <formula>$F$125=0</formula>
    </cfRule>
  </conditionalFormatting>
  <conditionalFormatting sqref="F160">
    <cfRule type="expression" dxfId="334" priority="17" stopIfTrue="1">
      <formula>$F$125=0</formula>
    </cfRule>
  </conditionalFormatting>
  <conditionalFormatting sqref="F168">
    <cfRule type="expression" dxfId="333" priority="16" stopIfTrue="1">
      <formula>$F$125=0</formula>
    </cfRule>
  </conditionalFormatting>
  <conditionalFormatting sqref="F176">
    <cfRule type="expression" dxfId="332" priority="15" stopIfTrue="1">
      <formula>$F$125=0</formula>
    </cfRule>
  </conditionalFormatting>
  <conditionalFormatting sqref="F184">
    <cfRule type="expression" dxfId="331" priority="14" stopIfTrue="1">
      <formula>$F$125=0</formula>
    </cfRule>
  </conditionalFormatting>
  <conditionalFormatting sqref="F192">
    <cfRule type="expression" dxfId="330" priority="13" stopIfTrue="1">
      <formula>$F$125=0</formula>
    </cfRule>
  </conditionalFormatting>
  <conditionalFormatting sqref="F200">
    <cfRule type="expression" dxfId="329" priority="12" stopIfTrue="1">
      <formula>$F$125=0</formula>
    </cfRule>
  </conditionalFormatting>
  <conditionalFormatting sqref="K6:L6">
    <cfRule type="cellIs" dxfId="328" priority="9" stopIfTrue="1" operator="equal">
      <formula>1</formula>
    </cfRule>
  </conditionalFormatting>
  <conditionalFormatting sqref="J4">
    <cfRule type="expression" dxfId="327" priority="8" stopIfTrue="1">
      <formula>J$6=1</formula>
    </cfRule>
  </conditionalFormatting>
  <conditionalFormatting sqref="M6:Q6">
    <cfRule type="cellIs" dxfId="326" priority="7" stopIfTrue="1" operator="equal">
      <formula>1</formula>
    </cfRule>
  </conditionalFormatting>
  <conditionalFormatting sqref="J5">
    <cfRule type="expression" dxfId="325" priority="6" stopIfTrue="1">
      <formula>J$6=1</formula>
    </cfRule>
  </conditionalFormatting>
  <conditionalFormatting sqref="R6:AG6">
    <cfRule type="cellIs" dxfId="324" priority="5" stopIfTrue="1" operator="equal">
      <formula>1</formula>
    </cfRule>
  </conditionalFormatting>
  <conditionalFormatting sqref="J6:AG6">
    <cfRule type="cellIs" dxfId="323" priority="4" stopIfTrue="1" operator="equal">
      <formula>1</formula>
    </cfRule>
  </conditionalFormatting>
  <conditionalFormatting sqref="K4:AG4">
    <cfRule type="expression" dxfId="322" priority="3" stopIfTrue="1">
      <formula>K$6=1</formula>
    </cfRule>
  </conditionalFormatting>
  <conditionalFormatting sqref="L5:AG5">
    <cfRule type="expression" dxfId="321" priority="2" stopIfTrue="1">
      <formula>L$6=1</formula>
    </cfRule>
  </conditionalFormatting>
  <conditionalFormatting sqref="K5:AG5">
    <cfRule type="expression" dxfId="320" priority="1" stopIfTrue="1">
      <formula>K$6=1</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fitToWidth="6" orientation="landscape" r:id="rId1"/>
  <headerFooter>
    <oddFooter>&amp;C&amp;A&amp;R&amp;P von &amp;N</oddFooter>
  </headerFooter>
  <colBreaks count="1" manualBreakCount="1">
    <brk id="21" max="65"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Kosten02">
    <tabColor rgb="FFFFFF00"/>
    <pageSetUpPr autoPageBreaks="0"/>
  </sheetPr>
  <dimension ref="A1:NE397"/>
  <sheetViews>
    <sheetView showGridLines="0" zoomScaleNormal="100" workbookViewId="0">
      <pane ySplit="6" topLeftCell="A7" activePane="bottomLeft" state="frozenSplit"/>
      <selection activeCell="G23" sqref="G23"/>
      <selection pane="bottomLeft" activeCell="A7" sqref="A7"/>
    </sheetView>
  </sheetViews>
  <sheetFormatPr baseColWidth="10" defaultColWidth="0" defaultRowHeight="12.75" outlineLevelRow="2"/>
  <cols>
    <col min="1" max="1" width="3.42578125" style="649" customWidth="1"/>
    <col min="2" max="2" width="4.140625" style="649" customWidth="1"/>
    <col min="3" max="3" width="47.140625" style="649" customWidth="1"/>
    <col min="4" max="4" width="13" style="649" customWidth="1"/>
    <col min="5" max="5" width="11.140625" style="649" customWidth="1"/>
    <col min="6" max="6" width="13.140625" style="649" customWidth="1"/>
    <col min="7" max="7" width="8.5703125" style="649" customWidth="1"/>
    <col min="8" max="8" width="4.7109375" style="649" customWidth="1"/>
    <col min="9" max="33" width="11.42578125" style="649" customWidth="1"/>
    <col min="34" max="369" width="0" style="649" hidden="1" customWidth="1"/>
    <col min="370" max="16384" width="11.42578125" style="649" hidden="1"/>
  </cols>
  <sheetData>
    <row r="1" spans="1:33" ht="20.25">
      <c r="A1" s="41" t="str">
        <f>CHOOSE(language,"Direct Labour &amp; Other Direct Costs","Direct Labor &amp; Other Direct Costs")</f>
        <v>Direct Labor &amp; Other Direct Costs</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row>
    <row r="3" spans="1:33" ht="20.25">
      <c r="A3" s="128"/>
      <c r="B3" s="128"/>
      <c r="C3" s="273" t="str">
        <f>Timing!C3</f>
        <v>Model Integrity:</v>
      </c>
      <c r="D3" s="685">
        <f ca="1">Timing!D3</f>
        <v>0</v>
      </c>
      <c r="E3" s="443" t="s">
        <v>149</v>
      </c>
      <c r="F3" s="128"/>
      <c r="G3" s="285"/>
      <c r="H3" s="285"/>
      <c r="I3" s="282"/>
      <c r="J3" s="286"/>
      <c r="K3" s="287"/>
      <c r="L3" s="286"/>
      <c r="M3" s="287"/>
      <c r="N3" s="286"/>
      <c r="O3" s="287"/>
      <c r="P3" s="286"/>
      <c r="Q3" s="287"/>
      <c r="R3" s="286"/>
      <c r="S3" s="287"/>
      <c r="T3" s="286"/>
      <c r="U3" s="287"/>
      <c r="V3" s="286"/>
      <c r="W3" s="287"/>
      <c r="X3" s="286"/>
      <c r="Y3" s="287"/>
      <c r="Z3" s="286"/>
      <c r="AA3" s="287"/>
      <c r="AB3" s="286"/>
      <c r="AC3" s="287"/>
      <c r="AD3" s="286"/>
      <c r="AE3" s="287"/>
      <c r="AF3" s="286"/>
      <c r="AG3" s="287"/>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ht="20.25">
      <c r="A7" s="894"/>
      <c r="B7" s="287"/>
      <c r="C7" s="279" t="str">
        <f>Timing!C8</f>
        <v>Flags &amp; Counters</v>
      </c>
      <c r="D7" s="287"/>
      <c r="E7" s="287"/>
      <c r="F7" s="287"/>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row>
    <row r="8" spans="1:33">
      <c r="A8" s="894"/>
      <c r="B8" s="287"/>
      <c r="C8" s="287" t="str">
        <f>Timing!C10</f>
        <v>Calendar Year</v>
      </c>
      <c r="D8" s="275" t="str">
        <f>Timing!D10</f>
        <v>year</v>
      </c>
      <c r="E8" s="287"/>
      <c r="F8" s="287"/>
      <c r="G8" s="287"/>
      <c r="H8" s="287"/>
      <c r="I8" s="287"/>
      <c r="J8" s="287">
        <f>Timing!J10</f>
        <v>2019</v>
      </c>
      <c r="K8" s="287">
        <f>Timing!K10</f>
        <v>2019</v>
      </c>
      <c r="L8" s="287">
        <f>Timing!L10</f>
        <v>2019</v>
      </c>
      <c r="M8" s="287">
        <f>Timing!M10</f>
        <v>2019</v>
      </c>
      <c r="N8" s="287">
        <f>Timing!N10</f>
        <v>2019</v>
      </c>
      <c r="O8" s="287">
        <f>Timing!O10</f>
        <v>2019</v>
      </c>
      <c r="P8" s="287">
        <f>Timing!P10</f>
        <v>2019</v>
      </c>
      <c r="Q8" s="287">
        <f>Timing!Q10</f>
        <v>2019</v>
      </c>
      <c r="R8" s="287">
        <f>Timing!R10</f>
        <v>2019</v>
      </c>
      <c r="S8" s="287">
        <f>Timing!S10</f>
        <v>2019</v>
      </c>
      <c r="T8" s="287">
        <f>Timing!T10</f>
        <v>2020</v>
      </c>
      <c r="U8" s="287">
        <f>Timing!U10</f>
        <v>2020</v>
      </c>
      <c r="V8" s="287">
        <f>Timing!V10</f>
        <v>2020</v>
      </c>
      <c r="W8" s="287">
        <f>Timing!W10</f>
        <v>2020</v>
      </c>
      <c r="X8" s="287">
        <f>Timing!X10</f>
        <v>2020</v>
      </c>
      <c r="Y8" s="287">
        <f>Timing!Y10</f>
        <v>2020</v>
      </c>
      <c r="Z8" s="287">
        <f>Timing!Z10</f>
        <v>2020</v>
      </c>
      <c r="AA8" s="287">
        <f>Timing!AA10</f>
        <v>2020</v>
      </c>
      <c r="AB8" s="287">
        <f>Timing!AB10</f>
        <v>2020</v>
      </c>
      <c r="AC8" s="287">
        <f>Timing!AC10</f>
        <v>2020</v>
      </c>
      <c r="AD8" s="287">
        <f>Timing!AD10</f>
        <v>2020</v>
      </c>
      <c r="AE8" s="287">
        <f>Timing!AE10</f>
        <v>2020</v>
      </c>
      <c r="AF8" s="287">
        <f>Timing!AF10</f>
        <v>2021</v>
      </c>
      <c r="AG8" s="287">
        <f>Timing!AG10</f>
        <v>2021</v>
      </c>
    </row>
    <row r="9" spans="1:33" ht="15.75" customHeight="1">
      <c r="A9" s="894"/>
      <c r="B9" s="287"/>
      <c r="C9" s="287"/>
      <c r="D9" s="287"/>
      <c r="E9" s="287"/>
      <c r="F9" s="287"/>
      <c r="G9" s="287"/>
      <c r="H9" s="287"/>
      <c r="I9" s="287"/>
      <c r="J9" s="287"/>
      <c r="K9" s="287"/>
      <c r="L9" s="287"/>
      <c r="M9" s="287"/>
      <c r="N9" s="287"/>
      <c r="O9" s="287"/>
      <c r="P9" s="287"/>
      <c r="Q9" s="287"/>
      <c r="R9" s="287"/>
      <c r="S9" s="287"/>
      <c r="T9" s="287"/>
      <c r="U9" s="287"/>
      <c r="V9" s="287"/>
      <c r="W9" s="287"/>
      <c r="X9" s="287"/>
      <c r="Y9" s="287"/>
      <c r="Z9" s="287"/>
      <c r="AA9" s="287"/>
      <c r="AB9" s="287"/>
      <c r="AC9" s="287"/>
      <c r="AD9" s="287"/>
      <c r="AE9" s="287"/>
      <c r="AF9" s="287"/>
      <c r="AG9" s="287"/>
    </row>
    <row r="10" spans="1:33" ht="27" customHeight="1" thickBot="1">
      <c r="A10" s="323"/>
      <c r="B10" s="323"/>
      <c r="C10" s="323" t="str">
        <f>CHOOSE(language,"Direct Labour","Direct Labor")</f>
        <v>Direct Labor</v>
      </c>
      <c r="D10" s="323"/>
      <c r="E10" s="323"/>
      <c r="F10" s="323"/>
      <c r="G10" s="323"/>
      <c r="H10" s="323"/>
      <c r="I10" s="323"/>
      <c r="J10" s="323"/>
      <c r="K10" s="323"/>
      <c r="L10" s="323"/>
      <c r="M10" s="323"/>
      <c r="N10" s="323"/>
      <c r="O10" s="323"/>
      <c r="P10" s="323"/>
      <c r="Q10" s="323"/>
      <c r="R10" s="323"/>
      <c r="S10" s="323"/>
      <c r="T10" s="323"/>
      <c r="U10" s="323"/>
      <c r="V10" s="323"/>
      <c r="W10" s="323"/>
      <c r="X10" s="323"/>
      <c r="Y10" s="323"/>
      <c r="Z10" s="323"/>
      <c r="AA10" s="323"/>
      <c r="AB10" s="323"/>
      <c r="AC10" s="323"/>
      <c r="AD10" s="323"/>
      <c r="AE10" s="323"/>
      <c r="AF10" s="323"/>
      <c r="AG10" s="323"/>
    </row>
    <row r="11" spans="1:33" ht="21.75" customHeight="1" outlineLevel="1">
      <c r="A11" s="894"/>
      <c r="B11" s="287"/>
      <c r="C11" s="279" t="str">
        <f>CHOOSE(language,"Headcount - Direct Labour Staff","Headcount - Direct Labor Staff")</f>
        <v>Headcount - Direct Labor Staff</v>
      </c>
      <c r="D11" s="287"/>
      <c r="E11" s="287"/>
      <c r="F11" s="287"/>
      <c r="G11" s="287"/>
      <c r="H11" s="287"/>
      <c r="I11" s="287"/>
      <c r="J11" s="287"/>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row>
    <row r="12" spans="1:33" ht="17.25" customHeight="1" outlineLevel="2">
      <c r="A12" s="128"/>
      <c r="B12" s="128"/>
      <c r="C12" s="275" t="s">
        <v>279</v>
      </c>
      <c r="D12" s="275"/>
      <c r="E12" s="128"/>
      <c r="F12" s="128"/>
      <c r="G12" s="128"/>
      <c r="H12" s="128"/>
      <c r="I12" s="128"/>
      <c r="J12" s="128"/>
      <c r="K12" s="128"/>
      <c r="L12" s="128"/>
      <c r="M12" s="287"/>
      <c r="N12" s="287"/>
      <c r="O12" s="287"/>
      <c r="P12" s="287"/>
      <c r="Q12" s="287"/>
      <c r="R12" s="287"/>
      <c r="S12" s="287"/>
      <c r="T12" s="287"/>
      <c r="U12" s="287"/>
      <c r="V12" s="287"/>
      <c r="W12" s="287"/>
      <c r="X12" s="287"/>
      <c r="Y12" s="287"/>
      <c r="Z12" s="287"/>
      <c r="AA12" s="287"/>
      <c r="AB12" s="287"/>
      <c r="AC12" s="287"/>
      <c r="AD12" s="287"/>
      <c r="AE12" s="287"/>
      <c r="AF12" s="287"/>
      <c r="AG12" s="287"/>
    </row>
    <row r="13" spans="1:33" ht="16.5" customHeight="1" outlineLevel="2">
      <c r="A13" s="434"/>
      <c r="B13" s="708">
        <v>1</v>
      </c>
      <c r="C13" s="331" t="str">
        <f>Product_01</f>
        <v>Desktops</v>
      </c>
      <c r="D13" s="275"/>
      <c r="E13" s="411" t="s">
        <v>278</v>
      </c>
      <c r="F13" s="287"/>
      <c r="G13" s="287"/>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row>
    <row r="14" spans="1:33" ht="16.5" customHeight="1" outlineLevel="2">
      <c r="A14" s="434"/>
      <c r="B14" s="434"/>
      <c r="C14" s="40" t="str">
        <f>Inputs!$C$49</f>
        <v>Fill in name or positon here</v>
      </c>
      <c r="D14" s="73" t="s">
        <v>39</v>
      </c>
      <c r="E14" s="705">
        <v>1</v>
      </c>
      <c r="F14" s="287"/>
      <c r="G14" s="287"/>
      <c r="H14" s="278" t="str">
        <f>IF(AND(SUMPRODUCT((J$6:AG$6),(J14:AG14))&gt;0,Inputs!G49=0),"Check base salary","")</f>
        <v/>
      </c>
      <c r="I14" s="128"/>
      <c r="J14" s="269">
        <v>1</v>
      </c>
      <c r="K14" s="269">
        <v>1</v>
      </c>
      <c r="L14" s="269">
        <v>1</v>
      </c>
      <c r="M14" s="269">
        <v>1</v>
      </c>
      <c r="N14" s="269">
        <v>1</v>
      </c>
      <c r="O14" s="269">
        <v>1</v>
      </c>
      <c r="P14" s="269">
        <v>1</v>
      </c>
      <c r="Q14" s="269">
        <v>1</v>
      </c>
      <c r="R14" s="269">
        <v>1</v>
      </c>
      <c r="S14" s="269">
        <v>1</v>
      </c>
      <c r="T14" s="269">
        <v>1</v>
      </c>
      <c r="U14" s="269">
        <v>1</v>
      </c>
      <c r="V14" s="269">
        <v>1</v>
      </c>
      <c r="W14" s="269">
        <v>1</v>
      </c>
      <c r="X14" s="269">
        <v>1</v>
      </c>
      <c r="Y14" s="269">
        <v>1</v>
      </c>
      <c r="Z14" s="269">
        <v>1</v>
      </c>
      <c r="AA14" s="269">
        <v>1</v>
      </c>
      <c r="AB14" s="269">
        <v>1</v>
      </c>
      <c r="AC14" s="269">
        <v>1</v>
      </c>
      <c r="AD14" s="269">
        <v>1</v>
      </c>
      <c r="AE14" s="269">
        <v>1</v>
      </c>
      <c r="AF14" s="269">
        <v>1</v>
      </c>
      <c r="AG14" s="269">
        <v>1</v>
      </c>
    </row>
    <row r="15" spans="1:33" ht="16.5" customHeight="1" outlineLevel="2">
      <c r="A15" s="434"/>
      <c r="B15" s="434"/>
      <c r="C15" s="40" t="str">
        <f>Inputs!$C$50</f>
        <v>Fill in name or positon here</v>
      </c>
      <c r="D15" s="73" t="s">
        <v>39</v>
      </c>
      <c r="E15" s="705">
        <v>1</v>
      </c>
      <c r="F15" s="287"/>
      <c r="G15" s="287"/>
      <c r="H15" s="278" t="str">
        <f>IF(AND(SUMPRODUCT((J$6:AG$6),(J15:AG15))&gt;0,Inputs!G50=0),"Check base salary","")</f>
        <v/>
      </c>
      <c r="I15" s="128"/>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row>
    <row r="16" spans="1:33" ht="16.5" customHeight="1" outlineLevel="2">
      <c r="A16" s="434"/>
      <c r="B16" s="434"/>
      <c r="C16" s="40" t="str">
        <f>Inputs!$C$51</f>
        <v>Fill in name or positon here</v>
      </c>
      <c r="D16" s="73" t="s">
        <v>39</v>
      </c>
      <c r="E16" s="705">
        <v>0</v>
      </c>
      <c r="F16" s="287"/>
      <c r="G16" s="287"/>
      <c r="H16" s="278" t="str">
        <f>IF(AND(SUMPRODUCT((J$6:AG$6),(J16:AG16))&gt;0,Inputs!G51=0),"Check base salary","")</f>
        <v/>
      </c>
      <c r="I16" s="128"/>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row>
    <row r="17" spans="1:33" ht="16.5" customHeight="1" outlineLevel="2">
      <c r="A17" s="434"/>
      <c r="B17" s="434"/>
      <c r="C17" s="40" t="str">
        <f>Inputs!$C$52</f>
        <v>Fill in name or positon here</v>
      </c>
      <c r="D17" s="73" t="s">
        <v>39</v>
      </c>
      <c r="E17" s="705">
        <v>1</v>
      </c>
      <c r="F17" s="287"/>
      <c r="G17" s="287"/>
      <c r="H17" s="278" t="str">
        <f>IF(AND(SUMPRODUCT((J$6:AG$6),(J17:AG17))&gt;0,Inputs!G52=0),"Check base salary","")</f>
        <v/>
      </c>
      <c r="I17" s="128"/>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row>
    <row r="18" spans="1:33" ht="16.5" customHeight="1" outlineLevel="2">
      <c r="A18" s="434"/>
      <c r="B18" s="434"/>
      <c r="C18" s="75" t="s">
        <v>280</v>
      </c>
      <c r="D18" s="8"/>
      <c r="E18" s="36"/>
      <c r="F18" s="36"/>
      <c r="G18" s="36"/>
      <c r="H18" s="36"/>
      <c r="I18" s="346"/>
      <c r="J18" s="129">
        <f t="shared" ref="J18:AG18" si="0">SUM(J14:J17)*J$6</f>
        <v>1</v>
      </c>
      <c r="K18" s="129">
        <f t="shared" si="0"/>
        <v>1</v>
      </c>
      <c r="L18" s="129">
        <f t="shared" si="0"/>
        <v>1</v>
      </c>
      <c r="M18" s="129">
        <f t="shared" si="0"/>
        <v>1</v>
      </c>
      <c r="N18" s="129">
        <f t="shared" si="0"/>
        <v>1</v>
      </c>
      <c r="O18" s="129">
        <f t="shared" si="0"/>
        <v>1</v>
      </c>
      <c r="P18" s="129">
        <f t="shared" si="0"/>
        <v>1</v>
      </c>
      <c r="Q18" s="129">
        <f t="shared" si="0"/>
        <v>1</v>
      </c>
      <c r="R18" s="129">
        <f t="shared" si="0"/>
        <v>1</v>
      </c>
      <c r="S18" s="129">
        <f t="shared" si="0"/>
        <v>1</v>
      </c>
      <c r="T18" s="129">
        <f t="shared" si="0"/>
        <v>1</v>
      </c>
      <c r="U18" s="129">
        <f t="shared" si="0"/>
        <v>1</v>
      </c>
      <c r="V18" s="129">
        <f t="shared" si="0"/>
        <v>1</v>
      </c>
      <c r="W18" s="129">
        <f t="shared" si="0"/>
        <v>1</v>
      </c>
      <c r="X18" s="129">
        <f t="shared" si="0"/>
        <v>1</v>
      </c>
      <c r="Y18" s="129">
        <f t="shared" si="0"/>
        <v>1</v>
      </c>
      <c r="Z18" s="129">
        <f t="shared" si="0"/>
        <v>1</v>
      </c>
      <c r="AA18" s="129">
        <f t="shared" si="0"/>
        <v>1</v>
      </c>
      <c r="AB18" s="129">
        <f t="shared" si="0"/>
        <v>1</v>
      </c>
      <c r="AC18" s="129">
        <f t="shared" si="0"/>
        <v>1</v>
      </c>
      <c r="AD18" s="129">
        <f t="shared" si="0"/>
        <v>1</v>
      </c>
      <c r="AE18" s="129">
        <f t="shared" si="0"/>
        <v>0</v>
      </c>
      <c r="AF18" s="129">
        <f t="shared" si="0"/>
        <v>0</v>
      </c>
      <c r="AG18" s="129">
        <f t="shared" si="0"/>
        <v>0</v>
      </c>
    </row>
    <row r="19" spans="1:33" ht="16.5" customHeight="1" outlineLevel="2">
      <c r="A19" s="434"/>
      <c r="B19" s="434"/>
      <c r="C19" s="331" t="str">
        <f>IF(Inputs!C53="","",Inputs!C53)</f>
        <v/>
      </c>
      <c r="D19" s="275"/>
      <c r="E19" s="287"/>
      <c r="F19" s="287"/>
      <c r="G19" s="287"/>
      <c r="H19" s="287"/>
      <c r="I19" s="287"/>
      <c r="J19" s="287"/>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row>
    <row r="20" spans="1:33" ht="16.5" customHeight="1" outlineLevel="2">
      <c r="A20" s="434"/>
      <c r="B20" s="708">
        <f>B13+1</f>
        <v>2</v>
      </c>
      <c r="C20" s="331" t="str">
        <f>Product_02</f>
        <v>Workstations</v>
      </c>
      <c r="D20" s="275"/>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row>
    <row r="21" spans="1:33" ht="16.5" customHeight="1" outlineLevel="2">
      <c r="A21" s="434"/>
      <c r="B21" s="434"/>
      <c r="C21" s="40" t="str">
        <f>Inputs!$C$49</f>
        <v>Fill in name or positon here</v>
      </c>
      <c r="D21" s="73" t="s">
        <v>39</v>
      </c>
      <c r="E21" s="705">
        <v>1</v>
      </c>
      <c r="F21" s="287"/>
      <c r="G21" s="287"/>
      <c r="H21" s="128"/>
      <c r="I21" s="128"/>
      <c r="J21" s="269"/>
      <c r="K21" s="269"/>
      <c r="L21" s="269"/>
      <c r="M21" s="269"/>
      <c r="N21" s="269"/>
      <c r="O21" s="269"/>
      <c r="P21" s="269">
        <v>1</v>
      </c>
      <c r="Q21" s="269">
        <v>1</v>
      </c>
      <c r="R21" s="269">
        <v>1</v>
      </c>
      <c r="S21" s="269">
        <v>1</v>
      </c>
      <c r="T21" s="269">
        <v>1</v>
      </c>
      <c r="U21" s="269">
        <v>1</v>
      </c>
      <c r="V21" s="269">
        <v>1</v>
      </c>
      <c r="W21" s="269">
        <v>1</v>
      </c>
      <c r="X21" s="269">
        <v>1</v>
      </c>
      <c r="Y21" s="269">
        <v>1</v>
      </c>
      <c r="Z21" s="269">
        <v>1</v>
      </c>
      <c r="AA21" s="269">
        <v>1</v>
      </c>
      <c r="AB21" s="269">
        <v>1</v>
      </c>
      <c r="AC21" s="269">
        <v>1</v>
      </c>
      <c r="AD21" s="269">
        <v>1</v>
      </c>
      <c r="AE21" s="269">
        <v>1</v>
      </c>
      <c r="AF21" s="269">
        <v>1</v>
      </c>
      <c r="AG21" s="269">
        <v>1</v>
      </c>
    </row>
    <row r="22" spans="1:33" ht="16.5" customHeight="1" outlineLevel="2">
      <c r="A22" s="434"/>
      <c r="B22" s="128"/>
      <c r="C22" s="40" t="str">
        <f>Inputs!$C$50</f>
        <v>Fill in name or positon here</v>
      </c>
      <c r="D22" s="73" t="s">
        <v>39</v>
      </c>
      <c r="E22" s="705">
        <v>1</v>
      </c>
      <c r="F22" s="287"/>
      <c r="G22" s="287"/>
      <c r="H22" s="128"/>
      <c r="I22" s="128"/>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row>
    <row r="23" spans="1:33" ht="16.5" customHeight="1" outlineLevel="2">
      <c r="A23" s="434"/>
      <c r="B23" s="128"/>
      <c r="C23" s="40" t="str">
        <f>Inputs!$C$51</f>
        <v>Fill in name or positon here</v>
      </c>
      <c r="D23" s="73" t="s">
        <v>39</v>
      </c>
      <c r="E23" s="705">
        <v>0</v>
      </c>
      <c r="F23" s="287"/>
      <c r="G23" s="287"/>
      <c r="H23" s="128"/>
      <c r="I23" s="128"/>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69"/>
      <c r="AG23" s="269"/>
    </row>
    <row r="24" spans="1:33" ht="16.5" customHeight="1" outlineLevel="2">
      <c r="A24" s="434"/>
      <c r="B24" s="128"/>
      <c r="C24" s="40" t="str">
        <f>Inputs!$C$52</f>
        <v>Fill in name or positon here</v>
      </c>
      <c r="D24" s="73" t="s">
        <v>39</v>
      </c>
      <c r="E24" s="705">
        <v>1</v>
      </c>
      <c r="F24" s="287"/>
      <c r="G24" s="287"/>
      <c r="H24" s="128"/>
      <c r="I24" s="128"/>
      <c r="J24" s="269"/>
      <c r="K24" s="269"/>
      <c r="L24" s="269"/>
      <c r="M24" s="269"/>
      <c r="N24" s="269"/>
      <c r="O24" s="269"/>
      <c r="P24" s="269"/>
      <c r="Q24" s="269"/>
      <c r="R24" s="269"/>
      <c r="S24" s="269"/>
      <c r="T24" s="269"/>
      <c r="U24" s="269"/>
      <c r="V24" s="269"/>
      <c r="W24" s="269"/>
      <c r="X24" s="269"/>
      <c r="Y24" s="269"/>
      <c r="Z24" s="269"/>
      <c r="AA24" s="269"/>
      <c r="AB24" s="269"/>
      <c r="AC24" s="269"/>
      <c r="AD24" s="269"/>
      <c r="AE24" s="269"/>
      <c r="AF24" s="269"/>
      <c r="AG24" s="269"/>
    </row>
    <row r="25" spans="1:33" ht="16.5" customHeight="1" outlineLevel="2">
      <c r="A25" s="434"/>
      <c r="B25" s="128"/>
      <c r="C25" s="75" t="s">
        <v>280</v>
      </c>
      <c r="D25" s="8"/>
      <c r="E25" s="36"/>
      <c r="F25" s="36"/>
      <c r="G25" s="36"/>
      <c r="H25" s="36"/>
      <c r="I25" s="346"/>
      <c r="J25" s="129">
        <f t="shared" ref="J25:AG25" si="1">SUM(J21:J24)*J$6</f>
        <v>0</v>
      </c>
      <c r="K25" s="129">
        <f t="shared" si="1"/>
        <v>0</v>
      </c>
      <c r="L25" s="129">
        <f t="shared" si="1"/>
        <v>0</v>
      </c>
      <c r="M25" s="129">
        <f t="shared" si="1"/>
        <v>0</v>
      </c>
      <c r="N25" s="129">
        <f t="shared" si="1"/>
        <v>0</v>
      </c>
      <c r="O25" s="129">
        <f t="shared" si="1"/>
        <v>0</v>
      </c>
      <c r="P25" s="129">
        <f t="shared" si="1"/>
        <v>1</v>
      </c>
      <c r="Q25" s="129">
        <f t="shared" si="1"/>
        <v>1</v>
      </c>
      <c r="R25" s="129">
        <f t="shared" si="1"/>
        <v>1</v>
      </c>
      <c r="S25" s="129">
        <f t="shared" si="1"/>
        <v>1</v>
      </c>
      <c r="T25" s="129">
        <f t="shared" si="1"/>
        <v>1</v>
      </c>
      <c r="U25" s="129">
        <f t="shared" si="1"/>
        <v>1</v>
      </c>
      <c r="V25" s="129">
        <f t="shared" si="1"/>
        <v>1</v>
      </c>
      <c r="W25" s="129">
        <f t="shared" si="1"/>
        <v>1</v>
      </c>
      <c r="X25" s="129">
        <f t="shared" si="1"/>
        <v>1</v>
      </c>
      <c r="Y25" s="129">
        <f t="shared" si="1"/>
        <v>1</v>
      </c>
      <c r="Z25" s="129">
        <f t="shared" si="1"/>
        <v>1</v>
      </c>
      <c r="AA25" s="129">
        <f t="shared" si="1"/>
        <v>1</v>
      </c>
      <c r="AB25" s="129">
        <f t="shared" si="1"/>
        <v>1</v>
      </c>
      <c r="AC25" s="129">
        <f t="shared" si="1"/>
        <v>1</v>
      </c>
      <c r="AD25" s="129">
        <f t="shared" si="1"/>
        <v>1</v>
      </c>
      <c r="AE25" s="129">
        <f t="shared" si="1"/>
        <v>0</v>
      </c>
      <c r="AF25" s="129">
        <f t="shared" si="1"/>
        <v>0</v>
      </c>
      <c r="AG25" s="129">
        <f t="shared" si="1"/>
        <v>0</v>
      </c>
    </row>
    <row r="26" spans="1:33" ht="16.5" customHeight="1" outlineLevel="2">
      <c r="A26" s="434"/>
      <c r="B26" s="128"/>
      <c r="C26" s="287"/>
      <c r="D26" s="275"/>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287"/>
      <c r="AF26" s="287"/>
      <c r="AG26" s="287"/>
    </row>
    <row r="27" spans="1:33" ht="16.5" customHeight="1" outlineLevel="2">
      <c r="A27" s="434"/>
      <c r="B27" s="708">
        <f>B20+1</f>
        <v>3</v>
      </c>
      <c r="C27" s="331" t="str">
        <f>Product_03</f>
        <v>Notebooks</v>
      </c>
      <c r="D27" s="275"/>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row>
    <row r="28" spans="1:33" ht="16.5" customHeight="1" outlineLevel="2">
      <c r="A28" s="434"/>
      <c r="B28" s="128"/>
      <c r="C28" s="40" t="str">
        <f>Inputs!$C$49</f>
        <v>Fill in name or positon here</v>
      </c>
      <c r="D28" s="73" t="s">
        <v>39</v>
      </c>
      <c r="E28" s="705">
        <v>1</v>
      </c>
      <c r="F28" s="287"/>
      <c r="G28" s="287"/>
      <c r="H28" s="128"/>
      <c r="I28" s="128"/>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row>
    <row r="29" spans="1:33" ht="16.5" customHeight="1" outlineLevel="2">
      <c r="A29" s="434"/>
      <c r="B29" s="128"/>
      <c r="C29" s="40" t="str">
        <f>Inputs!$C$50</f>
        <v>Fill in name or positon here</v>
      </c>
      <c r="D29" s="73" t="s">
        <v>39</v>
      </c>
      <c r="E29" s="705">
        <v>1</v>
      </c>
      <c r="F29" s="287"/>
      <c r="G29" s="287"/>
      <c r="H29" s="128"/>
      <c r="I29" s="128"/>
      <c r="J29" s="269"/>
      <c r="K29" s="269"/>
      <c r="L29" s="269"/>
      <c r="M29" s="269"/>
      <c r="N29" s="269"/>
      <c r="O29" s="269"/>
      <c r="P29" s="269"/>
      <c r="Q29" s="269"/>
      <c r="R29" s="269"/>
      <c r="S29" s="269"/>
      <c r="T29" s="269"/>
      <c r="U29" s="269"/>
      <c r="V29" s="269"/>
      <c r="W29" s="269"/>
      <c r="X29" s="269"/>
      <c r="Y29" s="269"/>
      <c r="Z29" s="269"/>
      <c r="AA29" s="269"/>
      <c r="AB29" s="269"/>
      <c r="AC29" s="269"/>
      <c r="AD29" s="269"/>
      <c r="AE29" s="269"/>
      <c r="AF29" s="269"/>
      <c r="AG29" s="269"/>
    </row>
    <row r="30" spans="1:33" ht="16.5" customHeight="1" outlineLevel="2">
      <c r="A30" s="434"/>
      <c r="B30" s="128"/>
      <c r="C30" s="40" t="str">
        <f>Inputs!$C$51</f>
        <v>Fill in name or positon here</v>
      </c>
      <c r="D30" s="73" t="s">
        <v>39</v>
      </c>
      <c r="E30" s="705">
        <v>1</v>
      </c>
      <c r="F30" s="287"/>
      <c r="G30" s="287"/>
      <c r="H30" s="128"/>
      <c r="I30" s="128"/>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row>
    <row r="31" spans="1:33" ht="16.5" customHeight="1" outlineLevel="2">
      <c r="A31" s="434"/>
      <c r="B31" s="128"/>
      <c r="C31" s="40" t="str">
        <f>Inputs!$C$52</f>
        <v>Fill in name or positon here</v>
      </c>
      <c r="D31" s="73" t="s">
        <v>39</v>
      </c>
      <c r="E31" s="705">
        <v>1</v>
      </c>
      <c r="F31" s="287"/>
      <c r="G31" s="287"/>
      <c r="H31" s="128"/>
      <c r="I31" s="128"/>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row>
    <row r="32" spans="1:33" ht="16.5" customHeight="1" outlineLevel="2">
      <c r="A32" s="434"/>
      <c r="B32" s="128"/>
      <c r="C32" s="75" t="s">
        <v>280</v>
      </c>
      <c r="D32" s="73"/>
      <c r="E32" s="36"/>
      <c r="F32" s="36"/>
      <c r="G32" s="36"/>
      <c r="H32" s="36"/>
      <c r="I32" s="346"/>
      <c r="J32" s="129">
        <f t="shared" ref="J32:AG32" si="2">SUM(J28:J31)*J$6</f>
        <v>0</v>
      </c>
      <c r="K32" s="129">
        <f t="shared" si="2"/>
        <v>0</v>
      </c>
      <c r="L32" s="129">
        <f t="shared" si="2"/>
        <v>0</v>
      </c>
      <c r="M32" s="129">
        <f t="shared" si="2"/>
        <v>0</v>
      </c>
      <c r="N32" s="129">
        <f t="shared" si="2"/>
        <v>0</v>
      </c>
      <c r="O32" s="129">
        <f t="shared" si="2"/>
        <v>0</v>
      </c>
      <c r="P32" s="129">
        <f t="shared" si="2"/>
        <v>0</v>
      </c>
      <c r="Q32" s="129">
        <f t="shared" si="2"/>
        <v>0</v>
      </c>
      <c r="R32" s="129">
        <f t="shared" si="2"/>
        <v>0</v>
      </c>
      <c r="S32" s="129">
        <f t="shared" si="2"/>
        <v>0</v>
      </c>
      <c r="T32" s="129">
        <f t="shared" si="2"/>
        <v>0</v>
      </c>
      <c r="U32" s="129">
        <f t="shared" si="2"/>
        <v>0</v>
      </c>
      <c r="V32" s="129">
        <f t="shared" si="2"/>
        <v>0</v>
      </c>
      <c r="W32" s="129">
        <f t="shared" si="2"/>
        <v>0</v>
      </c>
      <c r="X32" s="129">
        <f t="shared" si="2"/>
        <v>0</v>
      </c>
      <c r="Y32" s="129">
        <f t="shared" si="2"/>
        <v>0</v>
      </c>
      <c r="Z32" s="129">
        <f t="shared" si="2"/>
        <v>0</v>
      </c>
      <c r="AA32" s="129">
        <f t="shared" si="2"/>
        <v>0</v>
      </c>
      <c r="AB32" s="129">
        <f t="shared" si="2"/>
        <v>0</v>
      </c>
      <c r="AC32" s="129">
        <f t="shared" si="2"/>
        <v>0</v>
      </c>
      <c r="AD32" s="129">
        <f t="shared" si="2"/>
        <v>0</v>
      </c>
      <c r="AE32" s="129">
        <f t="shared" si="2"/>
        <v>0</v>
      </c>
      <c r="AF32" s="129">
        <f t="shared" si="2"/>
        <v>0</v>
      </c>
      <c r="AG32" s="129">
        <f t="shared" si="2"/>
        <v>0</v>
      </c>
    </row>
    <row r="33" spans="1:33" ht="16.5" customHeight="1" outlineLevel="2">
      <c r="A33" s="434"/>
      <c r="B33" s="128"/>
      <c r="C33" s="287"/>
      <c r="D33" s="275"/>
      <c r="E33" s="287"/>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E33" s="287"/>
      <c r="AF33" s="287"/>
      <c r="AG33" s="287"/>
    </row>
    <row r="34" spans="1:33" ht="16.5" customHeight="1" outlineLevel="2">
      <c r="A34" s="434"/>
      <c r="B34" s="708">
        <f>B27+1</f>
        <v>4</v>
      </c>
      <c r="C34" s="331" t="str">
        <f>Product_04</f>
        <v>Software Products</v>
      </c>
      <c r="D34" s="275"/>
      <c r="E34" s="287"/>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row>
    <row r="35" spans="1:33" ht="16.5" customHeight="1" outlineLevel="2">
      <c r="A35" s="434"/>
      <c r="B35" s="128"/>
      <c r="C35" s="40" t="str">
        <f>Inputs!$C$49</f>
        <v>Fill in name or positon here</v>
      </c>
      <c r="D35" s="73" t="s">
        <v>39</v>
      </c>
      <c r="E35" s="705">
        <v>1</v>
      </c>
      <c r="F35" s="287"/>
      <c r="G35" s="287"/>
      <c r="H35" s="128"/>
      <c r="I35" s="128"/>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row>
    <row r="36" spans="1:33" ht="16.5" customHeight="1" outlineLevel="2">
      <c r="A36" s="434"/>
      <c r="B36" s="128"/>
      <c r="C36" s="40" t="str">
        <f>Inputs!$C$50</f>
        <v>Fill in name or positon here</v>
      </c>
      <c r="D36" s="73" t="s">
        <v>39</v>
      </c>
      <c r="E36" s="705">
        <v>1</v>
      </c>
      <c r="F36" s="287"/>
      <c r="G36" s="287"/>
      <c r="H36" s="128"/>
      <c r="I36" s="128"/>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row>
    <row r="37" spans="1:33" ht="16.5" customHeight="1" outlineLevel="2">
      <c r="A37" s="434"/>
      <c r="B37" s="128"/>
      <c r="C37" s="40" t="str">
        <f>Inputs!$C$51</f>
        <v>Fill in name or positon here</v>
      </c>
      <c r="D37" s="73" t="s">
        <v>39</v>
      </c>
      <c r="E37" s="705">
        <v>0</v>
      </c>
      <c r="F37" s="287"/>
      <c r="G37" s="287"/>
      <c r="H37" s="128"/>
      <c r="I37" s="128"/>
      <c r="J37" s="269"/>
      <c r="K37" s="269"/>
      <c r="L37" s="269"/>
      <c r="M37" s="269"/>
      <c r="N37" s="269"/>
      <c r="O37" s="269"/>
      <c r="P37" s="269"/>
      <c r="Q37" s="269"/>
      <c r="R37" s="269"/>
      <c r="S37" s="269"/>
      <c r="T37" s="269"/>
      <c r="U37" s="269"/>
      <c r="V37" s="269"/>
      <c r="W37" s="269"/>
      <c r="X37" s="269"/>
      <c r="Y37" s="269"/>
      <c r="Z37" s="269"/>
      <c r="AA37" s="269"/>
      <c r="AB37" s="269"/>
      <c r="AC37" s="269"/>
      <c r="AD37" s="269"/>
      <c r="AE37" s="269"/>
      <c r="AF37" s="269"/>
      <c r="AG37" s="269"/>
    </row>
    <row r="38" spans="1:33" ht="16.5" customHeight="1" outlineLevel="2">
      <c r="A38" s="434"/>
      <c r="B38" s="128"/>
      <c r="C38" s="40" t="str">
        <f>Inputs!$C$52</f>
        <v>Fill in name or positon here</v>
      </c>
      <c r="D38" s="73" t="s">
        <v>39</v>
      </c>
      <c r="E38" s="705">
        <v>1</v>
      </c>
      <c r="F38" s="287"/>
      <c r="G38" s="287"/>
      <c r="H38" s="128"/>
      <c r="I38" s="128"/>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row>
    <row r="39" spans="1:33" ht="16.5" customHeight="1" outlineLevel="2">
      <c r="A39" s="434"/>
      <c r="B39" s="128"/>
      <c r="C39" s="75" t="s">
        <v>280</v>
      </c>
      <c r="D39" s="73"/>
      <c r="E39" s="36"/>
      <c r="F39" s="36"/>
      <c r="G39" s="36"/>
      <c r="H39" s="36"/>
      <c r="I39" s="346"/>
      <c r="J39" s="129">
        <f t="shared" ref="J39:AG39" si="3">SUM(J35:J38)*J$6</f>
        <v>0</v>
      </c>
      <c r="K39" s="129">
        <f t="shared" si="3"/>
        <v>0</v>
      </c>
      <c r="L39" s="129">
        <f t="shared" si="3"/>
        <v>0</v>
      </c>
      <c r="M39" s="129">
        <f t="shared" si="3"/>
        <v>0</v>
      </c>
      <c r="N39" s="129">
        <f t="shared" si="3"/>
        <v>0</v>
      </c>
      <c r="O39" s="129">
        <f t="shared" si="3"/>
        <v>0</v>
      </c>
      <c r="P39" s="129">
        <f t="shared" si="3"/>
        <v>0</v>
      </c>
      <c r="Q39" s="129">
        <f t="shared" si="3"/>
        <v>0</v>
      </c>
      <c r="R39" s="129">
        <f t="shared" si="3"/>
        <v>0</v>
      </c>
      <c r="S39" s="129">
        <f t="shared" si="3"/>
        <v>0</v>
      </c>
      <c r="T39" s="129">
        <f t="shared" si="3"/>
        <v>0</v>
      </c>
      <c r="U39" s="129">
        <f t="shared" si="3"/>
        <v>0</v>
      </c>
      <c r="V39" s="129">
        <f t="shared" si="3"/>
        <v>0</v>
      </c>
      <c r="W39" s="129">
        <f t="shared" si="3"/>
        <v>0</v>
      </c>
      <c r="X39" s="129">
        <f t="shared" si="3"/>
        <v>0</v>
      </c>
      <c r="Y39" s="129">
        <f t="shared" si="3"/>
        <v>0</v>
      </c>
      <c r="Z39" s="129">
        <f t="shared" si="3"/>
        <v>0</v>
      </c>
      <c r="AA39" s="129">
        <f t="shared" si="3"/>
        <v>0</v>
      </c>
      <c r="AB39" s="129">
        <f t="shared" si="3"/>
        <v>0</v>
      </c>
      <c r="AC39" s="129">
        <f t="shared" si="3"/>
        <v>0</v>
      </c>
      <c r="AD39" s="129">
        <f t="shared" si="3"/>
        <v>0</v>
      </c>
      <c r="AE39" s="129">
        <f t="shared" si="3"/>
        <v>0</v>
      </c>
      <c r="AF39" s="129">
        <f t="shared" si="3"/>
        <v>0</v>
      </c>
      <c r="AG39" s="129">
        <f t="shared" si="3"/>
        <v>0</v>
      </c>
    </row>
    <row r="40" spans="1:33" ht="16.5" customHeight="1" outlineLevel="2">
      <c r="A40" s="434"/>
      <c r="B40" s="128"/>
      <c r="C40" s="287"/>
      <c r="D40" s="275"/>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row>
    <row r="41" spans="1:33" ht="16.5" customHeight="1" outlineLevel="2">
      <c r="A41" s="434"/>
      <c r="B41" s="708">
        <f>B34+1</f>
        <v>5</v>
      </c>
      <c r="C41" s="331" t="str">
        <f>Product_05</f>
        <v>Net work infrastructure solutions</v>
      </c>
      <c r="D41" s="275"/>
      <c r="E41" s="287"/>
      <c r="F41" s="128"/>
      <c r="G41" s="128"/>
      <c r="H41" s="128"/>
      <c r="I41" s="128"/>
      <c r="J41" s="128"/>
      <c r="K41" s="287"/>
      <c r="L41" s="287"/>
      <c r="M41" s="287"/>
      <c r="N41" s="287"/>
      <c r="O41" s="287"/>
      <c r="P41" s="287"/>
      <c r="Q41" s="287"/>
      <c r="R41" s="287"/>
      <c r="S41" s="287"/>
      <c r="T41" s="287"/>
      <c r="U41" s="287"/>
      <c r="V41" s="287"/>
      <c r="W41" s="287"/>
      <c r="X41" s="287"/>
      <c r="Y41" s="287"/>
      <c r="Z41" s="287"/>
      <c r="AA41" s="287"/>
      <c r="AB41" s="287"/>
      <c r="AC41" s="287"/>
      <c r="AD41" s="287"/>
      <c r="AE41" s="287"/>
      <c r="AF41" s="287"/>
      <c r="AG41" s="287"/>
    </row>
    <row r="42" spans="1:33" ht="16.5" customHeight="1" outlineLevel="2">
      <c r="A42" s="434"/>
      <c r="B42" s="128"/>
      <c r="C42" s="40" t="str">
        <f>Inputs!$C$49</f>
        <v>Fill in name or positon here</v>
      </c>
      <c r="D42" s="73" t="s">
        <v>39</v>
      </c>
      <c r="E42" s="705">
        <v>1</v>
      </c>
      <c r="F42" s="287"/>
      <c r="G42" s="287"/>
      <c r="H42" s="128"/>
      <c r="I42" s="128"/>
      <c r="J42" s="269"/>
      <c r="K42" s="269"/>
      <c r="L42" s="269"/>
      <c r="M42" s="269"/>
      <c r="N42" s="269"/>
      <c r="O42" s="269"/>
      <c r="P42" s="269"/>
      <c r="Q42" s="269"/>
      <c r="R42" s="269"/>
      <c r="S42" s="269"/>
      <c r="T42" s="269"/>
      <c r="U42" s="269"/>
      <c r="V42" s="269"/>
      <c r="W42" s="269"/>
      <c r="X42" s="269"/>
      <c r="Y42" s="269"/>
      <c r="Z42" s="269"/>
      <c r="AA42" s="269"/>
      <c r="AB42" s="269"/>
      <c r="AC42" s="269"/>
      <c r="AD42" s="269"/>
      <c r="AE42" s="269"/>
      <c r="AF42" s="269"/>
      <c r="AG42" s="269"/>
    </row>
    <row r="43" spans="1:33" ht="16.5" customHeight="1" outlineLevel="2">
      <c r="A43" s="434"/>
      <c r="B43" s="128"/>
      <c r="C43" s="40" t="str">
        <f>Inputs!$C$50</f>
        <v>Fill in name or positon here</v>
      </c>
      <c r="D43" s="73" t="s">
        <v>39</v>
      </c>
      <c r="E43" s="705">
        <v>1</v>
      </c>
      <c r="F43" s="287"/>
      <c r="G43" s="287"/>
      <c r="H43" s="128"/>
      <c r="I43" s="128"/>
      <c r="J43" s="269"/>
      <c r="K43" s="269"/>
      <c r="L43" s="269"/>
      <c r="M43" s="269"/>
      <c r="N43" s="269"/>
      <c r="O43" s="269"/>
      <c r="P43" s="269"/>
      <c r="Q43" s="269"/>
      <c r="R43" s="269"/>
      <c r="S43" s="269"/>
      <c r="T43" s="269"/>
      <c r="U43" s="269"/>
      <c r="V43" s="269"/>
      <c r="W43" s="269"/>
      <c r="X43" s="269"/>
      <c r="Y43" s="269"/>
      <c r="Z43" s="269"/>
      <c r="AA43" s="269"/>
      <c r="AB43" s="269"/>
      <c r="AC43" s="269"/>
      <c r="AD43" s="269"/>
      <c r="AE43" s="269"/>
      <c r="AF43" s="269"/>
      <c r="AG43" s="269"/>
    </row>
    <row r="44" spans="1:33" ht="16.5" customHeight="1" outlineLevel="2">
      <c r="A44" s="434"/>
      <c r="B44" s="128"/>
      <c r="C44" s="40" t="str">
        <f>Inputs!$C$51</f>
        <v>Fill in name or positon here</v>
      </c>
      <c r="D44" s="73" t="s">
        <v>39</v>
      </c>
      <c r="E44" s="705">
        <v>1</v>
      </c>
      <c r="F44" s="287"/>
      <c r="G44" s="287"/>
      <c r="H44" s="128"/>
      <c r="I44" s="128"/>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row>
    <row r="45" spans="1:33" ht="16.5" customHeight="1" outlineLevel="2">
      <c r="A45" s="434"/>
      <c r="B45" s="128"/>
      <c r="C45" s="40" t="str">
        <f>Inputs!$C$52</f>
        <v>Fill in name or positon here</v>
      </c>
      <c r="D45" s="73" t="s">
        <v>39</v>
      </c>
      <c r="E45" s="705">
        <v>1</v>
      </c>
      <c r="F45" s="287"/>
      <c r="G45" s="287"/>
      <c r="H45" s="128"/>
      <c r="I45" s="128"/>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row>
    <row r="46" spans="1:33" ht="16.5" customHeight="1" outlineLevel="2">
      <c r="A46" s="434"/>
      <c r="B46" s="128"/>
      <c r="C46" s="75" t="s">
        <v>280</v>
      </c>
      <c r="D46" s="73"/>
      <c r="E46" s="36"/>
      <c r="F46" s="36"/>
      <c r="G46" s="36"/>
      <c r="H46" s="36"/>
      <c r="I46" s="346"/>
      <c r="J46" s="129">
        <f t="shared" ref="J46:AG46" si="4">SUM(J42:J45)*J$6</f>
        <v>0</v>
      </c>
      <c r="K46" s="129">
        <f t="shared" si="4"/>
        <v>0</v>
      </c>
      <c r="L46" s="129">
        <f t="shared" si="4"/>
        <v>0</v>
      </c>
      <c r="M46" s="129">
        <f t="shared" si="4"/>
        <v>0</v>
      </c>
      <c r="N46" s="129">
        <f t="shared" si="4"/>
        <v>0</v>
      </c>
      <c r="O46" s="129">
        <f t="shared" si="4"/>
        <v>0</v>
      </c>
      <c r="P46" s="129">
        <f t="shared" si="4"/>
        <v>0</v>
      </c>
      <c r="Q46" s="129">
        <f t="shared" si="4"/>
        <v>0</v>
      </c>
      <c r="R46" s="129">
        <f t="shared" si="4"/>
        <v>0</v>
      </c>
      <c r="S46" s="129">
        <f t="shared" si="4"/>
        <v>0</v>
      </c>
      <c r="T46" s="129">
        <f t="shared" si="4"/>
        <v>0</v>
      </c>
      <c r="U46" s="129">
        <f t="shared" si="4"/>
        <v>0</v>
      </c>
      <c r="V46" s="129">
        <f t="shared" si="4"/>
        <v>0</v>
      </c>
      <c r="W46" s="129">
        <f t="shared" si="4"/>
        <v>0</v>
      </c>
      <c r="X46" s="129">
        <f t="shared" si="4"/>
        <v>0</v>
      </c>
      <c r="Y46" s="129">
        <f t="shared" si="4"/>
        <v>0</v>
      </c>
      <c r="Z46" s="129">
        <f t="shared" si="4"/>
        <v>0</v>
      </c>
      <c r="AA46" s="129">
        <f t="shared" si="4"/>
        <v>0</v>
      </c>
      <c r="AB46" s="129">
        <f t="shared" si="4"/>
        <v>0</v>
      </c>
      <c r="AC46" s="129">
        <f t="shared" si="4"/>
        <v>0</v>
      </c>
      <c r="AD46" s="129">
        <f t="shared" si="4"/>
        <v>0</v>
      </c>
      <c r="AE46" s="129">
        <f t="shared" si="4"/>
        <v>0</v>
      </c>
      <c r="AF46" s="129">
        <f t="shared" si="4"/>
        <v>0</v>
      </c>
      <c r="AG46" s="129">
        <f t="shared" si="4"/>
        <v>0</v>
      </c>
    </row>
    <row r="47" spans="1:33" ht="16.5" customHeight="1" outlineLevel="2">
      <c r="A47" s="434"/>
      <c r="B47" s="128"/>
      <c r="C47" s="287"/>
      <c r="D47" s="275"/>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E47" s="287"/>
      <c r="AF47" s="287"/>
      <c r="AG47" s="287"/>
    </row>
    <row r="48" spans="1:33" ht="16.5" customHeight="1" outlineLevel="2">
      <c r="A48" s="434"/>
      <c r="B48" s="708">
        <f>B41+1</f>
        <v>6</v>
      </c>
      <c r="C48" s="331" t="str">
        <f>Product_06</f>
        <v>Repair Services</v>
      </c>
      <c r="D48" s="275"/>
      <c r="E48" s="287"/>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row>
    <row r="49" spans="1:33" ht="16.5" customHeight="1" outlineLevel="2">
      <c r="A49" s="434"/>
      <c r="B49" s="128"/>
      <c r="C49" s="40" t="str">
        <f>Inputs!$C$49</f>
        <v>Fill in name or positon here</v>
      </c>
      <c r="D49" s="73" t="s">
        <v>39</v>
      </c>
      <c r="E49" s="705">
        <v>1</v>
      </c>
      <c r="F49" s="287"/>
      <c r="G49" s="287"/>
      <c r="H49" s="128"/>
      <c r="I49" s="128"/>
      <c r="J49" s="269">
        <v>1</v>
      </c>
      <c r="K49" s="269">
        <v>1</v>
      </c>
      <c r="L49" s="269">
        <v>1</v>
      </c>
      <c r="M49" s="269">
        <v>1</v>
      </c>
      <c r="N49" s="269">
        <v>1</v>
      </c>
      <c r="O49" s="269">
        <v>1</v>
      </c>
      <c r="P49" s="269">
        <v>1</v>
      </c>
      <c r="Q49" s="269">
        <v>2</v>
      </c>
      <c r="R49" s="269">
        <v>2</v>
      </c>
      <c r="S49" s="269">
        <v>2</v>
      </c>
      <c r="T49" s="269">
        <v>2</v>
      </c>
      <c r="U49" s="269">
        <v>2</v>
      </c>
      <c r="V49" s="269">
        <v>2</v>
      </c>
      <c r="W49" s="269">
        <v>2</v>
      </c>
      <c r="X49" s="269">
        <v>2</v>
      </c>
      <c r="Y49" s="269">
        <v>2</v>
      </c>
      <c r="Z49" s="269">
        <v>2</v>
      </c>
      <c r="AA49" s="269">
        <v>2</v>
      </c>
      <c r="AB49" s="269">
        <v>2</v>
      </c>
      <c r="AC49" s="269">
        <v>2</v>
      </c>
      <c r="AD49" s="269">
        <v>2</v>
      </c>
      <c r="AE49" s="269">
        <v>2</v>
      </c>
      <c r="AF49" s="269">
        <v>2</v>
      </c>
      <c r="AG49" s="269">
        <v>2</v>
      </c>
    </row>
    <row r="50" spans="1:33" ht="16.5" customHeight="1" outlineLevel="2">
      <c r="A50" s="434"/>
      <c r="B50" s="128"/>
      <c r="C50" s="40" t="str">
        <f>Inputs!$C$50</f>
        <v>Fill in name or positon here</v>
      </c>
      <c r="D50" s="73" t="s">
        <v>39</v>
      </c>
      <c r="E50" s="705">
        <v>1</v>
      </c>
      <c r="F50" s="287"/>
      <c r="G50" s="287"/>
      <c r="H50" s="128"/>
      <c r="I50" s="128"/>
      <c r="J50" s="269"/>
      <c r="K50" s="269"/>
      <c r="L50" s="269"/>
      <c r="M50" s="269"/>
      <c r="N50" s="269"/>
      <c r="O50" s="269"/>
      <c r="P50" s="269"/>
      <c r="Q50" s="269"/>
      <c r="R50" s="269"/>
      <c r="S50" s="269"/>
      <c r="T50" s="269"/>
      <c r="U50" s="269"/>
      <c r="V50" s="269"/>
      <c r="W50" s="269"/>
      <c r="X50" s="269"/>
      <c r="Y50" s="269"/>
      <c r="Z50" s="269"/>
      <c r="AA50" s="269"/>
      <c r="AB50" s="269"/>
      <c r="AC50" s="269"/>
      <c r="AD50" s="269"/>
      <c r="AE50" s="269"/>
      <c r="AF50" s="269"/>
      <c r="AG50" s="269"/>
    </row>
    <row r="51" spans="1:33" ht="16.5" customHeight="1" outlineLevel="2">
      <c r="A51" s="434"/>
      <c r="B51" s="128"/>
      <c r="C51" s="40" t="str">
        <f>Inputs!$C$51</f>
        <v>Fill in name or positon here</v>
      </c>
      <c r="D51" s="73" t="s">
        <v>39</v>
      </c>
      <c r="E51" s="705">
        <v>1</v>
      </c>
      <c r="F51" s="287"/>
      <c r="G51" s="287"/>
      <c r="H51" s="128"/>
      <c r="I51" s="128"/>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row>
    <row r="52" spans="1:33" ht="16.5" customHeight="1" outlineLevel="2">
      <c r="A52" s="434"/>
      <c r="B52" s="128"/>
      <c r="C52" s="40" t="str">
        <f>Inputs!$C$52</f>
        <v>Fill in name or positon here</v>
      </c>
      <c r="D52" s="73" t="s">
        <v>39</v>
      </c>
      <c r="E52" s="705">
        <v>1</v>
      </c>
      <c r="F52" s="287"/>
      <c r="G52" s="287"/>
      <c r="H52" s="128"/>
      <c r="I52" s="128"/>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69"/>
    </row>
    <row r="53" spans="1:33" ht="16.5" customHeight="1" outlineLevel="2">
      <c r="A53" s="434"/>
      <c r="B53" s="128"/>
      <c r="C53" s="75" t="s">
        <v>280</v>
      </c>
      <c r="D53" s="73"/>
      <c r="E53" s="36"/>
      <c r="F53" s="36"/>
      <c r="G53" s="36"/>
      <c r="H53" s="36"/>
      <c r="I53" s="346"/>
      <c r="J53" s="129">
        <f t="shared" ref="J53:AG53" si="5">SUM(J49:J52)*J$6</f>
        <v>1</v>
      </c>
      <c r="K53" s="129">
        <f t="shared" si="5"/>
        <v>1</v>
      </c>
      <c r="L53" s="129">
        <f t="shared" si="5"/>
        <v>1</v>
      </c>
      <c r="M53" s="129">
        <f t="shared" si="5"/>
        <v>1</v>
      </c>
      <c r="N53" s="129">
        <f t="shared" si="5"/>
        <v>1</v>
      </c>
      <c r="O53" s="129">
        <f t="shared" si="5"/>
        <v>1</v>
      </c>
      <c r="P53" s="129">
        <f t="shared" si="5"/>
        <v>1</v>
      </c>
      <c r="Q53" s="129">
        <f t="shared" si="5"/>
        <v>2</v>
      </c>
      <c r="R53" s="129">
        <f t="shared" si="5"/>
        <v>2</v>
      </c>
      <c r="S53" s="129">
        <f t="shared" si="5"/>
        <v>2</v>
      </c>
      <c r="T53" s="129">
        <f t="shared" si="5"/>
        <v>2</v>
      </c>
      <c r="U53" s="129">
        <f t="shared" si="5"/>
        <v>2</v>
      </c>
      <c r="V53" s="129">
        <f t="shared" si="5"/>
        <v>2</v>
      </c>
      <c r="W53" s="129">
        <f t="shared" si="5"/>
        <v>2</v>
      </c>
      <c r="X53" s="129">
        <f t="shared" si="5"/>
        <v>2</v>
      </c>
      <c r="Y53" s="129">
        <f t="shared" si="5"/>
        <v>2</v>
      </c>
      <c r="Z53" s="129">
        <f t="shared" si="5"/>
        <v>2</v>
      </c>
      <c r="AA53" s="129">
        <f t="shared" si="5"/>
        <v>2</v>
      </c>
      <c r="AB53" s="129">
        <f t="shared" si="5"/>
        <v>2</v>
      </c>
      <c r="AC53" s="129">
        <f t="shared" si="5"/>
        <v>2</v>
      </c>
      <c r="AD53" s="129">
        <f t="shared" si="5"/>
        <v>2</v>
      </c>
      <c r="AE53" s="129">
        <f t="shared" si="5"/>
        <v>0</v>
      </c>
      <c r="AF53" s="129">
        <f t="shared" si="5"/>
        <v>0</v>
      </c>
      <c r="AG53" s="129">
        <f t="shared" si="5"/>
        <v>0</v>
      </c>
    </row>
    <row r="54" spans="1:33" ht="16.5" customHeight="1" outlineLevel="2">
      <c r="A54" s="434"/>
      <c r="B54" s="128"/>
      <c r="C54" s="287"/>
      <c r="D54" s="275"/>
      <c r="E54" s="287"/>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E54" s="287"/>
      <c r="AF54" s="287"/>
      <c r="AG54" s="287"/>
    </row>
    <row r="55" spans="1:33" ht="16.5" customHeight="1" outlineLevel="2">
      <c r="A55" s="434"/>
      <c r="B55" s="708">
        <f>B48+1</f>
        <v>7</v>
      </c>
      <c r="C55" s="331" t="str">
        <f>Product_07</f>
        <v>Integration Services</v>
      </c>
      <c r="D55" s="275"/>
      <c r="E55" s="287"/>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row>
    <row r="56" spans="1:33" ht="16.5" customHeight="1" outlineLevel="2">
      <c r="A56" s="434"/>
      <c r="B56" s="128"/>
      <c r="C56" s="40" t="str">
        <f>Inputs!$C$49</f>
        <v>Fill in name or positon here</v>
      </c>
      <c r="D56" s="73" t="s">
        <v>39</v>
      </c>
      <c r="E56" s="705">
        <v>1</v>
      </c>
      <c r="F56" s="287"/>
      <c r="G56" s="287"/>
      <c r="H56" s="128"/>
      <c r="I56" s="128"/>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69"/>
    </row>
    <row r="57" spans="1:33" ht="16.5" customHeight="1" outlineLevel="2">
      <c r="A57" s="434"/>
      <c r="B57" s="128"/>
      <c r="C57" s="40" t="str">
        <f>Inputs!$C$50</f>
        <v>Fill in name or positon here</v>
      </c>
      <c r="D57" s="73" t="s">
        <v>39</v>
      </c>
      <c r="E57" s="705">
        <v>1</v>
      </c>
      <c r="F57" s="287"/>
      <c r="G57" s="287"/>
      <c r="H57" s="128"/>
      <c r="I57" s="128"/>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69"/>
    </row>
    <row r="58" spans="1:33" ht="16.5" customHeight="1" outlineLevel="2">
      <c r="A58" s="434"/>
      <c r="B58" s="128"/>
      <c r="C58" s="40" t="str">
        <f>Inputs!$C$51</f>
        <v>Fill in name or positon here</v>
      </c>
      <c r="D58" s="73" t="s">
        <v>39</v>
      </c>
      <c r="E58" s="705">
        <v>1</v>
      </c>
      <c r="F58" s="287"/>
      <c r="G58" s="287"/>
      <c r="H58" s="128"/>
      <c r="I58" s="128"/>
      <c r="J58" s="269"/>
      <c r="K58" s="269"/>
      <c r="L58" s="269"/>
      <c r="M58" s="269"/>
      <c r="N58" s="269"/>
      <c r="O58" s="269"/>
      <c r="P58" s="269"/>
      <c r="Q58" s="269"/>
      <c r="R58" s="269"/>
      <c r="S58" s="269"/>
      <c r="T58" s="269"/>
      <c r="U58" s="269"/>
      <c r="V58" s="269"/>
      <c r="W58" s="269"/>
      <c r="X58" s="269"/>
      <c r="Y58" s="269"/>
      <c r="Z58" s="269"/>
      <c r="AA58" s="269"/>
      <c r="AB58" s="269"/>
      <c r="AC58" s="269"/>
      <c r="AD58" s="269"/>
      <c r="AE58" s="269"/>
      <c r="AF58" s="269"/>
      <c r="AG58" s="269"/>
    </row>
    <row r="59" spans="1:33" ht="16.5" customHeight="1" outlineLevel="2">
      <c r="A59" s="434"/>
      <c r="B59" s="128"/>
      <c r="C59" s="40" t="str">
        <f>Inputs!$C$52</f>
        <v>Fill in name or positon here</v>
      </c>
      <c r="D59" s="73" t="s">
        <v>39</v>
      </c>
      <c r="E59" s="705">
        <v>1</v>
      </c>
      <c r="F59" s="287"/>
      <c r="G59" s="287"/>
      <c r="H59" s="128"/>
      <c r="I59" s="128"/>
      <c r="J59" s="269"/>
      <c r="K59" s="269"/>
      <c r="L59" s="269"/>
      <c r="M59" s="269"/>
      <c r="N59" s="269"/>
      <c r="O59" s="269"/>
      <c r="P59" s="269"/>
      <c r="Q59" s="269"/>
      <c r="R59" s="269"/>
      <c r="S59" s="269"/>
      <c r="T59" s="269"/>
      <c r="U59" s="269"/>
      <c r="V59" s="269"/>
      <c r="W59" s="269"/>
      <c r="X59" s="269"/>
      <c r="Y59" s="269"/>
      <c r="Z59" s="269"/>
      <c r="AA59" s="269"/>
      <c r="AB59" s="269"/>
      <c r="AC59" s="269"/>
      <c r="AD59" s="269"/>
      <c r="AE59" s="269"/>
      <c r="AF59" s="269"/>
      <c r="AG59" s="269"/>
    </row>
    <row r="60" spans="1:33" ht="16.5" customHeight="1" outlineLevel="2">
      <c r="A60" s="434"/>
      <c r="B60" s="128"/>
      <c r="C60" s="75" t="s">
        <v>280</v>
      </c>
      <c r="D60" s="73"/>
      <c r="E60" s="36"/>
      <c r="F60" s="36"/>
      <c r="G60" s="36"/>
      <c r="H60" s="36"/>
      <c r="I60" s="346"/>
      <c r="J60" s="129">
        <f t="shared" ref="J60:AG60" si="6">SUM(J56:J59)*J$6</f>
        <v>0</v>
      </c>
      <c r="K60" s="129">
        <f t="shared" si="6"/>
        <v>0</v>
      </c>
      <c r="L60" s="129">
        <f t="shared" si="6"/>
        <v>0</v>
      </c>
      <c r="M60" s="129">
        <f t="shared" si="6"/>
        <v>0</v>
      </c>
      <c r="N60" s="129">
        <f t="shared" si="6"/>
        <v>0</v>
      </c>
      <c r="O60" s="129">
        <f t="shared" si="6"/>
        <v>0</v>
      </c>
      <c r="P60" s="129">
        <f t="shared" si="6"/>
        <v>0</v>
      </c>
      <c r="Q60" s="129">
        <f t="shared" si="6"/>
        <v>0</v>
      </c>
      <c r="R60" s="129">
        <f t="shared" si="6"/>
        <v>0</v>
      </c>
      <c r="S60" s="129">
        <f t="shared" si="6"/>
        <v>0</v>
      </c>
      <c r="T60" s="129">
        <f t="shared" si="6"/>
        <v>0</v>
      </c>
      <c r="U60" s="129">
        <f t="shared" si="6"/>
        <v>0</v>
      </c>
      <c r="V60" s="129">
        <f t="shared" si="6"/>
        <v>0</v>
      </c>
      <c r="W60" s="129">
        <f t="shared" si="6"/>
        <v>0</v>
      </c>
      <c r="X60" s="129">
        <f t="shared" si="6"/>
        <v>0</v>
      </c>
      <c r="Y60" s="129">
        <f t="shared" si="6"/>
        <v>0</v>
      </c>
      <c r="Z60" s="129">
        <f t="shared" si="6"/>
        <v>0</v>
      </c>
      <c r="AA60" s="129">
        <f t="shared" si="6"/>
        <v>0</v>
      </c>
      <c r="AB60" s="129">
        <f t="shared" si="6"/>
        <v>0</v>
      </c>
      <c r="AC60" s="129">
        <f t="shared" si="6"/>
        <v>0</v>
      </c>
      <c r="AD60" s="129">
        <f t="shared" si="6"/>
        <v>0</v>
      </c>
      <c r="AE60" s="129">
        <f t="shared" si="6"/>
        <v>0</v>
      </c>
      <c r="AF60" s="129">
        <f t="shared" si="6"/>
        <v>0</v>
      </c>
      <c r="AG60" s="129">
        <f t="shared" si="6"/>
        <v>0</v>
      </c>
    </row>
    <row r="61" spans="1:33" ht="16.5" customHeight="1" outlineLevel="2">
      <c r="A61" s="434"/>
      <c r="B61" s="128"/>
      <c r="C61" s="287"/>
      <c r="D61" s="275"/>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row>
    <row r="62" spans="1:33" ht="16.5" customHeight="1" outlineLevel="2">
      <c r="A62" s="434"/>
      <c r="B62" s="708">
        <f>B55+1</f>
        <v>8</v>
      </c>
      <c r="C62" s="331" t="str">
        <f>Product_08</f>
        <v>Consulting Services</v>
      </c>
      <c r="D62" s="275"/>
      <c r="E62" s="287"/>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row>
    <row r="63" spans="1:33" ht="16.5" customHeight="1" outlineLevel="2">
      <c r="A63" s="434"/>
      <c r="B63" s="128"/>
      <c r="C63" s="40" t="str">
        <f>Inputs!$C$49</f>
        <v>Fill in name or positon here</v>
      </c>
      <c r="D63" s="73" t="s">
        <v>39</v>
      </c>
      <c r="E63" s="705">
        <v>1</v>
      </c>
      <c r="F63" s="287"/>
      <c r="G63" s="287"/>
      <c r="H63" s="128"/>
      <c r="I63" s="128"/>
      <c r="J63" s="269"/>
      <c r="K63" s="269"/>
      <c r="L63" s="269"/>
      <c r="M63" s="269"/>
      <c r="N63" s="269"/>
      <c r="O63" s="269"/>
      <c r="P63" s="269"/>
      <c r="Q63" s="269"/>
      <c r="R63" s="269"/>
      <c r="S63" s="269"/>
      <c r="T63" s="269"/>
      <c r="U63" s="269"/>
      <c r="V63" s="269"/>
      <c r="W63" s="269"/>
      <c r="X63" s="269"/>
      <c r="Y63" s="269"/>
      <c r="Z63" s="269"/>
      <c r="AA63" s="269"/>
      <c r="AB63" s="269"/>
      <c r="AC63" s="269"/>
      <c r="AD63" s="269"/>
      <c r="AE63" s="269"/>
      <c r="AF63" s="269"/>
      <c r="AG63" s="269"/>
    </row>
    <row r="64" spans="1:33" ht="16.5" customHeight="1" outlineLevel="2">
      <c r="A64" s="434"/>
      <c r="B64" s="128"/>
      <c r="C64" s="40" t="str">
        <f>Inputs!$C$50</f>
        <v>Fill in name or positon here</v>
      </c>
      <c r="D64" s="73" t="s">
        <v>39</v>
      </c>
      <c r="E64" s="705">
        <v>1</v>
      </c>
      <c r="F64" s="287"/>
      <c r="G64" s="287"/>
      <c r="H64" s="128"/>
      <c r="I64" s="128"/>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v>1</v>
      </c>
      <c r="AG64" s="269">
        <v>1</v>
      </c>
    </row>
    <row r="65" spans="1:33" ht="16.5" customHeight="1" outlineLevel="2">
      <c r="A65" s="434"/>
      <c r="B65" s="128"/>
      <c r="C65" s="40" t="str">
        <f>Inputs!$C$51</f>
        <v>Fill in name or positon here</v>
      </c>
      <c r="D65" s="73" t="s">
        <v>39</v>
      </c>
      <c r="E65" s="705">
        <v>1</v>
      </c>
      <c r="F65" s="287"/>
      <c r="G65" s="287"/>
      <c r="H65" s="128"/>
      <c r="I65" s="128"/>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row>
    <row r="66" spans="1:33" ht="16.5" customHeight="1" outlineLevel="2">
      <c r="A66" s="434"/>
      <c r="B66" s="128"/>
      <c r="C66" s="40" t="str">
        <f>Inputs!$C$52</f>
        <v>Fill in name or positon here</v>
      </c>
      <c r="D66" s="73" t="s">
        <v>39</v>
      </c>
      <c r="E66" s="705">
        <v>1</v>
      </c>
      <c r="F66" s="287"/>
      <c r="G66" s="287"/>
      <c r="H66" s="128"/>
      <c r="I66" s="128"/>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69"/>
    </row>
    <row r="67" spans="1:33" ht="16.5" customHeight="1" outlineLevel="2">
      <c r="A67" s="434"/>
      <c r="B67" s="128"/>
      <c r="C67" s="75" t="s">
        <v>280</v>
      </c>
      <c r="D67" s="73"/>
      <c r="E67" s="36"/>
      <c r="F67" s="36"/>
      <c r="G67" s="36"/>
      <c r="H67" s="36"/>
      <c r="I67" s="346"/>
      <c r="J67" s="129">
        <f t="shared" ref="J67:AG67" si="7">SUM(J63:J66)*J$6</f>
        <v>0</v>
      </c>
      <c r="K67" s="129">
        <f t="shared" si="7"/>
        <v>0</v>
      </c>
      <c r="L67" s="129">
        <f t="shared" si="7"/>
        <v>0</v>
      </c>
      <c r="M67" s="129">
        <f t="shared" si="7"/>
        <v>0</v>
      </c>
      <c r="N67" s="129">
        <f t="shared" si="7"/>
        <v>0</v>
      </c>
      <c r="O67" s="129">
        <f t="shared" si="7"/>
        <v>0</v>
      </c>
      <c r="P67" s="129">
        <f t="shared" si="7"/>
        <v>0</v>
      </c>
      <c r="Q67" s="129">
        <f t="shared" si="7"/>
        <v>0</v>
      </c>
      <c r="R67" s="129">
        <f t="shared" si="7"/>
        <v>0</v>
      </c>
      <c r="S67" s="129">
        <f t="shared" si="7"/>
        <v>0</v>
      </c>
      <c r="T67" s="129">
        <f t="shared" si="7"/>
        <v>0</v>
      </c>
      <c r="U67" s="129">
        <f t="shared" si="7"/>
        <v>0</v>
      </c>
      <c r="V67" s="129">
        <f t="shared" si="7"/>
        <v>0</v>
      </c>
      <c r="W67" s="129">
        <f t="shared" si="7"/>
        <v>0</v>
      </c>
      <c r="X67" s="129">
        <f t="shared" si="7"/>
        <v>0</v>
      </c>
      <c r="Y67" s="129">
        <f t="shared" si="7"/>
        <v>0</v>
      </c>
      <c r="Z67" s="129">
        <f t="shared" si="7"/>
        <v>0</v>
      </c>
      <c r="AA67" s="129">
        <f t="shared" si="7"/>
        <v>0</v>
      </c>
      <c r="AB67" s="129">
        <f t="shared" si="7"/>
        <v>0</v>
      </c>
      <c r="AC67" s="129">
        <f t="shared" si="7"/>
        <v>0</v>
      </c>
      <c r="AD67" s="129">
        <f t="shared" si="7"/>
        <v>0</v>
      </c>
      <c r="AE67" s="129">
        <f t="shared" si="7"/>
        <v>0</v>
      </c>
      <c r="AF67" s="129">
        <f t="shared" si="7"/>
        <v>0</v>
      </c>
      <c r="AG67" s="129">
        <f t="shared" si="7"/>
        <v>0</v>
      </c>
    </row>
    <row r="68" spans="1:33" ht="16.5" customHeight="1" outlineLevel="2">
      <c r="A68" s="434"/>
      <c r="B68" s="128"/>
      <c r="C68" s="287"/>
      <c r="D68" s="275"/>
      <c r="E68" s="287"/>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E68" s="287"/>
      <c r="AF68" s="287"/>
      <c r="AG68" s="287"/>
    </row>
    <row r="69" spans="1:33" ht="16.5" customHeight="1" outlineLevel="2">
      <c r="A69" s="434"/>
      <c r="B69" s="708">
        <f>B62+1</f>
        <v>9</v>
      </c>
      <c r="C69" s="331" t="str">
        <f>Product_09</f>
        <v>Spare Parts</v>
      </c>
      <c r="D69" s="275"/>
      <c r="E69" s="287"/>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row>
    <row r="70" spans="1:33" ht="16.5" customHeight="1" outlineLevel="2">
      <c r="A70" s="434"/>
      <c r="B70" s="128"/>
      <c r="C70" s="40" t="str">
        <f>Inputs!$C$49</f>
        <v>Fill in name or positon here</v>
      </c>
      <c r="D70" s="73" t="s">
        <v>39</v>
      </c>
      <c r="E70" s="705">
        <v>1</v>
      </c>
      <c r="F70" s="287"/>
      <c r="G70" s="287"/>
      <c r="H70" s="128"/>
      <c r="I70" s="128"/>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row>
    <row r="71" spans="1:33" ht="16.5" customHeight="1" outlineLevel="2">
      <c r="A71" s="434"/>
      <c r="B71" s="128"/>
      <c r="C71" s="40" t="str">
        <f>Inputs!$C$50</f>
        <v>Fill in name or positon here</v>
      </c>
      <c r="D71" s="73" t="s">
        <v>39</v>
      </c>
      <c r="E71" s="705">
        <v>1</v>
      </c>
      <c r="F71" s="287"/>
      <c r="G71" s="287"/>
      <c r="H71" s="128"/>
      <c r="I71" s="128"/>
      <c r="J71" s="269"/>
      <c r="K71" s="269"/>
      <c r="L71" s="269"/>
      <c r="M71" s="269"/>
      <c r="N71" s="269"/>
      <c r="O71" s="269"/>
      <c r="P71" s="269"/>
      <c r="Q71" s="269"/>
      <c r="R71" s="269"/>
      <c r="S71" s="269"/>
      <c r="T71" s="269"/>
      <c r="U71" s="269"/>
      <c r="V71" s="269"/>
      <c r="W71" s="269"/>
      <c r="X71" s="269"/>
      <c r="Y71" s="269"/>
      <c r="Z71" s="269"/>
      <c r="AA71" s="269"/>
      <c r="AB71" s="269"/>
      <c r="AC71" s="269"/>
      <c r="AD71" s="269"/>
      <c r="AE71" s="269"/>
      <c r="AF71" s="269"/>
      <c r="AG71" s="269"/>
    </row>
    <row r="72" spans="1:33" ht="16.5" customHeight="1" outlineLevel="2">
      <c r="A72" s="434"/>
      <c r="B72" s="128"/>
      <c r="C72" s="40" t="str">
        <f>Inputs!$C$51</f>
        <v>Fill in name or positon here</v>
      </c>
      <c r="D72" s="73" t="s">
        <v>39</v>
      </c>
      <c r="E72" s="705">
        <v>1</v>
      </c>
      <c r="F72" s="287"/>
      <c r="G72" s="287"/>
      <c r="H72" s="128"/>
      <c r="I72" s="128"/>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69"/>
    </row>
    <row r="73" spans="1:33" ht="16.5" customHeight="1" outlineLevel="2">
      <c r="A73" s="434"/>
      <c r="B73" s="128"/>
      <c r="C73" s="40" t="str">
        <f>Inputs!$C$52</f>
        <v>Fill in name or positon here</v>
      </c>
      <c r="D73" s="73" t="s">
        <v>39</v>
      </c>
      <c r="E73" s="705">
        <v>1</v>
      </c>
      <c r="F73" s="287"/>
      <c r="G73" s="287"/>
      <c r="H73" s="128"/>
      <c r="I73" s="128"/>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row>
    <row r="74" spans="1:33" ht="16.5" customHeight="1" outlineLevel="2">
      <c r="A74" s="434"/>
      <c r="B74" s="128"/>
      <c r="C74" s="75" t="s">
        <v>280</v>
      </c>
      <c r="D74" s="73"/>
      <c r="E74" s="36"/>
      <c r="F74" s="36"/>
      <c r="G74" s="36"/>
      <c r="H74" s="36"/>
      <c r="I74" s="346"/>
      <c r="J74" s="129">
        <f t="shared" ref="J74:AG74" si="8">SUM(J70:J73)*J$6</f>
        <v>0</v>
      </c>
      <c r="K74" s="129">
        <f t="shared" si="8"/>
        <v>0</v>
      </c>
      <c r="L74" s="129">
        <f t="shared" si="8"/>
        <v>0</v>
      </c>
      <c r="M74" s="129">
        <f t="shared" si="8"/>
        <v>0</v>
      </c>
      <c r="N74" s="129">
        <f t="shared" si="8"/>
        <v>0</v>
      </c>
      <c r="O74" s="129">
        <f t="shared" si="8"/>
        <v>0</v>
      </c>
      <c r="P74" s="129">
        <f t="shared" si="8"/>
        <v>0</v>
      </c>
      <c r="Q74" s="129">
        <f t="shared" si="8"/>
        <v>0</v>
      </c>
      <c r="R74" s="129">
        <f t="shared" si="8"/>
        <v>0</v>
      </c>
      <c r="S74" s="129">
        <f t="shared" si="8"/>
        <v>0</v>
      </c>
      <c r="T74" s="129">
        <f t="shared" si="8"/>
        <v>0</v>
      </c>
      <c r="U74" s="129">
        <f t="shared" si="8"/>
        <v>0</v>
      </c>
      <c r="V74" s="129">
        <f t="shared" si="8"/>
        <v>0</v>
      </c>
      <c r="W74" s="129">
        <f t="shared" si="8"/>
        <v>0</v>
      </c>
      <c r="X74" s="129">
        <f t="shared" si="8"/>
        <v>0</v>
      </c>
      <c r="Y74" s="129">
        <f t="shared" si="8"/>
        <v>0</v>
      </c>
      <c r="Z74" s="129">
        <f t="shared" si="8"/>
        <v>0</v>
      </c>
      <c r="AA74" s="129">
        <f t="shared" si="8"/>
        <v>0</v>
      </c>
      <c r="AB74" s="129">
        <f t="shared" si="8"/>
        <v>0</v>
      </c>
      <c r="AC74" s="129">
        <f t="shared" si="8"/>
        <v>0</v>
      </c>
      <c r="AD74" s="129">
        <f t="shared" si="8"/>
        <v>0</v>
      </c>
      <c r="AE74" s="129">
        <f t="shared" si="8"/>
        <v>0</v>
      </c>
      <c r="AF74" s="129">
        <f t="shared" si="8"/>
        <v>0</v>
      </c>
      <c r="AG74" s="129">
        <f t="shared" si="8"/>
        <v>0</v>
      </c>
    </row>
    <row r="75" spans="1:33" ht="16.5" customHeight="1" outlineLevel="2">
      <c r="A75" s="434"/>
      <c r="B75" s="128"/>
      <c r="C75" s="287"/>
      <c r="D75" s="275"/>
      <c r="E75" s="287"/>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E75" s="287"/>
      <c r="AF75" s="287"/>
      <c r="AG75" s="287"/>
    </row>
    <row r="76" spans="1:33" ht="16.5" customHeight="1" outlineLevel="2">
      <c r="A76" s="434"/>
      <c r="B76" s="708">
        <f>B69+1</f>
        <v>10</v>
      </c>
      <c r="C76" s="331" t="str">
        <f>Product_10</f>
        <v>License Fees</v>
      </c>
      <c r="D76" s="275"/>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row>
    <row r="77" spans="1:33" ht="16.5" customHeight="1" outlineLevel="2">
      <c r="A77" s="434"/>
      <c r="B77" s="128"/>
      <c r="C77" s="40" t="str">
        <f>Inputs!$C$49</f>
        <v>Fill in name or positon here</v>
      </c>
      <c r="D77" s="73" t="s">
        <v>39</v>
      </c>
      <c r="E77" s="705">
        <v>1</v>
      </c>
      <c r="F77" s="287"/>
      <c r="G77" s="287"/>
      <c r="H77" s="128"/>
      <c r="I77" s="128"/>
      <c r="J77" s="269"/>
      <c r="K77" s="269"/>
      <c r="L77" s="269"/>
      <c r="M77" s="269"/>
      <c r="N77" s="269"/>
      <c r="O77" s="269"/>
      <c r="P77" s="269"/>
      <c r="Q77" s="269"/>
      <c r="R77" s="269"/>
      <c r="S77" s="269"/>
      <c r="T77" s="269"/>
      <c r="U77" s="269"/>
      <c r="V77" s="269"/>
      <c r="W77" s="269"/>
      <c r="X77" s="269"/>
      <c r="Y77" s="269"/>
      <c r="Z77" s="269"/>
      <c r="AA77" s="269"/>
      <c r="AB77" s="269"/>
      <c r="AC77" s="269"/>
      <c r="AD77" s="269"/>
      <c r="AE77" s="269"/>
      <c r="AF77" s="269"/>
      <c r="AG77" s="269"/>
    </row>
    <row r="78" spans="1:33" ht="16.5" customHeight="1" outlineLevel="2">
      <c r="A78" s="434"/>
      <c r="B78" s="128"/>
      <c r="C78" s="40" t="str">
        <f>Inputs!$C$50</f>
        <v>Fill in name or positon here</v>
      </c>
      <c r="D78" s="73" t="s">
        <v>39</v>
      </c>
      <c r="E78" s="705">
        <v>1</v>
      </c>
      <c r="F78" s="287"/>
      <c r="G78" s="287"/>
      <c r="H78" s="128"/>
      <c r="I78" s="128"/>
      <c r="J78" s="269"/>
      <c r="K78" s="269"/>
      <c r="L78" s="269"/>
      <c r="M78" s="269"/>
      <c r="N78" s="269"/>
      <c r="O78" s="269"/>
      <c r="P78" s="269"/>
      <c r="Q78" s="269"/>
      <c r="R78" s="269"/>
      <c r="S78" s="269"/>
      <c r="T78" s="269"/>
      <c r="U78" s="269"/>
      <c r="V78" s="269"/>
      <c r="W78" s="269"/>
      <c r="X78" s="269"/>
      <c r="Y78" s="269"/>
      <c r="Z78" s="269"/>
      <c r="AA78" s="269"/>
      <c r="AB78" s="269"/>
      <c r="AC78" s="269"/>
      <c r="AD78" s="269"/>
      <c r="AE78" s="269"/>
      <c r="AF78" s="269"/>
      <c r="AG78" s="269"/>
    </row>
    <row r="79" spans="1:33" ht="16.5" customHeight="1" outlineLevel="2">
      <c r="A79" s="434"/>
      <c r="B79" s="128"/>
      <c r="C79" s="40" t="str">
        <f>Inputs!$C$51</f>
        <v>Fill in name or positon here</v>
      </c>
      <c r="D79" s="73" t="s">
        <v>39</v>
      </c>
      <c r="E79" s="705">
        <v>1</v>
      </c>
      <c r="F79" s="287"/>
      <c r="G79" s="287"/>
      <c r="H79" s="128"/>
      <c r="I79" s="128"/>
      <c r="J79" s="269"/>
      <c r="K79" s="269"/>
      <c r="L79" s="269"/>
      <c r="M79" s="269"/>
      <c r="N79" s="269"/>
      <c r="O79" s="269"/>
      <c r="P79" s="269"/>
      <c r="Q79" s="269"/>
      <c r="R79" s="269"/>
      <c r="S79" s="269"/>
      <c r="T79" s="269"/>
      <c r="U79" s="269"/>
      <c r="V79" s="269"/>
      <c r="W79" s="269"/>
      <c r="X79" s="269"/>
      <c r="Y79" s="269"/>
      <c r="Z79" s="269"/>
      <c r="AA79" s="269"/>
      <c r="AB79" s="269"/>
      <c r="AC79" s="269"/>
      <c r="AD79" s="269"/>
      <c r="AE79" s="269"/>
      <c r="AF79" s="269"/>
      <c r="AG79" s="269"/>
    </row>
    <row r="80" spans="1:33" ht="16.5" customHeight="1" outlineLevel="2">
      <c r="A80" s="434"/>
      <c r="B80" s="128"/>
      <c r="C80" s="40" t="str">
        <f>Inputs!$C$52</f>
        <v>Fill in name or positon here</v>
      </c>
      <c r="D80" s="73" t="s">
        <v>39</v>
      </c>
      <c r="E80" s="705">
        <v>1</v>
      </c>
      <c r="F80" s="287"/>
      <c r="G80" s="287"/>
      <c r="H80" s="128"/>
      <c r="I80" s="128"/>
      <c r="J80" s="269"/>
      <c r="K80" s="269"/>
      <c r="L80" s="269"/>
      <c r="M80" s="269"/>
      <c r="N80" s="269"/>
      <c r="O80" s="269"/>
      <c r="P80" s="269"/>
      <c r="Q80" s="269"/>
      <c r="R80" s="269"/>
      <c r="S80" s="269"/>
      <c r="T80" s="269"/>
      <c r="U80" s="269"/>
      <c r="V80" s="269"/>
      <c r="W80" s="269"/>
      <c r="X80" s="269"/>
      <c r="Y80" s="269"/>
      <c r="Z80" s="269"/>
      <c r="AA80" s="269"/>
      <c r="AB80" s="269"/>
      <c r="AC80" s="269"/>
      <c r="AD80" s="269"/>
      <c r="AE80" s="269"/>
      <c r="AF80" s="269"/>
      <c r="AG80" s="269"/>
    </row>
    <row r="81" spans="1:33" ht="16.5" customHeight="1" outlineLevel="2">
      <c r="A81" s="434"/>
      <c r="B81" s="128"/>
      <c r="C81" s="75" t="s">
        <v>280</v>
      </c>
      <c r="D81" s="73"/>
      <c r="E81" s="36"/>
      <c r="F81" s="36"/>
      <c r="G81" s="36"/>
      <c r="H81" s="36"/>
      <c r="I81" s="346"/>
      <c r="J81" s="129">
        <f t="shared" ref="J81:AG81" si="9">SUM(J77:J80)*J$6</f>
        <v>0</v>
      </c>
      <c r="K81" s="129">
        <f t="shared" si="9"/>
        <v>0</v>
      </c>
      <c r="L81" s="129">
        <f t="shared" si="9"/>
        <v>0</v>
      </c>
      <c r="M81" s="129">
        <f t="shared" si="9"/>
        <v>0</v>
      </c>
      <c r="N81" s="129">
        <f t="shared" si="9"/>
        <v>0</v>
      </c>
      <c r="O81" s="129">
        <f t="shared" si="9"/>
        <v>0</v>
      </c>
      <c r="P81" s="129">
        <f t="shared" si="9"/>
        <v>0</v>
      </c>
      <c r="Q81" s="129">
        <f t="shared" si="9"/>
        <v>0</v>
      </c>
      <c r="R81" s="129">
        <f t="shared" si="9"/>
        <v>0</v>
      </c>
      <c r="S81" s="129">
        <f t="shared" si="9"/>
        <v>0</v>
      </c>
      <c r="T81" s="129">
        <f t="shared" si="9"/>
        <v>0</v>
      </c>
      <c r="U81" s="129">
        <f t="shared" si="9"/>
        <v>0</v>
      </c>
      <c r="V81" s="129">
        <f t="shared" si="9"/>
        <v>0</v>
      </c>
      <c r="W81" s="129">
        <f t="shared" si="9"/>
        <v>0</v>
      </c>
      <c r="X81" s="129">
        <f t="shared" si="9"/>
        <v>0</v>
      </c>
      <c r="Y81" s="129">
        <f t="shared" si="9"/>
        <v>0</v>
      </c>
      <c r="Z81" s="129">
        <f t="shared" si="9"/>
        <v>0</v>
      </c>
      <c r="AA81" s="129">
        <f t="shared" si="9"/>
        <v>0</v>
      </c>
      <c r="AB81" s="129">
        <f t="shared" si="9"/>
        <v>0</v>
      </c>
      <c r="AC81" s="129">
        <f t="shared" si="9"/>
        <v>0</v>
      </c>
      <c r="AD81" s="129">
        <f t="shared" si="9"/>
        <v>0</v>
      </c>
      <c r="AE81" s="129">
        <f t="shared" si="9"/>
        <v>0</v>
      </c>
      <c r="AF81" s="129">
        <f t="shared" si="9"/>
        <v>0</v>
      </c>
      <c r="AG81" s="129">
        <f t="shared" si="9"/>
        <v>0</v>
      </c>
    </row>
    <row r="82" spans="1:33" ht="14.25" customHeight="1" outlineLevel="2">
      <c r="A82" s="434"/>
      <c r="B82" s="128"/>
      <c r="C82" s="287"/>
      <c r="D82" s="275"/>
      <c r="E82" s="287"/>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7"/>
    </row>
    <row r="83" spans="1:33" ht="16.5" customHeight="1" outlineLevel="2" thickBot="1">
      <c r="A83" s="434"/>
      <c r="B83" s="128"/>
      <c r="C83" s="75" t="str">
        <f>CHOOSE(language,"Total Headcount Direct Labour Staff","Total Headcount Direct Labor Staff")</f>
        <v>Total Headcount Direct Labor Staff</v>
      </c>
      <c r="D83" s="73" t="s">
        <v>39</v>
      </c>
      <c r="E83" s="36"/>
      <c r="F83" s="36"/>
      <c r="G83" s="36"/>
      <c r="H83" s="36"/>
      <c r="I83" s="346"/>
      <c r="J83" s="709">
        <f t="shared" ref="J83:AG83" si="10">(J18+J25+J32+J39+J46+J53+J60+J67+J74+J81)*J6</f>
        <v>2</v>
      </c>
      <c r="K83" s="709">
        <f t="shared" si="10"/>
        <v>2</v>
      </c>
      <c r="L83" s="709">
        <f t="shared" si="10"/>
        <v>2</v>
      </c>
      <c r="M83" s="709">
        <f t="shared" si="10"/>
        <v>2</v>
      </c>
      <c r="N83" s="709">
        <f t="shared" si="10"/>
        <v>2</v>
      </c>
      <c r="O83" s="709">
        <f t="shared" si="10"/>
        <v>2</v>
      </c>
      <c r="P83" s="709">
        <f t="shared" si="10"/>
        <v>3</v>
      </c>
      <c r="Q83" s="709">
        <f t="shared" si="10"/>
        <v>4</v>
      </c>
      <c r="R83" s="709">
        <f t="shared" si="10"/>
        <v>4</v>
      </c>
      <c r="S83" s="709">
        <f t="shared" si="10"/>
        <v>4</v>
      </c>
      <c r="T83" s="709">
        <f t="shared" si="10"/>
        <v>4</v>
      </c>
      <c r="U83" s="709">
        <f t="shared" si="10"/>
        <v>4</v>
      </c>
      <c r="V83" s="709">
        <f t="shared" si="10"/>
        <v>4</v>
      </c>
      <c r="W83" s="709">
        <f t="shared" si="10"/>
        <v>4</v>
      </c>
      <c r="X83" s="709">
        <f t="shared" si="10"/>
        <v>4</v>
      </c>
      <c r="Y83" s="709">
        <f t="shared" si="10"/>
        <v>4</v>
      </c>
      <c r="Z83" s="709">
        <f t="shared" si="10"/>
        <v>4</v>
      </c>
      <c r="AA83" s="709">
        <f t="shared" si="10"/>
        <v>4</v>
      </c>
      <c r="AB83" s="709">
        <f t="shared" si="10"/>
        <v>4</v>
      </c>
      <c r="AC83" s="709">
        <f t="shared" si="10"/>
        <v>4</v>
      </c>
      <c r="AD83" s="709">
        <f t="shared" si="10"/>
        <v>4</v>
      </c>
      <c r="AE83" s="709">
        <f t="shared" si="10"/>
        <v>0</v>
      </c>
      <c r="AF83" s="709">
        <f t="shared" si="10"/>
        <v>0</v>
      </c>
      <c r="AG83" s="709">
        <f t="shared" si="10"/>
        <v>0</v>
      </c>
    </row>
    <row r="84" spans="1:33" ht="16.5" customHeight="1" outlineLevel="2" thickTop="1">
      <c r="A84" s="434"/>
      <c r="B84" s="128"/>
      <c r="C84" s="334" t="s">
        <v>290</v>
      </c>
      <c r="D84" s="276"/>
      <c r="E84" s="128"/>
      <c r="F84" s="128"/>
      <c r="G84" s="128"/>
      <c r="H84" s="128"/>
      <c r="I84" s="128"/>
      <c r="J84" s="710">
        <f t="shared" ref="J84:AG84" si="11">IF(J6=0,"",J83-I83)</f>
        <v>2</v>
      </c>
      <c r="K84" s="710">
        <f t="shared" si="11"/>
        <v>0</v>
      </c>
      <c r="L84" s="710">
        <f t="shared" si="11"/>
        <v>0</v>
      </c>
      <c r="M84" s="710">
        <f t="shared" si="11"/>
        <v>0</v>
      </c>
      <c r="N84" s="710">
        <f t="shared" si="11"/>
        <v>0</v>
      </c>
      <c r="O84" s="710">
        <f t="shared" si="11"/>
        <v>0</v>
      </c>
      <c r="P84" s="710">
        <f t="shared" si="11"/>
        <v>1</v>
      </c>
      <c r="Q84" s="710">
        <f t="shared" si="11"/>
        <v>1</v>
      </c>
      <c r="R84" s="710">
        <f t="shared" si="11"/>
        <v>0</v>
      </c>
      <c r="S84" s="710">
        <f t="shared" si="11"/>
        <v>0</v>
      </c>
      <c r="T84" s="710">
        <f t="shared" si="11"/>
        <v>0</v>
      </c>
      <c r="U84" s="710">
        <f t="shared" si="11"/>
        <v>0</v>
      </c>
      <c r="V84" s="710">
        <f t="shared" si="11"/>
        <v>0</v>
      </c>
      <c r="W84" s="710">
        <f t="shared" si="11"/>
        <v>0</v>
      </c>
      <c r="X84" s="710">
        <f t="shared" si="11"/>
        <v>0</v>
      </c>
      <c r="Y84" s="710">
        <f t="shared" si="11"/>
        <v>0</v>
      </c>
      <c r="Z84" s="710">
        <f t="shared" si="11"/>
        <v>0</v>
      </c>
      <c r="AA84" s="710">
        <f t="shared" si="11"/>
        <v>0</v>
      </c>
      <c r="AB84" s="710">
        <f t="shared" si="11"/>
        <v>0</v>
      </c>
      <c r="AC84" s="710">
        <f t="shared" si="11"/>
        <v>0</v>
      </c>
      <c r="AD84" s="710">
        <f t="shared" si="11"/>
        <v>0</v>
      </c>
      <c r="AE84" s="710" t="str">
        <f t="shared" si="11"/>
        <v/>
      </c>
      <c r="AF84" s="710" t="str">
        <f t="shared" si="11"/>
        <v/>
      </c>
      <c r="AG84" s="710" t="str">
        <f t="shared" si="11"/>
        <v/>
      </c>
    </row>
    <row r="85" spans="1:33" ht="15.75" customHeight="1" outlineLevel="1">
      <c r="A85" s="128"/>
      <c r="B85" s="128"/>
      <c r="C85" s="331"/>
      <c r="D85" s="275"/>
      <c r="E85" s="128"/>
      <c r="F85" s="128"/>
      <c r="G85" s="128"/>
      <c r="H85" s="128"/>
      <c r="I85" s="128"/>
      <c r="J85" s="128"/>
      <c r="K85" s="128"/>
      <c r="L85" s="128"/>
      <c r="M85" s="287"/>
      <c r="N85" s="287"/>
      <c r="O85" s="287"/>
      <c r="P85" s="287"/>
      <c r="Q85" s="287"/>
      <c r="R85" s="287"/>
      <c r="S85" s="287"/>
      <c r="T85" s="287"/>
      <c r="U85" s="287"/>
      <c r="V85" s="287"/>
      <c r="W85" s="287"/>
      <c r="X85" s="287"/>
      <c r="Y85" s="287"/>
      <c r="Z85" s="287"/>
      <c r="AA85" s="287"/>
      <c r="AB85" s="287"/>
      <c r="AC85" s="287"/>
      <c r="AD85" s="287"/>
      <c r="AE85" s="287"/>
      <c r="AF85" s="287"/>
      <c r="AG85" s="287"/>
    </row>
    <row r="86" spans="1:33" ht="21.75" customHeight="1" outlineLevel="1">
      <c r="A86" s="894"/>
      <c r="B86" s="287"/>
      <c r="C86" s="279" t="str">
        <f>CHOOSE(language,"Wages &amp; Salaries - Direct Labour Staff","Wages &amp; Salaries - Direct Labor Staff")</f>
        <v>Wages &amp; Salaries - Direct Labor Staff</v>
      </c>
      <c r="D86" s="279"/>
      <c r="E86" s="287"/>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E86" s="287"/>
      <c r="AF86" s="287"/>
      <c r="AG86" s="287"/>
    </row>
    <row r="87" spans="1:33" ht="16.5" customHeight="1" outlineLevel="2">
      <c r="A87" s="128"/>
      <c r="B87" s="708">
        <f>B13</f>
        <v>1</v>
      </c>
      <c r="C87" s="331" t="str">
        <f>C13</f>
        <v>Desktops</v>
      </c>
      <c r="D87" s="275"/>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row>
    <row r="88" spans="1:33" ht="16.5" customHeight="1" outlineLevel="2">
      <c r="A88" s="128"/>
      <c r="B88" s="434"/>
      <c r="C88" s="40" t="str">
        <f>C14</f>
        <v>Fill in name or positon here</v>
      </c>
      <c r="D88" s="8" t="str">
        <f t="shared" ref="D88:D92" si="12">Currency_Label</f>
        <v>USD</v>
      </c>
      <c r="E88" s="128"/>
      <c r="F88" s="128"/>
      <c r="G88" s="128"/>
      <c r="H88" s="128"/>
      <c r="I88" s="71">
        <f>SUM(J88:AG88)</f>
        <v>35183.333333333321</v>
      </c>
      <c r="J88" s="233">
        <f>J14*LOOKUP(J$8,Inputs!$G$48:$K$48,Inputs!$G$49:$K$49)/months_yr*J$6</f>
        <v>1666.6666666666667</v>
      </c>
      <c r="K88" s="233">
        <f>K14*LOOKUP(K$8,Inputs!$G$48:$K$48,Inputs!$G49:$K49)/months_yr*K$6</f>
        <v>1666.6666666666667</v>
      </c>
      <c r="L88" s="233">
        <f>L14*LOOKUP(L$8,Inputs!$G$48:$K$48,Inputs!$G49:$K49)/months_yr*L$6</f>
        <v>1666.6666666666667</v>
      </c>
      <c r="M88" s="233">
        <f>M14*LOOKUP(M$8,Inputs!$G$48:$K$48,Inputs!$G49:$K49)/months_yr*M$6</f>
        <v>1666.6666666666667</v>
      </c>
      <c r="N88" s="233">
        <f>N14*LOOKUP(N$8,Inputs!$G$48:$K$48,Inputs!$G49:$K49)/months_yr*N$6</f>
        <v>1666.6666666666667</v>
      </c>
      <c r="O88" s="233">
        <f>O14*LOOKUP(O$8,Inputs!$G$48:$K$48,Inputs!$G49:$K49)/months_yr*O$6</f>
        <v>1666.6666666666667</v>
      </c>
      <c r="P88" s="233">
        <f>P14*LOOKUP(P$8,Inputs!$G$48:$K$48,Inputs!$G49:$K49)/months_yr*P$6</f>
        <v>1666.6666666666667</v>
      </c>
      <c r="Q88" s="233">
        <f>Q14*LOOKUP(Q$8,Inputs!$G$48:$K$48,Inputs!$G49:$K49)/months_yr*Q$6</f>
        <v>1666.6666666666667</v>
      </c>
      <c r="R88" s="233">
        <f>R14*LOOKUP(R$8,Inputs!$G$48:$K$48,Inputs!$G49:$K49)/months_yr*R$6</f>
        <v>1666.6666666666667</v>
      </c>
      <c r="S88" s="233">
        <f>S14*LOOKUP(S$8,Inputs!$G$48:$K$48,Inputs!$G49:$K49)/months_yr*S$6</f>
        <v>1666.6666666666667</v>
      </c>
      <c r="T88" s="233">
        <f>T14*LOOKUP(T$8,Inputs!$G$48:$K$48,Inputs!$G49:$K49)/months_yr*T$6</f>
        <v>1683.3333333333333</v>
      </c>
      <c r="U88" s="233">
        <f>U14*LOOKUP(U$8,Inputs!$G$48:$K$48,Inputs!$G49:$K49)/months_yr*U$6</f>
        <v>1683.3333333333333</v>
      </c>
      <c r="V88" s="233">
        <f>V14*LOOKUP(V$8,Inputs!$G$48:$K$48,Inputs!$G49:$K49)/months_yr*V$6</f>
        <v>1683.3333333333333</v>
      </c>
      <c r="W88" s="233">
        <f>W14*LOOKUP(W$8,Inputs!$G$48:$K$48,Inputs!$G49:$K49)/months_yr*W$6</f>
        <v>1683.3333333333333</v>
      </c>
      <c r="X88" s="233">
        <f>X14*LOOKUP(X$8,Inputs!$G$48:$K$48,Inputs!$G49:$K49)/months_yr*X$6</f>
        <v>1683.3333333333333</v>
      </c>
      <c r="Y88" s="233">
        <f>Y14*LOOKUP(Y$8,Inputs!$G$48:$K$48,Inputs!$G49:$K49)/months_yr*Y$6</f>
        <v>1683.3333333333333</v>
      </c>
      <c r="Z88" s="233">
        <f>Z14*LOOKUP(Z$8,Inputs!$G$48:$K$48,Inputs!$G49:$K49)/months_yr*Z$6</f>
        <v>1683.3333333333333</v>
      </c>
      <c r="AA88" s="233">
        <f>AA14*LOOKUP(AA$8,Inputs!$G$48:$K$48,Inputs!$G49:$K49)/months_yr*AA$6</f>
        <v>1683.3333333333333</v>
      </c>
      <c r="AB88" s="233">
        <f>AB14*LOOKUP(AB$8,Inputs!$G$48:$K$48,Inputs!$G49:$K49)/months_yr*AB$6</f>
        <v>1683.3333333333333</v>
      </c>
      <c r="AC88" s="233">
        <f>AC14*LOOKUP(AC$8,Inputs!$G$48:$K$48,Inputs!$G49:$K49)/months_yr*AC$6</f>
        <v>1683.3333333333333</v>
      </c>
      <c r="AD88" s="233">
        <f>AD14*LOOKUP(AD$8,Inputs!$G$48:$K$48,Inputs!$G49:$K49)/months_yr*AD$6</f>
        <v>1683.3333333333333</v>
      </c>
      <c r="AE88" s="233">
        <f>AE14*LOOKUP(AE$8,Inputs!$G$48:$K$48,Inputs!$G49:$K49)/months_yr*AE$6</f>
        <v>0</v>
      </c>
      <c r="AF88" s="233">
        <f>AF14*LOOKUP(AF$8,Inputs!$G$48:$K$48,Inputs!$G49:$K49)/months_yr*AF$6</f>
        <v>0</v>
      </c>
      <c r="AG88" s="233">
        <f>AG14*LOOKUP(AG$8,Inputs!$G$48:$K$48,Inputs!$G49:$K49)/months_yr*AG$6</f>
        <v>0</v>
      </c>
    </row>
    <row r="89" spans="1:33" ht="16.5" customHeight="1" outlineLevel="2">
      <c r="A89" s="128"/>
      <c r="B89" s="434"/>
      <c r="C89" s="40" t="str">
        <f>C15</f>
        <v>Fill in name or positon here</v>
      </c>
      <c r="D89" s="8" t="str">
        <f t="shared" si="12"/>
        <v>USD</v>
      </c>
      <c r="E89" s="128"/>
      <c r="F89" s="128"/>
      <c r="G89" s="128"/>
      <c r="H89" s="128"/>
      <c r="I89" s="71">
        <f>SUM(J89:AG89)</f>
        <v>0</v>
      </c>
      <c r="J89" s="233">
        <f>J15*LOOKUP(J$8,Inputs!$G$48:$K$48,Inputs!$G$50:$K$50)/months_yr*J$6</f>
        <v>0</v>
      </c>
      <c r="K89" s="233">
        <f>K15*LOOKUP(K$8,Inputs!$G$48:$K$48,Inputs!$G50:$K50)/months_yr*K$6</f>
        <v>0</v>
      </c>
      <c r="L89" s="233">
        <f>L15*LOOKUP(L$8,Inputs!$G$48:$K$48,Inputs!$G50:$K50)/months_yr*L$6</f>
        <v>0</v>
      </c>
      <c r="M89" s="233">
        <f>M15*LOOKUP(M$8,Inputs!$G$48:$K$48,Inputs!$G50:$K50)/months_yr*M$6</f>
        <v>0</v>
      </c>
      <c r="N89" s="233">
        <f>N15*LOOKUP(N$8,Inputs!$G$48:$K$48,Inputs!$G50:$K50)/months_yr*N$6</f>
        <v>0</v>
      </c>
      <c r="O89" s="233">
        <f>O15*LOOKUP(O$8,Inputs!$G$48:$K$48,Inputs!$G50:$K50)/months_yr*O$6</f>
        <v>0</v>
      </c>
      <c r="P89" s="233">
        <f>P15*LOOKUP(P$8,Inputs!$G$48:$K$48,Inputs!$G50:$K50)/months_yr*P$6</f>
        <v>0</v>
      </c>
      <c r="Q89" s="233">
        <f>Q15*LOOKUP(Q$8,Inputs!$G$48:$K$48,Inputs!$G50:$K50)/months_yr*Q$6</f>
        <v>0</v>
      </c>
      <c r="R89" s="233">
        <f>R15*LOOKUP(R$8,Inputs!$G$48:$K$48,Inputs!$G50:$K50)/months_yr*R$6</f>
        <v>0</v>
      </c>
      <c r="S89" s="233">
        <f>S15*LOOKUP(S$8,Inputs!$G$48:$K$48,Inputs!$G50:$K50)/months_yr*S$6</f>
        <v>0</v>
      </c>
      <c r="T89" s="233">
        <f>T15*LOOKUP(T$8,Inputs!$G$48:$K$48,Inputs!$G50:$K50)/months_yr*T$6</f>
        <v>0</v>
      </c>
      <c r="U89" s="233">
        <f>U15*LOOKUP(U$8,Inputs!$G$48:$K$48,Inputs!$G50:$K50)/months_yr*U$6</f>
        <v>0</v>
      </c>
      <c r="V89" s="233">
        <f>V15*LOOKUP(V$8,Inputs!$G$48:$K$48,Inputs!$G50:$K50)/months_yr*V$6</f>
        <v>0</v>
      </c>
      <c r="W89" s="233">
        <f>W15*LOOKUP(W$8,Inputs!$G$48:$K$48,Inputs!$G50:$K50)/months_yr*W$6</f>
        <v>0</v>
      </c>
      <c r="X89" s="233">
        <f>X15*LOOKUP(X$8,Inputs!$G$48:$K$48,Inputs!$G50:$K50)/months_yr*X$6</f>
        <v>0</v>
      </c>
      <c r="Y89" s="233">
        <f>Y15*LOOKUP(Y$8,Inputs!$G$48:$K$48,Inputs!$G50:$K50)/months_yr*Y$6</f>
        <v>0</v>
      </c>
      <c r="Z89" s="233">
        <f>Z15*LOOKUP(Z$8,Inputs!$G$48:$K$48,Inputs!$G50:$K50)/months_yr*Z$6</f>
        <v>0</v>
      </c>
      <c r="AA89" s="233">
        <f>AA15*LOOKUP(AA$8,Inputs!$G$48:$K$48,Inputs!$G50:$K50)/months_yr*AA$6</f>
        <v>0</v>
      </c>
      <c r="AB89" s="233">
        <f>AB15*LOOKUP(AB$8,Inputs!$G$48:$K$48,Inputs!$G50:$K50)/months_yr*AB$6</f>
        <v>0</v>
      </c>
      <c r="AC89" s="233">
        <f>AC15*LOOKUP(AC$8,Inputs!$G$48:$K$48,Inputs!$G50:$K50)/months_yr*AC$6</f>
        <v>0</v>
      </c>
      <c r="AD89" s="233">
        <f>AD15*LOOKUP(AD$8,Inputs!$G$48:$K$48,Inputs!$G50:$K50)/months_yr*AD$6</f>
        <v>0</v>
      </c>
      <c r="AE89" s="233">
        <f>AE15*LOOKUP(AE$8,Inputs!$G$48:$K$48,Inputs!$G50:$K50)/months_yr*AE$6</f>
        <v>0</v>
      </c>
      <c r="AF89" s="233">
        <f>AF15*LOOKUP(AF$8,Inputs!$G$48:$K$48,Inputs!$G50:$K50)/months_yr*AF$6</f>
        <v>0</v>
      </c>
      <c r="AG89" s="233">
        <f>AG15*LOOKUP(AG$8,Inputs!$G$48:$K$48,Inputs!$G50:$K50)/months_yr*AG$6</f>
        <v>0</v>
      </c>
    </row>
    <row r="90" spans="1:33" ht="16.5" customHeight="1" outlineLevel="2">
      <c r="A90" s="128"/>
      <c r="B90" s="434"/>
      <c r="C90" s="40" t="str">
        <f>C16</f>
        <v>Fill in name or positon here</v>
      </c>
      <c r="D90" s="8" t="str">
        <f t="shared" si="12"/>
        <v>USD</v>
      </c>
      <c r="E90" s="128"/>
      <c r="F90" s="128"/>
      <c r="G90" s="128"/>
      <c r="H90" s="128"/>
      <c r="I90" s="71">
        <f>SUM(J90:AG90)</f>
        <v>0</v>
      </c>
      <c r="J90" s="233">
        <f>J16*LOOKUP(J$8,Inputs!$G$48:$K$48,Inputs!$G$51:$K$51)/months_yr*J$6</f>
        <v>0</v>
      </c>
      <c r="K90" s="233">
        <f>K16*LOOKUP(K$8,Inputs!$G$48:$K$48,Inputs!$G51:$K51)/months_yr*K$6</f>
        <v>0</v>
      </c>
      <c r="L90" s="233">
        <f>L16*LOOKUP(L$8,Inputs!$G$48:$K$48,Inputs!$G51:$K51)/months_yr*L$6</f>
        <v>0</v>
      </c>
      <c r="M90" s="233">
        <f>M16*LOOKUP(M$8,Inputs!$G$48:$K$48,Inputs!$G51:$K51)/months_yr*M$6</f>
        <v>0</v>
      </c>
      <c r="N90" s="233">
        <f>N16*LOOKUP(N$8,Inputs!$G$48:$K$48,Inputs!$G51:$K51)/months_yr*N$6</f>
        <v>0</v>
      </c>
      <c r="O90" s="233">
        <f>O16*LOOKUP(O$8,Inputs!$G$48:$K$48,Inputs!$G51:$K51)/months_yr*O$6</f>
        <v>0</v>
      </c>
      <c r="P90" s="233">
        <f>P16*LOOKUP(P$8,Inputs!$G$48:$K$48,Inputs!$G51:$K51)/months_yr*P$6</f>
        <v>0</v>
      </c>
      <c r="Q90" s="233">
        <f>Q16*LOOKUP(Q$8,Inputs!$G$48:$K$48,Inputs!$G51:$K51)/months_yr*Q$6</f>
        <v>0</v>
      </c>
      <c r="R90" s="233">
        <f>R16*LOOKUP(R$8,Inputs!$G$48:$K$48,Inputs!$G51:$K51)/months_yr*R$6</f>
        <v>0</v>
      </c>
      <c r="S90" s="233">
        <f>S16*LOOKUP(S$8,Inputs!$G$48:$K$48,Inputs!$G51:$K51)/months_yr*S$6</f>
        <v>0</v>
      </c>
      <c r="T90" s="233">
        <f>T16*LOOKUP(T$8,Inputs!$G$48:$K$48,Inputs!$G51:$K51)/months_yr*T$6</f>
        <v>0</v>
      </c>
      <c r="U90" s="233">
        <f>U16*LOOKUP(U$8,Inputs!$G$48:$K$48,Inputs!$G51:$K51)/months_yr*U$6</f>
        <v>0</v>
      </c>
      <c r="V90" s="233">
        <f>V16*LOOKUP(V$8,Inputs!$G$48:$K$48,Inputs!$G51:$K51)/months_yr*V$6</f>
        <v>0</v>
      </c>
      <c r="W90" s="233">
        <f>W16*LOOKUP(W$8,Inputs!$G$48:$K$48,Inputs!$G51:$K51)/months_yr*W$6</f>
        <v>0</v>
      </c>
      <c r="X90" s="233">
        <f>X16*LOOKUP(X$8,Inputs!$G$48:$K$48,Inputs!$G51:$K51)/months_yr*X$6</f>
        <v>0</v>
      </c>
      <c r="Y90" s="233">
        <f>Y16*LOOKUP(Y$8,Inputs!$G$48:$K$48,Inputs!$G51:$K51)/months_yr*Y$6</f>
        <v>0</v>
      </c>
      <c r="Z90" s="233">
        <f>Z16*LOOKUP(Z$8,Inputs!$G$48:$K$48,Inputs!$G51:$K51)/months_yr*Z$6</f>
        <v>0</v>
      </c>
      <c r="AA90" s="233">
        <f>AA16*LOOKUP(AA$8,Inputs!$G$48:$K$48,Inputs!$G51:$K51)/months_yr*AA$6</f>
        <v>0</v>
      </c>
      <c r="AB90" s="233">
        <f>AB16*LOOKUP(AB$8,Inputs!$G$48:$K$48,Inputs!$G51:$K51)/months_yr*AB$6</f>
        <v>0</v>
      </c>
      <c r="AC90" s="233">
        <f>AC16*LOOKUP(AC$8,Inputs!$G$48:$K$48,Inputs!$G51:$K51)/months_yr*AC$6</f>
        <v>0</v>
      </c>
      <c r="AD90" s="233">
        <f>AD16*LOOKUP(AD$8,Inputs!$G$48:$K$48,Inputs!$G51:$K51)/months_yr*AD$6</f>
        <v>0</v>
      </c>
      <c r="AE90" s="233">
        <f>AE16*LOOKUP(AE$8,Inputs!$G$48:$K$48,Inputs!$G51:$K51)/months_yr*AE$6</f>
        <v>0</v>
      </c>
      <c r="AF90" s="233">
        <f>AF16*LOOKUP(AF$8,Inputs!$G$48:$K$48,Inputs!$G51:$K51)/months_yr*AF$6</f>
        <v>0</v>
      </c>
      <c r="AG90" s="233">
        <f>AG16*LOOKUP(AG$8,Inputs!$G$48:$K$48,Inputs!$G51:$K51)/months_yr*AG$6</f>
        <v>0</v>
      </c>
    </row>
    <row r="91" spans="1:33" ht="16.5" customHeight="1" outlineLevel="2">
      <c r="A91" s="128"/>
      <c r="B91" s="434"/>
      <c r="C91" s="40" t="str">
        <f>C17</f>
        <v>Fill in name or positon here</v>
      </c>
      <c r="D91" s="8" t="str">
        <f t="shared" si="12"/>
        <v>USD</v>
      </c>
      <c r="E91" s="128"/>
      <c r="F91" s="128"/>
      <c r="G91" s="128"/>
      <c r="H91" s="128"/>
      <c r="I91" s="71">
        <f>SUM(J91:AG91)</f>
        <v>0</v>
      </c>
      <c r="J91" s="233">
        <f>J17*LOOKUP(J$8,Inputs!$G$48:$K$48,Inputs!$G$52:$K$52)/months_yr*J$6</f>
        <v>0</v>
      </c>
      <c r="K91" s="233">
        <f>K17*LOOKUP(K$8,Inputs!$G$48:$K$48,Inputs!$G52:$K52)/months_yr*K$6</f>
        <v>0</v>
      </c>
      <c r="L91" s="233">
        <f>L17*LOOKUP(L$8,Inputs!$G$48:$K$48,Inputs!$G52:$K52)/months_yr*L$6</f>
        <v>0</v>
      </c>
      <c r="M91" s="233">
        <f>M17*LOOKUP(M$8,Inputs!$G$48:$K$48,Inputs!$G52:$K52)/months_yr*M$6</f>
        <v>0</v>
      </c>
      <c r="N91" s="233">
        <f>N17*LOOKUP(N$8,Inputs!$G$48:$K$48,Inputs!$G52:$K52)/months_yr*N$6</f>
        <v>0</v>
      </c>
      <c r="O91" s="233">
        <f>O17*LOOKUP(O$8,Inputs!$G$48:$K$48,Inputs!$G52:$K52)/months_yr*O$6</f>
        <v>0</v>
      </c>
      <c r="P91" s="233">
        <f>P17*LOOKUP(P$8,Inputs!$G$48:$K$48,Inputs!$G52:$K52)/months_yr*P$6</f>
        <v>0</v>
      </c>
      <c r="Q91" s="233">
        <f>Q17*LOOKUP(Q$8,Inputs!$G$48:$K$48,Inputs!$G52:$K52)/months_yr*Q$6</f>
        <v>0</v>
      </c>
      <c r="R91" s="233">
        <f>R17*LOOKUP(R$8,Inputs!$G$48:$K$48,Inputs!$G52:$K52)/months_yr*R$6</f>
        <v>0</v>
      </c>
      <c r="S91" s="233">
        <f>S17*LOOKUP(S$8,Inputs!$G$48:$K$48,Inputs!$G52:$K52)/months_yr*S$6</f>
        <v>0</v>
      </c>
      <c r="T91" s="233">
        <f>T17*LOOKUP(T$8,Inputs!$G$48:$K$48,Inputs!$G52:$K52)/months_yr*T$6</f>
        <v>0</v>
      </c>
      <c r="U91" s="233">
        <f>U17*LOOKUP(U$8,Inputs!$G$48:$K$48,Inputs!$G52:$K52)/months_yr*U$6</f>
        <v>0</v>
      </c>
      <c r="V91" s="233">
        <f>V17*LOOKUP(V$8,Inputs!$G$48:$K$48,Inputs!$G52:$K52)/months_yr*V$6</f>
        <v>0</v>
      </c>
      <c r="W91" s="233">
        <f>W17*LOOKUP(W$8,Inputs!$G$48:$K$48,Inputs!$G52:$K52)/months_yr*W$6</f>
        <v>0</v>
      </c>
      <c r="X91" s="233">
        <f>X17*LOOKUP(X$8,Inputs!$G$48:$K$48,Inputs!$G52:$K52)/months_yr*X$6</f>
        <v>0</v>
      </c>
      <c r="Y91" s="233">
        <f>Y17*LOOKUP(Y$8,Inputs!$G$48:$K$48,Inputs!$G52:$K52)/months_yr*Y$6</f>
        <v>0</v>
      </c>
      <c r="Z91" s="233">
        <f>Z17*LOOKUP(Z$8,Inputs!$G$48:$K$48,Inputs!$G52:$K52)/months_yr*Z$6</f>
        <v>0</v>
      </c>
      <c r="AA91" s="233">
        <f>AA17*LOOKUP(AA$8,Inputs!$G$48:$K$48,Inputs!$G52:$K52)/months_yr*AA$6</f>
        <v>0</v>
      </c>
      <c r="AB91" s="233">
        <f>AB17*LOOKUP(AB$8,Inputs!$G$48:$K$48,Inputs!$G52:$K52)/months_yr*AB$6</f>
        <v>0</v>
      </c>
      <c r="AC91" s="233">
        <f>AC17*LOOKUP(AC$8,Inputs!$G$48:$K$48,Inputs!$G52:$K52)/months_yr*AC$6</f>
        <v>0</v>
      </c>
      <c r="AD91" s="233">
        <f>AD17*LOOKUP(AD$8,Inputs!$G$48:$K$48,Inputs!$G52:$K52)/months_yr*AD$6</f>
        <v>0</v>
      </c>
      <c r="AE91" s="233">
        <f>AE17*LOOKUP(AE$8,Inputs!$G$48:$K$48,Inputs!$G52:$K52)/months_yr*AE$6</f>
        <v>0</v>
      </c>
      <c r="AF91" s="233">
        <f>AF17*LOOKUP(AF$8,Inputs!$G$48:$K$48,Inputs!$G52:$K52)/months_yr*AF$6</f>
        <v>0</v>
      </c>
      <c r="AG91" s="233">
        <f>AG17*LOOKUP(AG$8,Inputs!$G$48:$K$48,Inputs!$G52:$K52)/months_yr*AG$6</f>
        <v>0</v>
      </c>
    </row>
    <row r="92" spans="1:33" ht="16.5" customHeight="1" outlineLevel="2">
      <c r="A92" s="128"/>
      <c r="B92" s="434"/>
      <c r="C92" s="75" t="s">
        <v>280</v>
      </c>
      <c r="D92" s="8" t="str">
        <f t="shared" si="12"/>
        <v>USD</v>
      </c>
      <c r="E92" s="36"/>
      <c r="F92" s="36"/>
      <c r="G92" s="36"/>
      <c r="H92" s="36"/>
      <c r="I92" s="71">
        <f>SUM(J92:AG92)</f>
        <v>35183.333333333321</v>
      </c>
      <c r="J92" s="129">
        <f t="shared" ref="J92:AG92" si="13">SUM(J88:J91)</f>
        <v>1666.6666666666667</v>
      </c>
      <c r="K92" s="129">
        <f t="shared" si="13"/>
        <v>1666.6666666666667</v>
      </c>
      <c r="L92" s="129">
        <f t="shared" si="13"/>
        <v>1666.6666666666667</v>
      </c>
      <c r="M92" s="129">
        <f t="shared" si="13"/>
        <v>1666.6666666666667</v>
      </c>
      <c r="N92" s="129">
        <f t="shared" si="13"/>
        <v>1666.6666666666667</v>
      </c>
      <c r="O92" s="129">
        <f t="shared" si="13"/>
        <v>1666.6666666666667</v>
      </c>
      <c r="P92" s="129">
        <f t="shared" si="13"/>
        <v>1666.6666666666667</v>
      </c>
      <c r="Q92" s="129">
        <f t="shared" si="13"/>
        <v>1666.6666666666667</v>
      </c>
      <c r="R92" s="129">
        <f t="shared" si="13"/>
        <v>1666.6666666666667</v>
      </c>
      <c r="S92" s="129">
        <f t="shared" si="13"/>
        <v>1666.6666666666667</v>
      </c>
      <c r="T92" s="129">
        <f t="shared" si="13"/>
        <v>1683.3333333333333</v>
      </c>
      <c r="U92" s="129">
        <f t="shared" si="13"/>
        <v>1683.3333333333333</v>
      </c>
      <c r="V92" s="129">
        <f t="shared" si="13"/>
        <v>1683.3333333333333</v>
      </c>
      <c r="W92" s="129">
        <f t="shared" si="13"/>
        <v>1683.3333333333333</v>
      </c>
      <c r="X92" s="129">
        <f t="shared" si="13"/>
        <v>1683.3333333333333</v>
      </c>
      <c r="Y92" s="129">
        <f t="shared" si="13"/>
        <v>1683.3333333333333</v>
      </c>
      <c r="Z92" s="129">
        <f t="shared" si="13"/>
        <v>1683.3333333333333</v>
      </c>
      <c r="AA92" s="129">
        <f t="shared" si="13"/>
        <v>1683.3333333333333</v>
      </c>
      <c r="AB92" s="129">
        <f t="shared" si="13"/>
        <v>1683.3333333333333</v>
      </c>
      <c r="AC92" s="129">
        <f t="shared" si="13"/>
        <v>1683.3333333333333</v>
      </c>
      <c r="AD92" s="129">
        <f t="shared" si="13"/>
        <v>1683.3333333333333</v>
      </c>
      <c r="AE92" s="129">
        <f t="shared" si="13"/>
        <v>0</v>
      </c>
      <c r="AF92" s="129">
        <f t="shared" si="13"/>
        <v>0</v>
      </c>
      <c r="AG92" s="129">
        <f t="shared" si="13"/>
        <v>0</v>
      </c>
    </row>
    <row r="93" spans="1:33" ht="16.5" customHeight="1" outlineLevel="2">
      <c r="A93" s="128"/>
      <c r="B93" s="434"/>
      <c r="C93" s="331" t="str">
        <f t="shared" ref="C93:C98" si="14">C19</f>
        <v/>
      </c>
      <c r="D93" s="275"/>
      <c r="E93" s="128"/>
      <c r="F93" s="128"/>
      <c r="G93" s="128"/>
      <c r="H93" s="128"/>
      <c r="I93" s="332"/>
      <c r="J93" s="332"/>
      <c r="K93" s="332"/>
      <c r="L93" s="332"/>
      <c r="M93" s="332"/>
      <c r="N93" s="332"/>
      <c r="O93" s="332"/>
      <c r="P93" s="332"/>
      <c r="Q93" s="332"/>
      <c r="R93" s="332"/>
      <c r="S93" s="332"/>
      <c r="T93" s="332"/>
      <c r="U93" s="332"/>
      <c r="V93" s="332"/>
      <c r="W93" s="332"/>
      <c r="X93" s="332"/>
      <c r="Y93" s="332"/>
      <c r="Z93" s="332"/>
      <c r="AA93" s="332"/>
      <c r="AB93" s="332"/>
      <c r="AC93" s="332"/>
      <c r="AD93" s="332"/>
      <c r="AE93" s="332"/>
      <c r="AF93" s="332"/>
      <c r="AG93" s="332"/>
    </row>
    <row r="94" spans="1:33" ht="16.5" customHeight="1" outlineLevel="2">
      <c r="A94" s="128"/>
      <c r="B94" s="708">
        <f>B20</f>
        <v>2</v>
      </c>
      <c r="C94" s="331" t="str">
        <f t="shared" si="14"/>
        <v>Workstations</v>
      </c>
      <c r="D94" s="275"/>
      <c r="E94" s="128"/>
      <c r="F94" s="128"/>
      <c r="G94" s="128"/>
      <c r="H94" s="128"/>
      <c r="I94" s="332"/>
      <c r="J94" s="332"/>
      <c r="K94" s="332"/>
      <c r="L94" s="332"/>
      <c r="M94" s="332"/>
      <c r="N94" s="332"/>
      <c r="O94" s="332"/>
      <c r="P94" s="332"/>
      <c r="Q94" s="332"/>
      <c r="R94" s="332"/>
      <c r="S94" s="332"/>
      <c r="T94" s="332"/>
      <c r="U94" s="332"/>
      <c r="V94" s="332"/>
      <c r="W94" s="332"/>
      <c r="X94" s="332"/>
      <c r="Y94" s="332"/>
      <c r="Z94" s="332"/>
      <c r="AA94" s="332"/>
      <c r="AB94" s="332"/>
      <c r="AC94" s="332"/>
      <c r="AD94" s="332"/>
      <c r="AE94" s="332"/>
      <c r="AF94" s="332"/>
      <c r="AG94" s="332"/>
    </row>
    <row r="95" spans="1:33" ht="16.5" customHeight="1" outlineLevel="2">
      <c r="A95" s="128"/>
      <c r="B95" s="434"/>
      <c r="C95" s="40" t="str">
        <f t="shared" si="14"/>
        <v>Fill in name or positon here</v>
      </c>
      <c r="D95" s="8" t="str">
        <f>Currency_Label</f>
        <v>USD</v>
      </c>
      <c r="E95" s="128"/>
      <c r="F95" s="128"/>
      <c r="G95" s="128"/>
      <c r="H95" s="128"/>
      <c r="I95" s="71">
        <f>SUM(J95:AG95)</f>
        <v>25183.333333333328</v>
      </c>
      <c r="J95" s="233">
        <f>J21*LOOKUP(J$8,Inputs!$G$48:$K$48,Inputs!$G$49:$K$49)/months_yr*J$6</f>
        <v>0</v>
      </c>
      <c r="K95" s="233">
        <f>K21*LOOKUP(K$8,Inputs!$G$48:$K$48,Inputs!$G$49:$K$49)/months_yr*K$6</f>
        <v>0</v>
      </c>
      <c r="L95" s="233">
        <f>L21*LOOKUP(L$8,Inputs!$G$48:$K$48,Inputs!$G$49:$K$49)/months_yr*L$6</f>
        <v>0</v>
      </c>
      <c r="M95" s="233">
        <f>M21*LOOKUP(M$8,Inputs!$G$48:$K$48,Inputs!$G$49:$K$49)/months_yr*M$6</f>
        <v>0</v>
      </c>
      <c r="N95" s="233">
        <f>N21*LOOKUP(N$8,Inputs!$G$48:$K$48,Inputs!$G$49:$K$49)/months_yr*N$6</f>
        <v>0</v>
      </c>
      <c r="O95" s="233">
        <f>O21*LOOKUP(O$8,Inputs!$G$48:$K$48,Inputs!$G$49:$K$49)/months_yr*O$6</f>
        <v>0</v>
      </c>
      <c r="P95" s="233">
        <f>P21*LOOKUP(P$8,Inputs!$G$48:$K$48,Inputs!$G$49:$K$49)/months_yr*P$6</f>
        <v>1666.6666666666667</v>
      </c>
      <c r="Q95" s="233">
        <f>Q21*LOOKUP(Q$8,Inputs!$G$48:$K$48,Inputs!$G$49:$K$49)/months_yr*Q$6</f>
        <v>1666.6666666666667</v>
      </c>
      <c r="R95" s="233">
        <f>R21*LOOKUP(R$8,Inputs!$G$48:$K$48,Inputs!$G$49:$K$49)/months_yr*R$6</f>
        <v>1666.6666666666667</v>
      </c>
      <c r="S95" s="233">
        <f>S21*LOOKUP(S$8,Inputs!$G$48:$K$48,Inputs!$G$49:$K$49)/months_yr*S$6</f>
        <v>1666.6666666666667</v>
      </c>
      <c r="T95" s="233">
        <f>T21*LOOKUP(T$8,Inputs!$G$48:$K$48,Inputs!$G$49:$K$49)/months_yr*T$6</f>
        <v>1683.3333333333333</v>
      </c>
      <c r="U95" s="233">
        <f>U21*LOOKUP(U$8,Inputs!$G$48:$K$48,Inputs!$G$49:$K$49)/months_yr*U$6</f>
        <v>1683.3333333333333</v>
      </c>
      <c r="V95" s="233">
        <f>V21*LOOKUP(V$8,Inputs!$G$48:$K$48,Inputs!$G$49:$K$49)/months_yr*V$6</f>
        <v>1683.3333333333333</v>
      </c>
      <c r="W95" s="233">
        <f>W21*LOOKUP(W$8,Inputs!$G$48:$K$48,Inputs!$G$49:$K$49)/months_yr*W$6</f>
        <v>1683.3333333333333</v>
      </c>
      <c r="X95" s="233">
        <f>X21*LOOKUP(X$8,Inputs!$G$48:$K$48,Inputs!$G$49:$K$49)/months_yr*X$6</f>
        <v>1683.3333333333333</v>
      </c>
      <c r="Y95" s="233">
        <f>Y21*LOOKUP(Y$8,Inputs!$G$48:$K$48,Inputs!$G$49:$K$49)/months_yr*Y$6</f>
        <v>1683.3333333333333</v>
      </c>
      <c r="Z95" s="233">
        <f>Z21*LOOKUP(Z$8,Inputs!$G$48:$K$48,Inputs!$G$49:$K$49)/months_yr*Z$6</f>
        <v>1683.3333333333333</v>
      </c>
      <c r="AA95" s="233">
        <f>AA21*LOOKUP(AA$8,Inputs!$G$48:$K$48,Inputs!$G$49:$K$49)/months_yr*AA$6</f>
        <v>1683.3333333333333</v>
      </c>
      <c r="AB95" s="233">
        <f>AB21*LOOKUP(AB$8,Inputs!$G$48:$K$48,Inputs!$G$49:$K$49)/months_yr*AB$6</f>
        <v>1683.3333333333333</v>
      </c>
      <c r="AC95" s="233">
        <f>AC21*LOOKUP(AC$8,Inputs!$G$48:$K$48,Inputs!$G$49:$K$49)/months_yr*AC$6</f>
        <v>1683.3333333333333</v>
      </c>
      <c r="AD95" s="233">
        <f>AD21*LOOKUP(AD$8,Inputs!$G$48:$K$48,Inputs!$G$49:$K$49)/months_yr*AD$6</f>
        <v>1683.3333333333333</v>
      </c>
      <c r="AE95" s="233">
        <f>AE21*LOOKUP(AE$8,Inputs!$G$48:$K$48,Inputs!$G$49:$K$49)/months_yr*AE$6</f>
        <v>0</v>
      </c>
      <c r="AF95" s="233">
        <f>AF21*LOOKUP(AF$8,Inputs!$G$48:$K$48,Inputs!$G$49:$K$49)/months_yr*AF$6</f>
        <v>0</v>
      </c>
      <c r="AG95" s="233">
        <f>AG21*LOOKUP(AG$8,Inputs!$G$48:$K$48,Inputs!$G$49:$K$49)/months_yr*AG$6</f>
        <v>0</v>
      </c>
    </row>
    <row r="96" spans="1:33" ht="16.5" customHeight="1" outlineLevel="2">
      <c r="A96" s="128"/>
      <c r="B96" s="434"/>
      <c r="C96" s="40" t="str">
        <f t="shared" si="14"/>
        <v>Fill in name or positon here</v>
      </c>
      <c r="D96" s="8" t="str">
        <f>Currency_Label</f>
        <v>USD</v>
      </c>
      <c r="E96" s="128"/>
      <c r="F96" s="128"/>
      <c r="G96" s="128"/>
      <c r="H96" s="128"/>
      <c r="I96" s="71">
        <f>SUM(J96:AG96)</f>
        <v>0</v>
      </c>
      <c r="J96" s="233">
        <f>J22*LOOKUP(J$8,Inputs!$G$48:$K$48,Inputs!$G$50:$K$50)/months_yr*J$6</f>
        <v>0</v>
      </c>
      <c r="K96" s="233">
        <f>K22*LOOKUP(K$8,Inputs!$G$48:$K$48,Inputs!$G$50:$K$50)/months_yr*K$6</f>
        <v>0</v>
      </c>
      <c r="L96" s="233">
        <f>L22*LOOKUP(L$8,Inputs!$G$48:$K$48,Inputs!$G$50:$K$50)/months_yr*L$6</f>
        <v>0</v>
      </c>
      <c r="M96" s="233">
        <f>M22*LOOKUP(M$8,Inputs!$G$48:$K$48,Inputs!$G$50:$K$50)/months_yr*M$6</f>
        <v>0</v>
      </c>
      <c r="N96" s="233">
        <f>N22*LOOKUP(N$8,Inputs!$G$48:$K$48,Inputs!$G$50:$K$50)/months_yr*N$6</f>
        <v>0</v>
      </c>
      <c r="O96" s="233">
        <f>O22*LOOKUP(O$8,Inputs!$G$48:$K$48,Inputs!$G$50:$K$50)/months_yr*O$6</f>
        <v>0</v>
      </c>
      <c r="P96" s="233">
        <f>P22*LOOKUP(P$8,Inputs!$G$48:$K$48,Inputs!$G$50:$K$50)/months_yr*P$6</f>
        <v>0</v>
      </c>
      <c r="Q96" s="233">
        <f>Q22*LOOKUP(Q$8,Inputs!$G$48:$K$48,Inputs!$G$50:$K$50)/months_yr*Q$6</f>
        <v>0</v>
      </c>
      <c r="R96" s="233">
        <f>R22*LOOKUP(R$8,Inputs!$G$48:$K$48,Inputs!$G$50:$K$50)/months_yr*R$6</f>
        <v>0</v>
      </c>
      <c r="S96" s="233">
        <f>S22*LOOKUP(S$8,Inputs!$G$48:$K$48,Inputs!$G$50:$K$50)/months_yr*S$6</f>
        <v>0</v>
      </c>
      <c r="T96" s="233">
        <f>T22*LOOKUP(T$8,Inputs!$G$48:$K$48,Inputs!$G$50:$K$50)/months_yr*T$6</f>
        <v>0</v>
      </c>
      <c r="U96" s="233">
        <f>U22*LOOKUP(U$8,Inputs!$G$48:$K$48,Inputs!$G$50:$K$50)/months_yr*U$6</f>
        <v>0</v>
      </c>
      <c r="V96" s="233">
        <f>V22*LOOKUP(V$8,Inputs!$G$48:$K$48,Inputs!$G$50:$K$50)/months_yr*V$6</f>
        <v>0</v>
      </c>
      <c r="W96" s="233">
        <f>W22*LOOKUP(W$8,Inputs!$G$48:$K$48,Inputs!$G$50:$K$50)/months_yr*W$6</f>
        <v>0</v>
      </c>
      <c r="X96" s="233">
        <f>X22*LOOKUP(X$8,Inputs!$G$48:$K$48,Inputs!$G$50:$K$50)/months_yr*X$6</f>
        <v>0</v>
      </c>
      <c r="Y96" s="233">
        <f>Y22*LOOKUP(Y$8,Inputs!$G$48:$K$48,Inputs!$G$50:$K$50)/months_yr*Y$6</f>
        <v>0</v>
      </c>
      <c r="Z96" s="233">
        <f>Z22*LOOKUP(Z$8,Inputs!$G$48:$K$48,Inputs!$G$50:$K$50)/months_yr*Z$6</f>
        <v>0</v>
      </c>
      <c r="AA96" s="233">
        <f>AA22*LOOKUP(AA$8,Inputs!$G$48:$K$48,Inputs!$G$50:$K$50)/months_yr*AA$6</f>
        <v>0</v>
      </c>
      <c r="AB96" s="233">
        <f>AB22*LOOKUP(AB$8,Inputs!$G$48:$K$48,Inputs!$G$50:$K$50)/months_yr*AB$6</f>
        <v>0</v>
      </c>
      <c r="AC96" s="233">
        <f>AC22*LOOKUP(AC$8,Inputs!$G$48:$K$48,Inputs!$G$50:$K$50)/months_yr*AC$6</f>
        <v>0</v>
      </c>
      <c r="AD96" s="233">
        <f>AD22*LOOKUP(AD$8,Inputs!$G$48:$K$48,Inputs!$G$50:$K$50)/months_yr*AD$6</f>
        <v>0</v>
      </c>
      <c r="AE96" s="233">
        <f>AE22*LOOKUP(AE$8,Inputs!$G$48:$K$48,Inputs!$G$50:$K$50)/months_yr*AE$6</f>
        <v>0</v>
      </c>
      <c r="AF96" s="233">
        <f>AF22*LOOKUP(AF$8,Inputs!$G$48:$K$48,Inputs!$G$50:$K$50)/months_yr*AF$6</f>
        <v>0</v>
      </c>
      <c r="AG96" s="233">
        <f>AG22*LOOKUP(AG$8,Inputs!$G$48:$K$48,Inputs!$G$50:$K$50)/months_yr*AG$6</f>
        <v>0</v>
      </c>
    </row>
    <row r="97" spans="1:33" ht="16.5" customHeight="1" outlineLevel="2">
      <c r="A97" s="128"/>
      <c r="B97" s="434"/>
      <c r="C97" s="40" t="str">
        <f t="shared" si="14"/>
        <v>Fill in name or positon here</v>
      </c>
      <c r="D97" s="8" t="str">
        <f>Currency_Label</f>
        <v>USD</v>
      </c>
      <c r="E97" s="128"/>
      <c r="F97" s="128"/>
      <c r="G97" s="128"/>
      <c r="H97" s="128"/>
      <c r="I97" s="71">
        <f>SUM(J97:AG97)</f>
        <v>0</v>
      </c>
      <c r="J97" s="233">
        <f>J23*LOOKUP(J$8,Inputs!$G$48:$K$48,Inputs!$G$51:$K$51)/months_yr*J$6</f>
        <v>0</v>
      </c>
      <c r="K97" s="233">
        <f>K23*LOOKUP(K$8,Inputs!$G$48:$K$48,Inputs!$G$51:$K$51)/months_yr*K$6</f>
        <v>0</v>
      </c>
      <c r="L97" s="233">
        <f>L23*LOOKUP(L$8,Inputs!$G$48:$K$48,Inputs!$G$51:$K$51)/months_yr*L$6</f>
        <v>0</v>
      </c>
      <c r="M97" s="233">
        <f>M23*LOOKUP(M$8,Inputs!$G$48:$K$48,Inputs!$G$51:$K$51)/months_yr*M$6</f>
        <v>0</v>
      </c>
      <c r="N97" s="233">
        <f>N23*LOOKUP(N$8,Inputs!$G$48:$K$48,Inputs!$G$51:$K$51)/months_yr*N$6</f>
        <v>0</v>
      </c>
      <c r="O97" s="233">
        <f>O23*LOOKUP(O$8,Inputs!$G$48:$K$48,Inputs!$G$51:$K$51)/months_yr*O$6</f>
        <v>0</v>
      </c>
      <c r="P97" s="233">
        <f>P23*LOOKUP(P$8,Inputs!$G$48:$K$48,Inputs!$G$51:$K$51)/months_yr*P$6</f>
        <v>0</v>
      </c>
      <c r="Q97" s="233">
        <f>Q23*LOOKUP(Q$8,Inputs!$G$48:$K$48,Inputs!$G$51:$K$51)/months_yr*Q$6</f>
        <v>0</v>
      </c>
      <c r="R97" s="233">
        <f>R23*LOOKUP(R$8,Inputs!$G$48:$K$48,Inputs!$G$51:$K$51)/months_yr*R$6</f>
        <v>0</v>
      </c>
      <c r="S97" s="233">
        <f>S23*LOOKUP(S$8,Inputs!$G$48:$K$48,Inputs!$G$51:$K$51)/months_yr*S$6</f>
        <v>0</v>
      </c>
      <c r="T97" s="233">
        <f>T23*LOOKUP(T$8,Inputs!$G$48:$K$48,Inputs!$G$51:$K$51)/months_yr*T$6</f>
        <v>0</v>
      </c>
      <c r="U97" s="233">
        <f>U23*LOOKUP(U$8,Inputs!$G$48:$K$48,Inputs!$G$51:$K$51)/months_yr*U$6</f>
        <v>0</v>
      </c>
      <c r="V97" s="233">
        <f>V23*LOOKUP(V$8,Inputs!$G$48:$K$48,Inputs!$G$51:$K$51)/months_yr*V$6</f>
        <v>0</v>
      </c>
      <c r="W97" s="233">
        <f>W23*LOOKUP(W$8,Inputs!$G$48:$K$48,Inputs!$G$51:$K$51)/months_yr*W$6</f>
        <v>0</v>
      </c>
      <c r="X97" s="233">
        <f>X23*LOOKUP(X$8,Inputs!$G$48:$K$48,Inputs!$G$51:$K$51)/months_yr*X$6</f>
        <v>0</v>
      </c>
      <c r="Y97" s="233">
        <f>Y23*LOOKUP(Y$8,Inputs!$G$48:$K$48,Inputs!$G$51:$K$51)/months_yr*Y$6</f>
        <v>0</v>
      </c>
      <c r="Z97" s="233">
        <f>Z23*LOOKUP(Z$8,Inputs!$G$48:$K$48,Inputs!$G$51:$K$51)/months_yr*Z$6</f>
        <v>0</v>
      </c>
      <c r="AA97" s="233">
        <f>AA23*LOOKUP(AA$8,Inputs!$G$48:$K$48,Inputs!$G$51:$K$51)/months_yr*AA$6</f>
        <v>0</v>
      </c>
      <c r="AB97" s="233">
        <f>AB23*LOOKUP(AB$8,Inputs!$G$48:$K$48,Inputs!$G$51:$K$51)/months_yr*AB$6</f>
        <v>0</v>
      </c>
      <c r="AC97" s="233">
        <f>AC23*LOOKUP(AC$8,Inputs!$G$48:$K$48,Inputs!$G$51:$K$51)/months_yr*AC$6</f>
        <v>0</v>
      </c>
      <c r="AD97" s="233">
        <f>AD23*LOOKUP(AD$8,Inputs!$G$48:$K$48,Inputs!$G$51:$K$51)/months_yr*AD$6</f>
        <v>0</v>
      </c>
      <c r="AE97" s="233">
        <f>AE23*LOOKUP(AE$8,Inputs!$G$48:$K$48,Inputs!$G$51:$K$51)/months_yr*AE$6</f>
        <v>0</v>
      </c>
      <c r="AF97" s="233">
        <f>AF23*LOOKUP(AF$8,Inputs!$G$48:$K$48,Inputs!$G$51:$K$51)/months_yr*AF$6</f>
        <v>0</v>
      </c>
      <c r="AG97" s="233">
        <f>AG23*LOOKUP(AG$8,Inputs!$G$48:$K$48,Inputs!$G$51:$K$51)/months_yr*AG$6</f>
        <v>0</v>
      </c>
    </row>
    <row r="98" spans="1:33" ht="16.5" customHeight="1" outlineLevel="2">
      <c r="A98" s="128"/>
      <c r="B98" s="434"/>
      <c r="C98" s="40" t="str">
        <f t="shared" si="14"/>
        <v>Fill in name or positon here</v>
      </c>
      <c r="D98" s="8" t="str">
        <f>Currency_Label</f>
        <v>USD</v>
      </c>
      <c r="E98" s="128"/>
      <c r="F98" s="128"/>
      <c r="G98" s="128"/>
      <c r="H98" s="128"/>
      <c r="I98" s="71">
        <f>SUM(J98:AG98)</f>
        <v>0</v>
      </c>
      <c r="J98" s="233">
        <f>J24*LOOKUP(J$8,Inputs!$G$48:$K$48,Inputs!$G$52:$K$52)/months_yr*J$6</f>
        <v>0</v>
      </c>
      <c r="K98" s="233">
        <f>K24*LOOKUP(K$8,Inputs!$G$48:$K$48,Inputs!$G$52:$K$52)/months_yr*K$6</f>
        <v>0</v>
      </c>
      <c r="L98" s="233">
        <f>L24*LOOKUP(L$8,Inputs!$G$48:$K$48,Inputs!$G$52:$K$52)/months_yr*L$6</f>
        <v>0</v>
      </c>
      <c r="M98" s="233">
        <f>M24*LOOKUP(M$8,Inputs!$G$48:$K$48,Inputs!$G$52:$K$52)/months_yr*M$6</f>
        <v>0</v>
      </c>
      <c r="N98" s="233">
        <f>N24*LOOKUP(N$8,Inputs!$G$48:$K$48,Inputs!$G$52:$K$52)/months_yr*N$6</f>
        <v>0</v>
      </c>
      <c r="O98" s="233">
        <f>O24*LOOKUP(O$8,Inputs!$G$48:$K$48,Inputs!$G$52:$K$52)/months_yr*O$6</f>
        <v>0</v>
      </c>
      <c r="P98" s="233">
        <f>P24*LOOKUP(P$8,Inputs!$G$48:$K$48,Inputs!$G$52:$K$52)/months_yr*P$6</f>
        <v>0</v>
      </c>
      <c r="Q98" s="233">
        <f>Q24*LOOKUP(Q$8,Inputs!$G$48:$K$48,Inputs!$G$52:$K$52)/months_yr*Q$6</f>
        <v>0</v>
      </c>
      <c r="R98" s="233">
        <f>R24*LOOKUP(R$8,Inputs!$G$48:$K$48,Inputs!$G$52:$K$52)/months_yr*R$6</f>
        <v>0</v>
      </c>
      <c r="S98" s="233">
        <f>S24*LOOKUP(S$8,Inputs!$G$48:$K$48,Inputs!$G$52:$K$52)/months_yr*S$6</f>
        <v>0</v>
      </c>
      <c r="T98" s="233">
        <f>T24*LOOKUP(T$8,Inputs!$G$48:$K$48,Inputs!$G$52:$K$52)/months_yr*T$6</f>
        <v>0</v>
      </c>
      <c r="U98" s="233">
        <f>U24*LOOKUP(U$8,Inputs!$G$48:$K$48,Inputs!$G$52:$K$52)/months_yr*U$6</f>
        <v>0</v>
      </c>
      <c r="V98" s="233">
        <f>V24*LOOKUP(V$8,Inputs!$G$48:$K$48,Inputs!$G$52:$K$52)/months_yr*V$6</f>
        <v>0</v>
      </c>
      <c r="W98" s="233">
        <f>W24*LOOKUP(W$8,Inputs!$G$48:$K$48,Inputs!$G$52:$K$52)/months_yr*W$6</f>
        <v>0</v>
      </c>
      <c r="X98" s="233">
        <f>X24*LOOKUP(X$8,Inputs!$G$48:$K$48,Inputs!$G$52:$K$52)/months_yr*X$6</f>
        <v>0</v>
      </c>
      <c r="Y98" s="233">
        <f>Y24*LOOKUP(Y$8,Inputs!$G$48:$K$48,Inputs!$G$52:$K$52)/months_yr*Y$6</f>
        <v>0</v>
      </c>
      <c r="Z98" s="233">
        <f>Z24*LOOKUP(Z$8,Inputs!$G$48:$K$48,Inputs!$G$52:$K$52)/months_yr*Z$6</f>
        <v>0</v>
      </c>
      <c r="AA98" s="233">
        <f>AA24*LOOKUP(AA$8,Inputs!$G$48:$K$48,Inputs!$G$52:$K$52)/months_yr*AA$6</f>
        <v>0</v>
      </c>
      <c r="AB98" s="233">
        <f>AB24*LOOKUP(AB$8,Inputs!$G$48:$K$48,Inputs!$G$52:$K$52)/months_yr*AB$6</f>
        <v>0</v>
      </c>
      <c r="AC98" s="233">
        <f>AC24*LOOKUP(AC$8,Inputs!$G$48:$K$48,Inputs!$G$52:$K$52)/months_yr*AC$6</f>
        <v>0</v>
      </c>
      <c r="AD98" s="233">
        <f>AD24*LOOKUP(AD$8,Inputs!$G$48:$K$48,Inputs!$G$52:$K$52)/months_yr*AD$6</f>
        <v>0</v>
      </c>
      <c r="AE98" s="233">
        <f>AE24*LOOKUP(AE$8,Inputs!$G$48:$K$48,Inputs!$G$52:$K$52)/months_yr*AE$6</f>
        <v>0</v>
      </c>
      <c r="AF98" s="233">
        <f>AF24*LOOKUP(AF$8,Inputs!$G$48:$K$48,Inputs!$G$52:$K$52)/months_yr*AF$6</f>
        <v>0</v>
      </c>
      <c r="AG98" s="233">
        <f>AG24*LOOKUP(AG$8,Inputs!$G$48:$K$48,Inputs!$G$52:$K$52)/months_yr*AG$6</f>
        <v>0</v>
      </c>
    </row>
    <row r="99" spans="1:33" ht="16.5" customHeight="1" outlineLevel="2">
      <c r="A99" s="128"/>
      <c r="B99" s="434"/>
      <c r="C99" s="75" t="s">
        <v>280</v>
      </c>
      <c r="D99" s="8" t="str">
        <f>Currency_Label</f>
        <v>USD</v>
      </c>
      <c r="E99" s="36"/>
      <c r="F99" s="36"/>
      <c r="G99" s="36"/>
      <c r="H99" s="36"/>
      <c r="I99" s="71">
        <f>SUM(J99:AG99)</f>
        <v>25183.333333333328</v>
      </c>
      <c r="J99" s="129">
        <f t="shared" ref="J99:AG99" si="15">SUM(J95:J98)</f>
        <v>0</v>
      </c>
      <c r="K99" s="129">
        <f t="shared" si="15"/>
        <v>0</v>
      </c>
      <c r="L99" s="129">
        <f t="shared" si="15"/>
        <v>0</v>
      </c>
      <c r="M99" s="129">
        <f t="shared" si="15"/>
        <v>0</v>
      </c>
      <c r="N99" s="129">
        <f t="shared" si="15"/>
        <v>0</v>
      </c>
      <c r="O99" s="129">
        <f t="shared" si="15"/>
        <v>0</v>
      </c>
      <c r="P99" s="129">
        <f t="shared" si="15"/>
        <v>1666.6666666666667</v>
      </c>
      <c r="Q99" s="129">
        <f t="shared" si="15"/>
        <v>1666.6666666666667</v>
      </c>
      <c r="R99" s="129">
        <f t="shared" si="15"/>
        <v>1666.6666666666667</v>
      </c>
      <c r="S99" s="129">
        <f t="shared" si="15"/>
        <v>1666.6666666666667</v>
      </c>
      <c r="T99" s="129">
        <f t="shared" si="15"/>
        <v>1683.3333333333333</v>
      </c>
      <c r="U99" s="129">
        <f t="shared" si="15"/>
        <v>1683.3333333333333</v>
      </c>
      <c r="V99" s="129">
        <f t="shared" si="15"/>
        <v>1683.3333333333333</v>
      </c>
      <c r="W99" s="129">
        <f t="shared" si="15"/>
        <v>1683.3333333333333</v>
      </c>
      <c r="X99" s="129">
        <f t="shared" si="15"/>
        <v>1683.3333333333333</v>
      </c>
      <c r="Y99" s="129">
        <f t="shared" si="15"/>
        <v>1683.3333333333333</v>
      </c>
      <c r="Z99" s="129">
        <f t="shared" si="15"/>
        <v>1683.3333333333333</v>
      </c>
      <c r="AA99" s="129">
        <f t="shared" si="15"/>
        <v>1683.3333333333333</v>
      </c>
      <c r="AB99" s="129">
        <f t="shared" si="15"/>
        <v>1683.3333333333333</v>
      </c>
      <c r="AC99" s="129">
        <f t="shared" si="15"/>
        <v>1683.3333333333333</v>
      </c>
      <c r="AD99" s="129">
        <f t="shared" si="15"/>
        <v>1683.3333333333333</v>
      </c>
      <c r="AE99" s="129">
        <f t="shared" si="15"/>
        <v>0</v>
      </c>
      <c r="AF99" s="129">
        <f t="shared" si="15"/>
        <v>0</v>
      </c>
      <c r="AG99" s="129">
        <f t="shared" si="15"/>
        <v>0</v>
      </c>
    </row>
    <row r="100" spans="1:33" ht="16.5" customHeight="1" outlineLevel="2">
      <c r="A100" s="128"/>
      <c r="B100" s="708"/>
      <c r="C100" s="128"/>
      <c r="D100" s="275"/>
      <c r="E100" s="128"/>
      <c r="F100" s="128"/>
      <c r="G100" s="128"/>
      <c r="H100" s="128"/>
      <c r="I100" s="332"/>
      <c r="J100" s="332"/>
      <c r="K100" s="332"/>
      <c r="L100" s="332"/>
      <c r="M100" s="332"/>
      <c r="N100" s="332"/>
      <c r="O100" s="332"/>
      <c r="P100" s="332"/>
      <c r="Q100" s="332"/>
      <c r="R100" s="332"/>
      <c r="S100" s="332"/>
      <c r="T100" s="332"/>
      <c r="U100" s="332"/>
      <c r="V100" s="332"/>
      <c r="W100" s="332"/>
      <c r="X100" s="332"/>
      <c r="Y100" s="332"/>
      <c r="Z100" s="332"/>
      <c r="AA100" s="332"/>
      <c r="AB100" s="332"/>
      <c r="AC100" s="332"/>
      <c r="AD100" s="332"/>
      <c r="AE100" s="332"/>
      <c r="AF100" s="332"/>
      <c r="AG100" s="332"/>
    </row>
    <row r="101" spans="1:33" ht="16.5" customHeight="1" outlineLevel="2">
      <c r="A101" s="128"/>
      <c r="B101" s="708">
        <f>B27</f>
        <v>3</v>
      </c>
      <c r="C101" s="331" t="str">
        <f>C27</f>
        <v>Notebooks</v>
      </c>
      <c r="D101" s="275"/>
      <c r="E101" s="128"/>
      <c r="F101" s="128"/>
      <c r="G101" s="128"/>
      <c r="H101" s="128"/>
      <c r="I101" s="332"/>
      <c r="J101" s="332"/>
      <c r="K101" s="332"/>
      <c r="L101" s="332"/>
      <c r="M101" s="332"/>
      <c r="N101" s="332"/>
      <c r="O101" s="332"/>
      <c r="P101" s="332"/>
      <c r="Q101" s="332"/>
      <c r="R101" s="332"/>
      <c r="S101" s="332"/>
      <c r="T101" s="332"/>
      <c r="U101" s="332"/>
      <c r="V101" s="332"/>
      <c r="W101" s="332"/>
      <c r="X101" s="332"/>
      <c r="Y101" s="332"/>
      <c r="Z101" s="332"/>
      <c r="AA101" s="332"/>
      <c r="AB101" s="332"/>
      <c r="AC101" s="332"/>
      <c r="AD101" s="332"/>
      <c r="AE101" s="332"/>
      <c r="AF101" s="332"/>
      <c r="AG101" s="332"/>
    </row>
    <row r="102" spans="1:33" ht="16.5" customHeight="1" outlineLevel="2">
      <c r="A102" s="128"/>
      <c r="B102" s="434"/>
      <c r="C102" s="40" t="str">
        <f>C28</f>
        <v>Fill in name or positon here</v>
      </c>
      <c r="D102" s="8" t="str">
        <f>Currency_Label</f>
        <v>USD</v>
      </c>
      <c r="E102" s="128"/>
      <c r="F102" s="128"/>
      <c r="G102" s="128"/>
      <c r="H102" s="128"/>
      <c r="I102" s="71">
        <f>SUM(J102:AG102)</f>
        <v>0</v>
      </c>
      <c r="J102" s="233">
        <f>J28*LOOKUP(J$8,Inputs!$G$48:$K$48,Inputs!$G$49:$K$49)/months_yr*J$6</f>
        <v>0</v>
      </c>
      <c r="K102" s="233">
        <f>K28*LOOKUP(K$8,Inputs!$G$48:$K$48,Inputs!$G$49:$K$49)/months_yr*K$6</f>
        <v>0</v>
      </c>
      <c r="L102" s="233">
        <f>L28*LOOKUP(L$8,Inputs!$G$48:$K$48,Inputs!$G$49:$K$49)/months_yr*L$6</f>
        <v>0</v>
      </c>
      <c r="M102" s="233">
        <f>M28*LOOKUP(M$8,Inputs!$G$48:$K$48,Inputs!$G$49:$K$49)/months_yr*M$6</f>
        <v>0</v>
      </c>
      <c r="N102" s="233">
        <f>N28*LOOKUP(N$8,Inputs!$G$48:$K$48,Inputs!$G$49:$K$49)/months_yr*N$6</f>
        <v>0</v>
      </c>
      <c r="O102" s="233">
        <f>O28*LOOKUP(O$8,Inputs!$G$48:$K$48,Inputs!$G$49:$K$49)/months_yr*O$6</f>
        <v>0</v>
      </c>
      <c r="P102" s="233">
        <f>P28*LOOKUP(P$8,Inputs!$G$48:$K$48,Inputs!$G$49:$K$49)/months_yr*P$6</f>
        <v>0</v>
      </c>
      <c r="Q102" s="233">
        <f>Q28*LOOKUP(Q$8,Inputs!$G$48:$K$48,Inputs!$G$49:$K$49)/months_yr*Q$6</f>
        <v>0</v>
      </c>
      <c r="R102" s="233">
        <f>R28*LOOKUP(R$8,Inputs!$G$48:$K$48,Inputs!$G$49:$K$49)/months_yr*R$6</f>
        <v>0</v>
      </c>
      <c r="S102" s="233">
        <f>S28*LOOKUP(S$8,Inputs!$G$48:$K$48,Inputs!$G$49:$K$49)/months_yr*S$6</f>
        <v>0</v>
      </c>
      <c r="T102" s="233">
        <f>T28*LOOKUP(T$8,Inputs!$G$48:$K$48,Inputs!$G$49:$K$49)/months_yr*T$6</f>
        <v>0</v>
      </c>
      <c r="U102" s="233">
        <f>U28*LOOKUP(U$8,Inputs!$G$48:$K$48,Inputs!$G$49:$K$49)/months_yr*U$6</f>
        <v>0</v>
      </c>
      <c r="V102" s="233">
        <f>V28*LOOKUP(V$8,Inputs!$G$48:$K$48,Inputs!$G$49:$K$49)/months_yr*V$6</f>
        <v>0</v>
      </c>
      <c r="W102" s="233">
        <f>W28*LOOKUP(W$8,Inputs!$G$48:$K$48,Inputs!$G$49:$K$49)/months_yr*W$6</f>
        <v>0</v>
      </c>
      <c r="X102" s="233">
        <f>X28*LOOKUP(X$8,Inputs!$G$48:$K$48,Inputs!$G$49:$K$49)/months_yr*X$6</f>
        <v>0</v>
      </c>
      <c r="Y102" s="233">
        <f>Y28*LOOKUP(Y$8,Inputs!$G$48:$K$48,Inputs!$G$49:$K$49)/months_yr*Y$6</f>
        <v>0</v>
      </c>
      <c r="Z102" s="233">
        <f>Z28*LOOKUP(Z$8,Inputs!$G$48:$K$48,Inputs!$G$49:$K$49)/months_yr*Z$6</f>
        <v>0</v>
      </c>
      <c r="AA102" s="233">
        <f>AA28*LOOKUP(AA$8,Inputs!$G$48:$K$48,Inputs!$G$49:$K$49)/months_yr*AA$6</f>
        <v>0</v>
      </c>
      <c r="AB102" s="233">
        <f>AB28*LOOKUP(AB$8,Inputs!$G$48:$K$48,Inputs!$G$49:$K$49)/months_yr*AB$6</f>
        <v>0</v>
      </c>
      <c r="AC102" s="233">
        <f>AC28*LOOKUP(AC$8,Inputs!$G$48:$K$48,Inputs!$G$49:$K$49)/months_yr*AC$6</f>
        <v>0</v>
      </c>
      <c r="AD102" s="233">
        <f>AD28*LOOKUP(AD$8,Inputs!$G$48:$K$48,Inputs!$G$49:$K$49)/months_yr*AD$6</f>
        <v>0</v>
      </c>
      <c r="AE102" s="233">
        <f>AE28*LOOKUP(AE$8,Inputs!$G$48:$K$48,Inputs!$G$49:$K$49)/months_yr*AE$6</f>
        <v>0</v>
      </c>
      <c r="AF102" s="233">
        <f>AF28*LOOKUP(AF$8,Inputs!$G$48:$K$48,Inputs!$G$49:$K$49)/months_yr*AF$6</f>
        <v>0</v>
      </c>
      <c r="AG102" s="233">
        <f>AG28*LOOKUP(AG$8,Inputs!$G$48:$K$48,Inputs!$G$49:$K$49)/months_yr*AG$6</f>
        <v>0</v>
      </c>
    </row>
    <row r="103" spans="1:33" ht="16.5" customHeight="1" outlineLevel="2">
      <c r="A103" s="128"/>
      <c r="B103" s="434"/>
      <c r="C103" s="40" t="str">
        <f>C29</f>
        <v>Fill in name or positon here</v>
      </c>
      <c r="D103" s="8" t="str">
        <f>Currency_Label</f>
        <v>USD</v>
      </c>
      <c r="E103" s="128"/>
      <c r="F103" s="128"/>
      <c r="G103" s="128"/>
      <c r="H103" s="128"/>
      <c r="I103" s="71">
        <f>SUM(J103:AG103)</f>
        <v>0</v>
      </c>
      <c r="J103" s="233">
        <f>J29*LOOKUP(J$8,Inputs!$G$48:$K$48,Inputs!$G$50:$K$50)/months_yr*J$6</f>
        <v>0</v>
      </c>
      <c r="K103" s="233">
        <f>K29*LOOKUP(K$8,Inputs!$G$48:$K$48,Inputs!$G$50:$K$50)/months_yr*K$6</f>
        <v>0</v>
      </c>
      <c r="L103" s="233">
        <f>L29*LOOKUP(L$8,Inputs!$G$48:$K$48,Inputs!$G$50:$K$50)/months_yr*L$6</f>
        <v>0</v>
      </c>
      <c r="M103" s="233">
        <f>M29*LOOKUP(M$8,Inputs!$G$48:$K$48,Inputs!$G$50:$K$50)/months_yr*M$6</f>
        <v>0</v>
      </c>
      <c r="N103" s="233">
        <f>N29*LOOKUP(N$8,Inputs!$G$48:$K$48,Inputs!$G$50:$K$50)/months_yr*N$6</f>
        <v>0</v>
      </c>
      <c r="O103" s="233">
        <f>O29*LOOKUP(O$8,Inputs!$G$48:$K$48,Inputs!$G$50:$K$50)/months_yr*O$6</f>
        <v>0</v>
      </c>
      <c r="P103" s="233">
        <f>P29*LOOKUP(P$8,Inputs!$G$48:$K$48,Inputs!$G$50:$K$50)/months_yr*P$6</f>
        <v>0</v>
      </c>
      <c r="Q103" s="233">
        <f>Q29*LOOKUP(Q$8,Inputs!$G$48:$K$48,Inputs!$G$50:$K$50)/months_yr*Q$6</f>
        <v>0</v>
      </c>
      <c r="R103" s="233">
        <f>R29*LOOKUP(R$8,Inputs!$G$48:$K$48,Inputs!$G$50:$K$50)/months_yr*R$6</f>
        <v>0</v>
      </c>
      <c r="S103" s="233">
        <f>S29*LOOKUP(S$8,Inputs!$G$48:$K$48,Inputs!$G$50:$K$50)/months_yr*S$6</f>
        <v>0</v>
      </c>
      <c r="T103" s="233">
        <f>T29*LOOKUP(T$8,Inputs!$G$48:$K$48,Inputs!$G$50:$K$50)/months_yr*T$6</f>
        <v>0</v>
      </c>
      <c r="U103" s="233">
        <f>U29*LOOKUP(U$8,Inputs!$G$48:$K$48,Inputs!$G$50:$K$50)/months_yr*U$6</f>
        <v>0</v>
      </c>
      <c r="V103" s="233">
        <f>V29*LOOKUP(V$8,Inputs!$G$48:$K$48,Inputs!$G$50:$K$50)/months_yr*V$6</f>
        <v>0</v>
      </c>
      <c r="W103" s="233">
        <f>W29*LOOKUP(W$8,Inputs!$G$48:$K$48,Inputs!$G$50:$K$50)/months_yr*W$6</f>
        <v>0</v>
      </c>
      <c r="X103" s="233">
        <f>X29*LOOKUP(X$8,Inputs!$G$48:$K$48,Inputs!$G$50:$K$50)/months_yr*X$6</f>
        <v>0</v>
      </c>
      <c r="Y103" s="233">
        <f>Y29*LOOKUP(Y$8,Inputs!$G$48:$K$48,Inputs!$G$50:$K$50)/months_yr*Y$6</f>
        <v>0</v>
      </c>
      <c r="Z103" s="233">
        <f>Z29*LOOKUP(Z$8,Inputs!$G$48:$K$48,Inputs!$G$50:$K$50)/months_yr*Z$6</f>
        <v>0</v>
      </c>
      <c r="AA103" s="233">
        <f>AA29*LOOKUP(AA$8,Inputs!$G$48:$K$48,Inputs!$G$50:$K$50)/months_yr*AA$6</f>
        <v>0</v>
      </c>
      <c r="AB103" s="233">
        <f>AB29*LOOKUP(AB$8,Inputs!$G$48:$K$48,Inputs!$G$50:$K$50)/months_yr*AB$6</f>
        <v>0</v>
      </c>
      <c r="AC103" s="233">
        <f>AC29*LOOKUP(AC$8,Inputs!$G$48:$K$48,Inputs!$G$50:$K$50)/months_yr*AC$6</f>
        <v>0</v>
      </c>
      <c r="AD103" s="233">
        <f>AD29*LOOKUP(AD$8,Inputs!$G$48:$K$48,Inputs!$G$50:$K$50)/months_yr*AD$6</f>
        <v>0</v>
      </c>
      <c r="AE103" s="233">
        <f>AE29*LOOKUP(AE$8,Inputs!$G$48:$K$48,Inputs!$G$50:$K$50)/months_yr*AE$6</f>
        <v>0</v>
      </c>
      <c r="AF103" s="233">
        <f>AF29*LOOKUP(AF$8,Inputs!$G$48:$K$48,Inputs!$G$50:$K$50)/months_yr*AF$6</f>
        <v>0</v>
      </c>
      <c r="AG103" s="233">
        <f>AG29*LOOKUP(AG$8,Inputs!$G$48:$K$48,Inputs!$G$50:$K$50)/months_yr*AG$6</f>
        <v>0</v>
      </c>
    </row>
    <row r="104" spans="1:33" ht="16.5" customHeight="1" outlineLevel="2">
      <c r="A104" s="128"/>
      <c r="B104" s="434"/>
      <c r="C104" s="40" t="str">
        <f>C30</f>
        <v>Fill in name or positon here</v>
      </c>
      <c r="D104" s="8" t="str">
        <f>Currency_Label</f>
        <v>USD</v>
      </c>
      <c r="E104" s="128"/>
      <c r="F104" s="128"/>
      <c r="G104" s="128"/>
      <c r="H104" s="128"/>
      <c r="I104" s="71">
        <f>SUM(J104:AG104)</f>
        <v>0</v>
      </c>
      <c r="J104" s="233">
        <f>J30*LOOKUP(J$8,Inputs!$G$48:$K$48,Inputs!$G$51:$K$51)/months_yr*J$6</f>
        <v>0</v>
      </c>
      <c r="K104" s="233">
        <f>K30*LOOKUP(K$8,Inputs!$G$48:$K$48,Inputs!$G$51:$K$51)/months_yr*K$6</f>
        <v>0</v>
      </c>
      <c r="L104" s="233">
        <f>L30*LOOKUP(L$8,Inputs!$G$48:$K$48,Inputs!$G$51:$K$51)/months_yr*L$6</f>
        <v>0</v>
      </c>
      <c r="M104" s="233">
        <f>M30*LOOKUP(M$8,Inputs!$G$48:$K$48,Inputs!$G$51:$K$51)/months_yr*M$6</f>
        <v>0</v>
      </c>
      <c r="N104" s="233">
        <f>N30*LOOKUP(N$8,Inputs!$G$48:$K$48,Inputs!$G$51:$K$51)/months_yr*N$6</f>
        <v>0</v>
      </c>
      <c r="O104" s="233">
        <f>O30*LOOKUP(O$8,Inputs!$G$48:$K$48,Inputs!$G$51:$K$51)/months_yr*O$6</f>
        <v>0</v>
      </c>
      <c r="P104" s="233">
        <f>P30*LOOKUP(P$8,Inputs!$G$48:$K$48,Inputs!$G$51:$K$51)/months_yr*P$6</f>
        <v>0</v>
      </c>
      <c r="Q104" s="233">
        <f>Q30*LOOKUP(Q$8,Inputs!$G$48:$K$48,Inputs!$G$51:$K$51)/months_yr*Q$6</f>
        <v>0</v>
      </c>
      <c r="R104" s="233">
        <f>R30*LOOKUP(R$8,Inputs!$G$48:$K$48,Inputs!$G$51:$K$51)/months_yr*R$6</f>
        <v>0</v>
      </c>
      <c r="S104" s="233">
        <f>S30*LOOKUP(S$8,Inputs!$G$48:$K$48,Inputs!$G$51:$K$51)/months_yr*S$6</f>
        <v>0</v>
      </c>
      <c r="T104" s="233">
        <f>T30*LOOKUP(T$8,Inputs!$G$48:$K$48,Inputs!$G$51:$K$51)/months_yr*T$6</f>
        <v>0</v>
      </c>
      <c r="U104" s="233">
        <f>U30*LOOKUP(U$8,Inputs!$G$48:$K$48,Inputs!$G$51:$K$51)/months_yr*U$6</f>
        <v>0</v>
      </c>
      <c r="V104" s="233">
        <f>V30*LOOKUP(V$8,Inputs!$G$48:$K$48,Inputs!$G$51:$K$51)/months_yr*V$6</f>
        <v>0</v>
      </c>
      <c r="W104" s="233">
        <f>W30*LOOKUP(W$8,Inputs!$G$48:$K$48,Inputs!$G$51:$K$51)/months_yr*W$6</f>
        <v>0</v>
      </c>
      <c r="X104" s="233">
        <f>X30*LOOKUP(X$8,Inputs!$G$48:$K$48,Inputs!$G$51:$K$51)/months_yr*X$6</f>
        <v>0</v>
      </c>
      <c r="Y104" s="233">
        <f>Y30*LOOKUP(Y$8,Inputs!$G$48:$K$48,Inputs!$G$51:$K$51)/months_yr*Y$6</f>
        <v>0</v>
      </c>
      <c r="Z104" s="233">
        <f>Z30*LOOKUP(Z$8,Inputs!$G$48:$K$48,Inputs!$G$51:$K$51)/months_yr*Z$6</f>
        <v>0</v>
      </c>
      <c r="AA104" s="233">
        <f>AA30*LOOKUP(AA$8,Inputs!$G$48:$K$48,Inputs!$G$51:$K$51)/months_yr*AA$6</f>
        <v>0</v>
      </c>
      <c r="AB104" s="233">
        <f>AB30*LOOKUP(AB$8,Inputs!$G$48:$K$48,Inputs!$G$51:$K$51)/months_yr*AB$6</f>
        <v>0</v>
      </c>
      <c r="AC104" s="233">
        <f>AC30*LOOKUP(AC$8,Inputs!$G$48:$K$48,Inputs!$G$51:$K$51)/months_yr*AC$6</f>
        <v>0</v>
      </c>
      <c r="AD104" s="233">
        <f>AD30*LOOKUP(AD$8,Inputs!$G$48:$K$48,Inputs!$G$51:$K$51)/months_yr*AD$6</f>
        <v>0</v>
      </c>
      <c r="AE104" s="233">
        <f>AE30*LOOKUP(AE$8,Inputs!$G$48:$K$48,Inputs!$G$51:$K$51)/months_yr*AE$6</f>
        <v>0</v>
      </c>
      <c r="AF104" s="233">
        <f>AF30*LOOKUP(AF$8,Inputs!$G$48:$K$48,Inputs!$G$51:$K$51)/months_yr*AF$6</f>
        <v>0</v>
      </c>
      <c r="AG104" s="233">
        <f>AG30*LOOKUP(AG$8,Inputs!$G$48:$K$48,Inputs!$G$51:$K$51)/months_yr*AG$6</f>
        <v>0</v>
      </c>
    </row>
    <row r="105" spans="1:33" ht="16.5" customHeight="1" outlineLevel="2">
      <c r="A105" s="128"/>
      <c r="B105" s="434"/>
      <c r="C105" s="40" t="str">
        <f>C31</f>
        <v>Fill in name or positon here</v>
      </c>
      <c r="D105" s="8" t="str">
        <f>Currency_Label</f>
        <v>USD</v>
      </c>
      <c r="E105" s="128"/>
      <c r="F105" s="128"/>
      <c r="G105" s="128"/>
      <c r="H105" s="128"/>
      <c r="I105" s="71">
        <f>SUM(J105:AG105)</f>
        <v>0</v>
      </c>
      <c r="J105" s="233">
        <f>J31*LOOKUP(J$8,Inputs!$G$48:$K$48,Inputs!$G$52:$K$52)/months_yr*J$6</f>
        <v>0</v>
      </c>
      <c r="K105" s="233">
        <f>K31*LOOKUP(K$8,Inputs!$G$48:$K$48,Inputs!$G$52:$K$52)/months_yr*K$6</f>
        <v>0</v>
      </c>
      <c r="L105" s="233">
        <f>L31*LOOKUP(L$8,Inputs!$G$48:$K$48,Inputs!$G$52:$K$52)/months_yr*L$6</f>
        <v>0</v>
      </c>
      <c r="M105" s="233">
        <f>M31*LOOKUP(M$8,Inputs!$G$48:$K$48,Inputs!$G$52:$K$52)/months_yr*M$6</f>
        <v>0</v>
      </c>
      <c r="N105" s="233">
        <f>N31*LOOKUP(N$8,Inputs!$G$48:$K$48,Inputs!$G$52:$K$52)/months_yr*N$6</f>
        <v>0</v>
      </c>
      <c r="O105" s="233">
        <f>O31*LOOKUP(O$8,Inputs!$G$48:$K$48,Inputs!$G$52:$K$52)/months_yr*O$6</f>
        <v>0</v>
      </c>
      <c r="P105" s="233">
        <f>P31*LOOKUP(P$8,Inputs!$G$48:$K$48,Inputs!$G$52:$K$52)/months_yr*P$6</f>
        <v>0</v>
      </c>
      <c r="Q105" s="233">
        <f>Q31*LOOKUP(Q$8,Inputs!$G$48:$K$48,Inputs!$G$52:$K$52)/months_yr*Q$6</f>
        <v>0</v>
      </c>
      <c r="R105" s="233">
        <f>R31*LOOKUP(R$8,Inputs!$G$48:$K$48,Inputs!$G$52:$K$52)/months_yr*R$6</f>
        <v>0</v>
      </c>
      <c r="S105" s="233">
        <f>S31*LOOKUP(S$8,Inputs!$G$48:$K$48,Inputs!$G$52:$K$52)/months_yr*S$6</f>
        <v>0</v>
      </c>
      <c r="T105" s="233">
        <f>T31*LOOKUP(T$8,Inputs!$G$48:$K$48,Inputs!$G$52:$K$52)/months_yr*T$6</f>
        <v>0</v>
      </c>
      <c r="U105" s="233">
        <f>U31*LOOKUP(U$8,Inputs!$G$48:$K$48,Inputs!$G$52:$K$52)/months_yr*U$6</f>
        <v>0</v>
      </c>
      <c r="V105" s="233">
        <f>V31*LOOKUP(V$8,Inputs!$G$48:$K$48,Inputs!$G$52:$K$52)/months_yr*V$6</f>
        <v>0</v>
      </c>
      <c r="W105" s="233">
        <f>W31*LOOKUP(W$8,Inputs!$G$48:$K$48,Inputs!$G$52:$K$52)/months_yr*W$6</f>
        <v>0</v>
      </c>
      <c r="X105" s="233">
        <f>X31*LOOKUP(X$8,Inputs!$G$48:$K$48,Inputs!$G$52:$K$52)/months_yr*X$6</f>
        <v>0</v>
      </c>
      <c r="Y105" s="233">
        <f>Y31*LOOKUP(Y$8,Inputs!$G$48:$K$48,Inputs!$G$52:$K$52)/months_yr*Y$6</f>
        <v>0</v>
      </c>
      <c r="Z105" s="233">
        <f>Z31*LOOKUP(Z$8,Inputs!$G$48:$K$48,Inputs!$G$52:$K$52)/months_yr*Z$6</f>
        <v>0</v>
      </c>
      <c r="AA105" s="233">
        <f>AA31*LOOKUP(AA$8,Inputs!$G$48:$K$48,Inputs!$G$52:$K$52)/months_yr*AA$6</f>
        <v>0</v>
      </c>
      <c r="AB105" s="233">
        <f>AB31*LOOKUP(AB$8,Inputs!$G$48:$K$48,Inputs!$G$52:$K$52)/months_yr*AB$6</f>
        <v>0</v>
      </c>
      <c r="AC105" s="233">
        <f>AC31*LOOKUP(AC$8,Inputs!$G$48:$K$48,Inputs!$G$52:$K$52)/months_yr*AC$6</f>
        <v>0</v>
      </c>
      <c r="AD105" s="233">
        <f>AD31*LOOKUP(AD$8,Inputs!$G$48:$K$48,Inputs!$G$52:$K$52)/months_yr*AD$6</f>
        <v>0</v>
      </c>
      <c r="AE105" s="233">
        <f>AE31*LOOKUP(AE$8,Inputs!$G$48:$K$48,Inputs!$G$52:$K$52)/months_yr*AE$6</f>
        <v>0</v>
      </c>
      <c r="AF105" s="233">
        <f>AF31*LOOKUP(AF$8,Inputs!$G$48:$K$48,Inputs!$G$52:$K$52)/months_yr*AF$6</f>
        <v>0</v>
      </c>
      <c r="AG105" s="233">
        <f>AG31*LOOKUP(AG$8,Inputs!$G$48:$K$48,Inputs!$G$52:$K$52)/months_yr*AG$6</f>
        <v>0</v>
      </c>
    </row>
    <row r="106" spans="1:33" ht="16.5" customHeight="1" outlineLevel="2">
      <c r="A106" s="128"/>
      <c r="B106" s="708"/>
      <c r="C106" s="75" t="s">
        <v>280</v>
      </c>
      <c r="D106" s="8" t="str">
        <f>Currency_Label</f>
        <v>USD</v>
      </c>
      <c r="E106" s="36"/>
      <c r="F106" s="36"/>
      <c r="G106" s="36"/>
      <c r="H106" s="36"/>
      <c r="I106" s="71">
        <f>SUM(J106:AG106)</f>
        <v>0</v>
      </c>
      <c r="J106" s="129">
        <f t="shared" ref="J106:AG106" si="16">SUM(J102:J105)</f>
        <v>0</v>
      </c>
      <c r="K106" s="129">
        <f t="shared" si="16"/>
        <v>0</v>
      </c>
      <c r="L106" s="129">
        <f t="shared" si="16"/>
        <v>0</v>
      </c>
      <c r="M106" s="129">
        <f t="shared" si="16"/>
        <v>0</v>
      </c>
      <c r="N106" s="129">
        <f t="shared" si="16"/>
        <v>0</v>
      </c>
      <c r="O106" s="129">
        <f t="shared" si="16"/>
        <v>0</v>
      </c>
      <c r="P106" s="129">
        <f t="shared" si="16"/>
        <v>0</v>
      </c>
      <c r="Q106" s="129">
        <f t="shared" si="16"/>
        <v>0</v>
      </c>
      <c r="R106" s="129">
        <f t="shared" si="16"/>
        <v>0</v>
      </c>
      <c r="S106" s="129">
        <f t="shared" si="16"/>
        <v>0</v>
      </c>
      <c r="T106" s="129">
        <f t="shared" si="16"/>
        <v>0</v>
      </c>
      <c r="U106" s="129">
        <f t="shared" si="16"/>
        <v>0</v>
      </c>
      <c r="V106" s="129">
        <f t="shared" si="16"/>
        <v>0</v>
      </c>
      <c r="W106" s="129">
        <f t="shared" si="16"/>
        <v>0</v>
      </c>
      <c r="X106" s="129">
        <f t="shared" si="16"/>
        <v>0</v>
      </c>
      <c r="Y106" s="129">
        <f t="shared" si="16"/>
        <v>0</v>
      </c>
      <c r="Z106" s="129">
        <f t="shared" si="16"/>
        <v>0</v>
      </c>
      <c r="AA106" s="129">
        <f t="shared" si="16"/>
        <v>0</v>
      </c>
      <c r="AB106" s="129">
        <f t="shared" si="16"/>
        <v>0</v>
      </c>
      <c r="AC106" s="129">
        <f t="shared" si="16"/>
        <v>0</v>
      </c>
      <c r="AD106" s="129">
        <f t="shared" si="16"/>
        <v>0</v>
      </c>
      <c r="AE106" s="129">
        <f t="shared" si="16"/>
        <v>0</v>
      </c>
      <c r="AF106" s="129">
        <f t="shared" si="16"/>
        <v>0</v>
      </c>
      <c r="AG106" s="129">
        <f t="shared" si="16"/>
        <v>0</v>
      </c>
    </row>
    <row r="107" spans="1:33" ht="16.5" customHeight="1" outlineLevel="2">
      <c r="A107" s="128"/>
      <c r="B107" s="434"/>
      <c r="C107" s="128"/>
      <c r="D107" s="275"/>
      <c r="E107" s="128"/>
      <c r="F107" s="128"/>
      <c r="G107" s="128"/>
      <c r="H107" s="128"/>
      <c r="I107" s="332"/>
      <c r="J107" s="332"/>
      <c r="K107" s="332"/>
      <c r="L107" s="332"/>
      <c r="M107" s="332"/>
      <c r="N107" s="332"/>
      <c r="O107" s="332"/>
      <c r="P107" s="332"/>
      <c r="Q107" s="332"/>
      <c r="R107" s="332"/>
      <c r="S107" s="332"/>
      <c r="T107" s="332"/>
      <c r="U107" s="332"/>
      <c r="V107" s="332"/>
      <c r="W107" s="332"/>
      <c r="X107" s="332"/>
      <c r="Y107" s="332"/>
      <c r="Z107" s="332"/>
      <c r="AA107" s="332"/>
      <c r="AB107" s="332"/>
      <c r="AC107" s="332"/>
      <c r="AD107" s="332"/>
      <c r="AE107" s="332"/>
      <c r="AF107" s="332"/>
      <c r="AG107" s="332"/>
    </row>
    <row r="108" spans="1:33" ht="16.5" customHeight="1" outlineLevel="2">
      <c r="A108" s="128"/>
      <c r="B108" s="708">
        <f>B34</f>
        <v>4</v>
      </c>
      <c r="C108" s="331" t="str">
        <f>C34</f>
        <v>Software Products</v>
      </c>
      <c r="D108" s="275"/>
      <c r="E108" s="128"/>
      <c r="F108" s="128"/>
      <c r="G108" s="128"/>
      <c r="H108" s="128"/>
      <c r="I108" s="332"/>
      <c r="J108" s="332"/>
      <c r="K108" s="332"/>
      <c r="L108" s="332"/>
      <c r="M108" s="332"/>
      <c r="N108" s="332"/>
      <c r="O108" s="332"/>
      <c r="P108" s="332"/>
      <c r="Q108" s="332"/>
      <c r="R108" s="332"/>
      <c r="S108" s="332"/>
      <c r="T108" s="332"/>
      <c r="U108" s="332"/>
      <c r="V108" s="332"/>
      <c r="W108" s="332"/>
      <c r="X108" s="332"/>
      <c r="Y108" s="332"/>
      <c r="Z108" s="332"/>
      <c r="AA108" s="332"/>
      <c r="AB108" s="332"/>
      <c r="AC108" s="332"/>
      <c r="AD108" s="332"/>
      <c r="AE108" s="332"/>
      <c r="AF108" s="332"/>
      <c r="AG108" s="332"/>
    </row>
    <row r="109" spans="1:33" ht="16.5" customHeight="1" outlineLevel="2">
      <c r="A109" s="128"/>
      <c r="B109" s="434"/>
      <c r="C109" s="40" t="str">
        <f>C35</f>
        <v>Fill in name or positon here</v>
      </c>
      <c r="D109" s="8" t="str">
        <f>Currency_Label</f>
        <v>USD</v>
      </c>
      <c r="E109" s="128"/>
      <c r="F109" s="128"/>
      <c r="G109" s="128"/>
      <c r="H109" s="128"/>
      <c r="I109" s="71">
        <f>SUM(J109:AG109)</f>
        <v>0</v>
      </c>
      <c r="J109" s="233">
        <f>J35*LOOKUP(J$8,Inputs!$G$48:$K$48,Inputs!$G$49:$K$49)/months_yr*J$6</f>
        <v>0</v>
      </c>
      <c r="K109" s="233">
        <f>K35*LOOKUP(K$8,Inputs!$G$48:$K$48,Inputs!$G$49:$K$49)/months_yr*K$6</f>
        <v>0</v>
      </c>
      <c r="L109" s="233">
        <f>L35*LOOKUP(L$8,Inputs!$G$48:$K$48,Inputs!$G$49:$K$49)/months_yr*L$6</f>
        <v>0</v>
      </c>
      <c r="M109" s="233">
        <f>M35*LOOKUP(M$8,Inputs!$G$48:$K$48,Inputs!$G$49:$K$49)/months_yr*M$6</f>
        <v>0</v>
      </c>
      <c r="N109" s="233">
        <f>N35*LOOKUP(N$8,Inputs!$G$48:$K$48,Inputs!$G$49:$K$49)/months_yr*N$6</f>
        <v>0</v>
      </c>
      <c r="O109" s="233">
        <f>O35*LOOKUP(O$8,Inputs!$G$48:$K$48,Inputs!$G$49:$K$49)/months_yr*O$6</f>
        <v>0</v>
      </c>
      <c r="P109" s="233">
        <f>P35*LOOKUP(P$8,Inputs!$G$48:$K$48,Inputs!$G$49:$K$49)/months_yr*P$6</f>
        <v>0</v>
      </c>
      <c r="Q109" s="233">
        <f>Q35*LOOKUP(Q$8,Inputs!$G$48:$K$48,Inputs!$G$49:$K$49)/months_yr*Q$6</f>
        <v>0</v>
      </c>
      <c r="R109" s="233">
        <f>R35*LOOKUP(R$8,Inputs!$G$48:$K$48,Inputs!$G$49:$K$49)/months_yr*R$6</f>
        <v>0</v>
      </c>
      <c r="S109" s="233">
        <f>S35*LOOKUP(S$8,Inputs!$G$48:$K$48,Inputs!$G$49:$K$49)/months_yr*S$6</f>
        <v>0</v>
      </c>
      <c r="T109" s="233">
        <f>T35*LOOKUP(T$8,Inputs!$G$48:$K$48,Inputs!$G$49:$K$49)/months_yr*T$6</f>
        <v>0</v>
      </c>
      <c r="U109" s="233">
        <f>U35*LOOKUP(U$8,Inputs!$G$48:$K$48,Inputs!$G$49:$K$49)/months_yr*U$6</f>
        <v>0</v>
      </c>
      <c r="V109" s="233">
        <f>V35*LOOKUP(V$8,Inputs!$G$48:$K$48,Inputs!$G$49:$K$49)/months_yr*V$6</f>
        <v>0</v>
      </c>
      <c r="W109" s="233">
        <f>W35*LOOKUP(W$8,Inputs!$G$48:$K$48,Inputs!$G$49:$K$49)/months_yr*W$6</f>
        <v>0</v>
      </c>
      <c r="X109" s="233">
        <f>X35*LOOKUP(X$8,Inputs!$G$48:$K$48,Inputs!$G$49:$K$49)/months_yr*X$6</f>
        <v>0</v>
      </c>
      <c r="Y109" s="233">
        <f>Y35*LOOKUP(Y$8,Inputs!$G$48:$K$48,Inputs!$G$49:$K$49)/months_yr*Y$6</f>
        <v>0</v>
      </c>
      <c r="Z109" s="233">
        <f>Z35*LOOKUP(Z$8,Inputs!$G$48:$K$48,Inputs!$G$49:$K$49)/months_yr*Z$6</f>
        <v>0</v>
      </c>
      <c r="AA109" s="233">
        <f>AA35*LOOKUP(AA$8,Inputs!$G$48:$K$48,Inputs!$G$49:$K$49)/months_yr*AA$6</f>
        <v>0</v>
      </c>
      <c r="AB109" s="233">
        <f>AB35*LOOKUP(AB$8,Inputs!$G$48:$K$48,Inputs!$G$49:$K$49)/months_yr*AB$6</f>
        <v>0</v>
      </c>
      <c r="AC109" s="233">
        <f>AC35*LOOKUP(AC$8,Inputs!$G$48:$K$48,Inputs!$G$49:$K$49)/months_yr*AC$6</f>
        <v>0</v>
      </c>
      <c r="AD109" s="233">
        <f>AD35*LOOKUP(AD$8,Inputs!$G$48:$K$48,Inputs!$G$49:$K$49)/months_yr*AD$6</f>
        <v>0</v>
      </c>
      <c r="AE109" s="233">
        <f>AE35*LOOKUP(AE$8,Inputs!$G$48:$K$48,Inputs!$G$49:$K$49)/months_yr*AE$6</f>
        <v>0</v>
      </c>
      <c r="AF109" s="233">
        <f>AF35*LOOKUP(AF$8,Inputs!$G$48:$K$48,Inputs!$G$49:$K$49)/months_yr*AF$6</f>
        <v>0</v>
      </c>
      <c r="AG109" s="233">
        <f>AG35*LOOKUP(AG$8,Inputs!$G$48:$K$48,Inputs!$G$49:$K$49)/months_yr*AG$6</f>
        <v>0</v>
      </c>
    </row>
    <row r="110" spans="1:33" ht="16.5" customHeight="1" outlineLevel="2">
      <c r="A110" s="128"/>
      <c r="B110" s="434"/>
      <c r="C110" s="40" t="str">
        <f>C36</f>
        <v>Fill in name or positon here</v>
      </c>
      <c r="D110" s="8" t="str">
        <f>Currency_Label</f>
        <v>USD</v>
      </c>
      <c r="E110" s="128"/>
      <c r="F110" s="128"/>
      <c r="G110" s="128"/>
      <c r="H110" s="128"/>
      <c r="I110" s="71">
        <f>SUM(J110:AG110)</f>
        <v>0</v>
      </c>
      <c r="J110" s="233">
        <f>J36*LOOKUP(J$8,Inputs!$G$48:$K$48,Inputs!$G$50:$K$50)/months_yr*J$6</f>
        <v>0</v>
      </c>
      <c r="K110" s="233">
        <f>K36*LOOKUP(K$8,Inputs!$G$48:$K$48,Inputs!$G$50:$K$50)/months_yr*K$6</f>
        <v>0</v>
      </c>
      <c r="L110" s="233">
        <f>L36*LOOKUP(L$8,Inputs!$G$48:$K$48,Inputs!$G$50:$K$50)/months_yr*L$6</f>
        <v>0</v>
      </c>
      <c r="M110" s="233">
        <f>M36*LOOKUP(M$8,Inputs!$G$48:$K$48,Inputs!$G$50:$K$50)/months_yr*M$6</f>
        <v>0</v>
      </c>
      <c r="N110" s="233">
        <f>N36*LOOKUP(N$8,Inputs!$G$48:$K$48,Inputs!$G$50:$K$50)/months_yr*N$6</f>
        <v>0</v>
      </c>
      <c r="O110" s="233">
        <f>O36*LOOKUP(O$8,Inputs!$G$48:$K$48,Inputs!$G$50:$K$50)/months_yr*O$6</f>
        <v>0</v>
      </c>
      <c r="P110" s="233">
        <f>P36*LOOKUP(P$8,Inputs!$G$48:$K$48,Inputs!$G$50:$K$50)/months_yr*P$6</f>
        <v>0</v>
      </c>
      <c r="Q110" s="233">
        <f>Q36*LOOKUP(Q$8,Inputs!$G$48:$K$48,Inputs!$G$50:$K$50)/months_yr*Q$6</f>
        <v>0</v>
      </c>
      <c r="R110" s="233">
        <f>R36*LOOKUP(R$8,Inputs!$G$48:$K$48,Inputs!$G$50:$K$50)/months_yr*R$6</f>
        <v>0</v>
      </c>
      <c r="S110" s="233">
        <f>S36*LOOKUP(S$8,Inputs!$G$48:$K$48,Inputs!$G$50:$K$50)/months_yr*S$6</f>
        <v>0</v>
      </c>
      <c r="T110" s="233">
        <f>T36*LOOKUP(T$8,Inputs!$G$48:$K$48,Inputs!$G$50:$K$50)/months_yr*T$6</f>
        <v>0</v>
      </c>
      <c r="U110" s="233">
        <f>U36*LOOKUP(U$8,Inputs!$G$48:$K$48,Inputs!$G$50:$K$50)/months_yr*U$6</f>
        <v>0</v>
      </c>
      <c r="V110" s="233">
        <f>V36*LOOKUP(V$8,Inputs!$G$48:$K$48,Inputs!$G$50:$K$50)/months_yr*V$6</f>
        <v>0</v>
      </c>
      <c r="W110" s="233">
        <f>W36*LOOKUP(W$8,Inputs!$G$48:$K$48,Inputs!$G$50:$K$50)/months_yr*W$6</f>
        <v>0</v>
      </c>
      <c r="X110" s="233">
        <f>X36*LOOKUP(X$8,Inputs!$G$48:$K$48,Inputs!$G$50:$K$50)/months_yr*X$6</f>
        <v>0</v>
      </c>
      <c r="Y110" s="233">
        <f>Y36*LOOKUP(Y$8,Inputs!$G$48:$K$48,Inputs!$G$50:$K$50)/months_yr*Y$6</f>
        <v>0</v>
      </c>
      <c r="Z110" s="233">
        <f>Z36*LOOKUP(Z$8,Inputs!$G$48:$K$48,Inputs!$G$50:$K$50)/months_yr*Z$6</f>
        <v>0</v>
      </c>
      <c r="AA110" s="233">
        <f>AA36*LOOKUP(AA$8,Inputs!$G$48:$K$48,Inputs!$G$50:$K$50)/months_yr*AA$6</f>
        <v>0</v>
      </c>
      <c r="AB110" s="233">
        <f>AB36*LOOKUP(AB$8,Inputs!$G$48:$K$48,Inputs!$G$50:$K$50)/months_yr*AB$6</f>
        <v>0</v>
      </c>
      <c r="AC110" s="233">
        <f>AC36*LOOKUP(AC$8,Inputs!$G$48:$K$48,Inputs!$G$50:$K$50)/months_yr*AC$6</f>
        <v>0</v>
      </c>
      <c r="AD110" s="233">
        <f>AD36*LOOKUP(AD$8,Inputs!$G$48:$K$48,Inputs!$G$50:$K$50)/months_yr*AD$6</f>
        <v>0</v>
      </c>
      <c r="AE110" s="233">
        <f>AE36*LOOKUP(AE$8,Inputs!$G$48:$K$48,Inputs!$G$50:$K$50)/months_yr*AE$6</f>
        <v>0</v>
      </c>
      <c r="AF110" s="233">
        <f>AF36*LOOKUP(AF$8,Inputs!$G$48:$K$48,Inputs!$G$50:$K$50)/months_yr*AF$6</f>
        <v>0</v>
      </c>
      <c r="AG110" s="233">
        <f>AG36*LOOKUP(AG$8,Inputs!$G$48:$K$48,Inputs!$G$50:$K$50)/months_yr*AG$6</f>
        <v>0</v>
      </c>
    </row>
    <row r="111" spans="1:33" ht="16.5" customHeight="1" outlineLevel="2">
      <c r="A111" s="128"/>
      <c r="B111" s="434"/>
      <c r="C111" s="40" t="str">
        <f>C37</f>
        <v>Fill in name or positon here</v>
      </c>
      <c r="D111" s="8" t="str">
        <f>Currency_Label</f>
        <v>USD</v>
      </c>
      <c r="E111" s="128"/>
      <c r="F111" s="128"/>
      <c r="G111" s="128"/>
      <c r="H111" s="128"/>
      <c r="I111" s="71">
        <f>SUM(J111:AG111)</f>
        <v>0</v>
      </c>
      <c r="J111" s="233">
        <f>J37*LOOKUP(J$8,Inputs!$G$48:$K$48,Inputs!$G$51:$K$51)/months_yr*J$6</f>
        <v>0</v>
      </c>
      <c r="K111" s="233">
        <f>K37*LOOKUP(K$8,Inputs!$G$48:$K$48,Inputs!$G$51:$K$51)/months_yr*K$6</f>
        <v>0</v>
      </c>
      <c r="L111" s="233">
        <f>L37*LOOKUP(L$8,Inputs!$G$48:$K$48,Inputs!$G$51:$K$51)/months_yr*L$6</f>
        <v>0</v>
      </c>
      <c r="M111" s="233">
        <f>M37*LOOKUP(M$8,Inputs!$G$48:$K$48,Inputs!$G$51:$K$51)/months_yr*M$6</f>
        <v>0</v>
      </c>
      <c r="N111" s="233">
        <f>N37*LOOKUP(N$8,Inputs!$G$48:$K$48,Inputs!$G$51:$K$51)/months_yr*N$6</f>
        <v>0</v>
      </c>
      <c r="O111" s="233">
        <f>O37*LOOKUP(O$8,Inputs!$G$48:$K$48,Inputs!$G$51:$K$51)/months_yr*O$6</f>
        <v>0</v>
      </c>
      <c r="P111" s="233">
        <f>P37*LOOKUP(P$8,Inputs!$G$48:$K$48,Inputs!$G$51:$K$51)/months_yr*P$6</f>
        <v>0</v>
      </c>
      <c r="Q111" s="233">
        <f>Q37*LOOKUP(Q$8,Inputs!$G$48:$K$48,Inputs!$G$51:$K$51)/months_yr*Q$6</f>
        <v>0</v>
      </c>
      <c r="R111" s="233">
        <f>R37*LOOKUP(R$8,Inputs!$G$48:$K$48,Inputs!$G$51:$K$51)/months_yr*R$6</f>
        <v>0</v>
      </c>
      <c r="S111" s="233">
        <f>S37*LOOKUP(S$8,Inputs!$G$48:$K$48,Inputs!$G$51:$K$51)/months_yr*S$6</f>
        <v>0</v>
      </c>
      <c r="T111" s="233">
        <f>T37*LOOKUP(T$8,Inputs!$G$48:$K$48,Inputs!$G$51:$K$51)/months_yr*T$6</f>
        <v>0</v>
      </c>
      <c r="U111" s="233">
        <f>U37*LOOKUP(U$8,Inputs!$G$48:$K$48,Inputs!$G$51:$K$51)/months_yr*U$6</f>
        <v>0</v>
      </c>
      <c r="V111" s="233">
        <f>V37*LOOKUP(V$8,Inputs!$G$48:$K$48,Inputs!$G$51:$K$51)/months_yr*V$6</f>
        <v>0</v>
      </c>
      <c r="W111" s="233">
        <f>W37*LOOKUP(W$8,Inputs!$G$48:$K$48,Inputs!$G$51:$K$51)/months_yr*W$6</f>
        <v>0</v>
      </c>
      <c r="X111" s="233">
        <f>X37*LOOKUP(X$8,Inputs!$G$48:$K$48,Inputs!$G$51:$K$51)/months_yr*X$6</f>
        <v>0</v>
      </c>
      <c r="Y111" s="233">
        <f>Y37*LOOKUP(Y$8,Inputs!$G$48:$K$48,Inputs!$G$51:$K$51)/months_yr*Y$6</f>
        <v>0</v>
      </c>
      <c r="Z111" s="233">
        <f>Z37*LOOKUP(Z$8,Inputs!$G$48:$K$48,Inputs!$G$51:$K$51)/months_yr*Z$6</f>
        <v>0</v>
      </c>
      <c r="AA111" s="233">
        <f>AA37*LOOKUP(AA$8,Inputs!$G$48:$K$48,Inputs!$G$51:$K$51)/months_yr*AA$6</f>
        <v>0</v>
      </c>
      <c r="AB111" s="233">
        <f>AB37*LOOKUP(AB$8,Inputs!$G$48:$K$48,Inputs!$G$51:$K$51)/months_yr*AB$6</f>
        <v>0</v>
      </c>
      <c r="AC111" s="233">
        <f>AC37*LOOKUP(AC$8,Inputs!$G$48:$K$48,Inputs!$G$51:$K$51)/months_yr*AC$6</f>
        <v>0</v>
      </c>
      <c r="AD111" s="233">
        <f>AD37*LOOKUP(AD$8,Inputs!$G$48:$K$48,Inputs!$G$51:$K$51)/months_yr*AD$6</f>
        <v>0</v>
      </c>
      <c r="AE111" s="233">
        <f>AE37*LOOKUP(AE$8,Inputs!$G$48:$K$48,Inputs!$G$51:$K$51)/months_yr*AE$6</f>
        <v>0</v>
      </c>
      <c r="AF111" s="233">
        <f>AF37*LOOKUP(AF$8,Inputs!$G$48:$K$48,Inputs!$G$51:$K$51)/months_yr*AF$6</f>
        <v>0</v>
      </c>
      <c r="AG111" s="233">
        <f>AG37*LOOKUP(AG$8,Inputs!$G$48:$K$48,Inputs!$G$51:$K$51)/months_yr*AG$6</f>
        <v>0</v>
      </c>
    </row>
    <row r="112" spans="1:33" ht="16.5" customHeight="1" outlineLevel="2">
      <c r="A112" s="128"/>
      <c r="B112" s="434"/>
      <c r="C112" s="40" t="str">
        <f>C38</f>
        <v>Fill in name or positon here</v>
      </c>
      <c r="D112" s="8" t="str">
        <f>Currency_Label</f>
        <v>USD</v>
      </c>
      <c r="E112" s="128"/>
      <c r="F112" s="128"/>
      <c r="G112" s="128"/>
      <c r="H112" s="128"/>
      <c r="I112" s="71">
        <f>SUM(J112:AG112)</f>
        <v>0</v>
      </c>
      <c r="J112" s="233">
        <f>J38*LOOKUP(J$8,Inputs!$G$48:$K$48,Inputs!$G$52:$K$52)/months_yr*J$6</f>
        <v>0</v>
      </c>
      <c r="K112" s="233">
        <f>K38*LOOKUP(K$8,Inputs!$G$48:$K$48,Inputs!$G$52:$K$52)/months_yr*K$6</f>
        <v>0</v>
      </c>
      <c r="L112" s="233">
        <f>L38*LOOKUP(L$8,Inputs!$G$48:$K$48,Inputs!$G$52:$K$52)/months_yr*L$6</f>
        <v>0</v>
      </c>
      <c r="M112" s="233">
        <f>M38*LOOKUP(M$8,Inputs!$G$48:$K$48,Inputs!$G$52:$K$52)/months_yr*M$6</f>
        <v>0</v>
      </c>
      <c r="N112" s="233">
        <f>N38*LOOKUP(N$8,Inputs!$G$48:$K$48,Inputs!$G$52:$K$52)/months_yr*N$6</f>
        <v>0</v>
      </c>
      <c r="O112" s="233">
        <f>O38*LOOKUP(O$8,Inputs!$G$48:$K$48,Inputs!$G$52:$K$52)/months_yr*O$6</f>
        <v>0</v>
      </c>
      <c r="P112" s="233">
        <f>P38*LOOKUP(P$8,Inputs!$G$48:$K$48,Inputs!$G$52:$K$52)/months_yr*P$6</f>
        <v>0</v>
      </c>
      <c r="Q112" s="233">
        <f>Q38*LOOKUP(Q$8,Inputs!$G$48:$K$48,Inputs!$G$52:$K$52)/months_yr*Q$6</f>
        <v>0</v>
      </c>
      <c r="R112" s="233">
        <f>R38*LOOKUP(R$8,Inputs!$G$48:$K$48,Inputs!$G$52:$K$52)/months_yr*R$6</f>
        <v>0</v>
      </c>
      <c r="S112" s="233">
        <f>S38*LOOKUP(S$8,Inputs!$G$48:$K$48,Inputs!$G$52:$K$52)/months_yr*S$6</f>
        <v>0</v>
      </c>
      <c r="T112" s="233">
        <f>T38*LOOKUP(T$8,Inputs!$G$48:$K$48,Inputs!$G$52:$K$52)/months_yr*T$6</f>
        <v>0</v>
      </c>
      <c r="U112" s="233">
        <f>U38*LOOKUP(U$8,Inputs!$G$48:$K$48,Inputs!$G$52:$K$52)/months_yr*U$6</f>
        <v>0</v>
      </c>
      <c r="V112" s="233">
        <f>V38*LOOKUP(V$8,Inputs!$G$48:$K$48,Inputs!$G$52:$K$52)/months_yr*V$6</f>
        <v>0</v>
      </c>
      <c r="W112" s="233">
        <f>W38*LOOKUP(W$8,Inputs!$G$48:$K$48,Inputs!$G$52:$K$52)/months_yr*W$6</f>
        <v>0</v>
      </c>
      <c r="X112" s="233">
        <f>X38*LOOKUP(X$8,Inputs!$G$48:$K$48,Inputs!$G$52:$K$52)/months_yr*X$6</f>
        <v>0</v>
      </c>
      <c r="Y112" s="233">
        <f>Y38*LOOKUP(Y$8,Inputs!$G$48:$K$48,Inputs!$G$52:$K$52)/months_yr*Y$6</f>
        <v>0</v>
      </c>
      <c r="Z112" s="233">
        <f>Z38*LOOKUP(Z$8,Inputs!$G$48:$K$48,Inputs!$G$52:$K$52)/months_yr*Z$6</f>
        <v>0</v>
      </c>
      <c r="AA112" s="233">
        <f>AA38*LOOKUP(AA$8,Inputs!$G$48:$K$48,Inputs!$G$52:$K$52)/months_yr*AA$6</f>
        <v>0</v>
      </c>
      <c r="AB112" s="233">
        <f>AB38*LOOKUP(AB$8,Inputs!$G$48:$K$48,Inputs!$G$52:$K$52)/months_yr*AB$6</f>
        <v>0</v>
      </c>
      <c r="AC112" s="233">
        <f>AC38*LOOKUP(AC$8,Inputs!$G$48:$K$48,Inputs!$G$52:$K$52)/months_yr*AC$6</f>
        <v>0</v>
      </c>
      <c r="AD112" s="233">
        <f>AD38*LOOKUP(AD$8,Inputs!$G$48:$K$48,Inputs!$G$52:$K$52)/months_yr*AD$6</f>
        <v>0</v>
      </c>
      <c r="AE112" s="233">
        <f>AE38*LOOKUP(AE$8,Inputs!$G$48:$K$48,Inputs!$G$52:$K$52)/months_yr*AE$6</f>
        <v>0</v>
      </c>
      <c r="AF112" s="233">
        <f>AF38*LOOKUP(AF$8,Inputs!$G$48:$K$48,Inputs!$G$52:$K$52)/months_yr*AF$6</f>
        <v>0</v>
      </c>
      <c r="AG112" s="233">
        <f>AG38*LOOKUP(AG$8,Inputs!$G$48:$K$48,Inputs!$G$52:$K$52)/months_yr*AG$6</f>
        <v>0</v>
      </c>
    </row>
    <row r="113" spans="1:33" ht="16.5" customHeight="1" outlineLevel="2">
      <c r="A113" s="128"/>
      <c r="B113" s="434"/>
      <c r="C113" s="75" t="s">
        <v>280</v>
      </c>
      <c r="D113" s="8" t="str">
        <f>Currency_Label</f>
        <v>USD</v>
      </c>
      <c r="E113" s="36"/>
      <c r="F113" s="36"/>
      <c r="G113" s="36"/>
      <c r="H113" s="36"/>
      <c r="I113" s="71">
        <f>SUM(J113:AG113)</f>
        <v>0</v>
      </c>
      <c r="J113" s="129">
        <f t="shared" ref="J113:AG113" si="17">SUM(J109:J112)</f>
        <v>0</v>
      </c>
      <c r="K113" s="129">
        <f t="shared" si="17"/>
        <v>0</v>
      </c>
      <c r="L113" s="129">
        <f t="shared" si="17"/>
        <v>0</v>
      </c>
      <c r="M113" s="129">
        <f t="shared" si="17"/>
        <v>0</v>
      </c>
      <c r="N113" s="129">
        <f t="shared" si="17"/>
        <v>0</v>
      </c>
      <c r="O113" s="129">
        <f t="shared" si="17"/>
        <v>0</v>
      </c>
      <c r="P113" s="129">
        <f t="shared" si="17"/>
        <v>0</v>
      </c>
      <c r="Q113" s="129">
        <f t="shared" si="17"/>
        <v>0</v>
      </c>
      <c r="R113" s="129">
        <f t="shared" si="17"/>
        <v>0</v>
      </c>
      <c r="S113" s="129">
        <f t="shared" si="17"/>
        <v>0</v>
      </c>
      <c r="T113" s="129">
        <f t="shared" si="17"/>
        <v>0</v>
      </c>
      <c r="U113" s="129">
        <f t="shared" si="17"/>
        <v>0</v>
      </c>
      <c r="V113" s="129">
        <f t="shared" si="17"/>
        <v>0</v>
      </c>
      <c r="W113" s="129">
        <f t="shared" si="17"/>
        <v>0</v>
      </c>
      <c r="X113" s="129">
        <f t="shared" si="17"/>
        <v>0</v>
      </c>
      <c r="Y113" s="129">
        <f t="shared" si="17"/>
        <v>0</v>
      </c>
      <c r="Z113" s="129">
        <f t="shared" si="17"/>
        <v>0</v>
      </c>
      <c r="AA113" s="129">
        <f t="shared" si="17"/>
        <v>0</v>
      </c>
      <c r="AB113" s="129">
        <f t="shared" si="17"/>
        <v>0</v>
      </c>
      <c r="AC113" s="129">
        <f t="shared" si="17"/>
        <v>0</v>
      </c>
      <c r="AD113" s="129">
        <f t="shared" si="17"/>
        <v>0</v>
      </c>
      <c r="AE113" s="129">
        <f t="shared" si="17"/>
        <v>0</v>
      </c>
      <c r="AF113" s="129">
        <f t="shared" si="17"/>
        <v>0</v>
      </c>
      <c r="AG113" s="129">
        <f t="shared" si="17"/>
        <v>0</v>
      </c>
    </row>
    <row r="114" spans="1:33" ht="16.5" customHeight="1" outlineLevel="2">
      <c r="A114" s="128"/>
      <c r="B114" s="434"/>
      <c r="C114" s="128"/>
      <c r="D114" s="275"/>
      <c r="E114" s="128"/>
      <c r="F114" s="128"/>
      <c r="G114" s="128"/>
      <c r="H114" s="128"/>
      <c r="I114" s="332"/>
      <c r="J114" s="332"/>
      <c r="K114" s="332"/>
      <c r="L114" s="332"/>
      <c r="M114" s="332"/>
      <c r="N114" s="332"/>
      <c r="O114" s="332"/>
      <c r="P114" s="332"/>
      <c r="Q114" s="332"/>
      <c r="R114" s="332"/>
      <c r="S114" s="332"/>
      <c r="T114" s="332"/>
      <c r="U114" s="332"/>
      <c r="V114" s="332"/>
      <c r="W114" s="332"/>
      <c r="X114" s="332"/>
      <c r="Y114" s="332"/>
      <c r="Z114" s="332"/>
      <c r="AA114" s="332"/>
      <c r="AB114" s="332"/>
      <c r="AC114" s="332"/>
      <c r="AD114" s="332"/>
      <c r="AE114" s="332"/>
      <c r="AF114" s="332"/>
      <c r="AG114" s="332"/>
    </row>
    <row r="115" spans="1:33" ht="16.5" customHeight="1" outlineLevel="2">
      <c r="A115" s="128"/>
      <c r="B115" s="708">
        <f>B41</f>
        <v>5</v>
      </c>
      <c r="C115" s="331" t="str">
        <f>C41</f>
        <v>Net work infrastructure solutions</v>
      </c>
      <c r="D115" s="275"/>
      <c r="E115" s="128"/>
      <c r="F115" s="128"/>
      <c r="G115" s="128"/>
      <c r="H115" s="128"/>
      <c r="I115" s="332"/>
      <c r="J115" s="332"/>
      <c r="K115" s="332"/>
      <c r="L115" s="332"/>
      <c r="M115" s="332"/>
      <c r="N115" s="332"/>
      <c r="O115" s="332"/>
      <c r="P115" s="332"/>
      <c r="Q115" s="332"/>
      <c r="R115" s="332"/>
      <c r="S115" s="332"/>
      <c r="T115" s="332"/>
      <c r="U115" s="332"/>
      <c r="V115" s="332"/>
      <c r="W115" s="332"/>
      <c r="X115" s="332"/>
      <c r="Y115" s="332"/>
      <c r="Z115" s="332"/>
      <c r="AA115" s="332"/>
      <c r="AB115" s="332"/>
      <c r="AC115" s="332"/>
      <c r="AD115" s="332"/>
      <c r="AE115" s="332"/>
      <c r="AF115" s="332"/>
      <c r="AG115" s="332"/>
    </row>
    <row r="116" spans="1:33" ht="16.5" customHeight="1" outlineLevel="2">
      <c r="A116" s="128"/>
      <c r="B116" s="434"/>
      <c r="C116" s="40" t="str">
        <f>C42</f>
        <v>Fill in name or positon here</v>
      </c>
      <c r="D116" s="8" t="str">
        <f>Currency_Label</f>
        <v>USD</v>
      </c>
      <c r="E116" s="128"/>
      <c r="F116" s="128"/>
      <c r="G116" s="128"/>
      <c r="H116" s="128"/>
      <c r="I116" s="71">
        <f>SUM(J116:AG116)</f>
        <v>0</v>
      </c>
      <c r="J116" s="233">
        <f>J42*LOOKUP(J$8,Inputs!$G$48:$K$48,Inputs!$G$49:$K$49)/months_yr*J$6</f>
        <v>0</v>
      </c>
      <c r="K116" s="233">
        <f>K42*LOOKUP(K$8,Inputs!$G$48:$K$48,Inputs!$G$49:$K$49)/months_yr*K$6</f>
        <v>0</v>
      </c>
      <c r="L116" s="233">
        <f>L42*LOOKUP(L$8,Inputs!$G$48:$K$48,Inputs!$G$49:$K$49)/months_yr*L$6</f>
        <v>0</v>
      </c>
      <c r="M116" s="233">
        <f>M42*LOOKUP(M$8,Inputs!$G$48:$K$48,Inputs!$G$49:$K$49)/months_yr*M$6</f>
        <v>0</v>
      </c>
      <c r="N116" s="233">
        <f>N42*LOOKUP(N$8,Inputs!$G$48:$K$48,Inputs!$G$49:$K$49)/months_yr*N$6</f>
        <v>0</v>
      </c>
      <c r="O116" s="233">
        <f>O42*LOOKUP(O$8,Inputs!$G$48:$K$48,Inputs!$G$49:$K$49)/months_yr*O$6</f>
        <v>0</v>
      </c>
      <c r="P116" s="233">
        <f>P42*LOOKUP(P$8,Inputs!$G$48:$K$48,Inputs!$G$49:$K$49)/months_yr*P$6</f>
        <v>0</v>
      </c>
      <c r="Q116" s="233">
        <f>Q42*LOOKUP(Q$8,Inputs!$G$48:$K$48,Inputs!$G$49:$K$49)/months_yr*Q$6</f>
        <v>0</v>
      </c>
      <c r="R116" s="233">
        <f>R42*LOOKUP(R$8,Inputs!$G$48:$K$48,Inputs!$G$49:$K$49)/months_yr*R$6</f>
        <v>0</v>
      </c>
      <c r="S116" s="233">
        <f>S42*LOOKUP(S$8,Inputs!$G$48:$K$48,Inputs!$G$49:$K$49)/months_yr*S$6</f>
        <v>0</v>
      </c>
      <c r="T116" s="233">
        <f>T42*LOOKUP(T$8,Inputs!$G$48:$K$48,Inputs!$G$49:$K$49)/months_yr*T$6</f>
        <v>0</v>
      </c>
      <c r="U116" s="233">
        <f>U42*LOOKUP(U$8,Inputs!$G$48:$K$48,Inputs!$G$49:$K$49)/months_yr*U$6</f>
        <v>0</v>
      </c>
      <c r="V116" s="233">
        <f>V42*LOOKUP(V$8,Inputs!$G$48:$K$48,Inputs!$G$49:$K$49)/months_yr*V$6</f>
        <v>0</v>
      </c>
      <c r="W116" s="233">
        <f>W42*LOOKUP(W$8,Inputs!$G$48:$K$48,Inputs!$G$49:$K$49)/months_yr*W$6</f>
        <v>0</v>
      </c>
      <c r="X116" s="233">
        <f>X42*LOOKUP(X$8,Inputs!$G$48:$K$48,Inputs!$G$49:$K$49)/months_yr*X$6</f>
        <v>0</v>
      </c>
      <c r="Y116" s="233">
        <f>Y42*LOOKUP(Y$8,Inputs!$G$48:$K$48,Inputs!$G$49:$K$49)/months_yr*Y$6</f>
        <v>0</v>
      </c>
      <c r="Z116" s="233">
        <f>Z42*LOOKUP(Z$8,Inputs!$G$48:$K$48,Inputs!$G$49:$K$49)/months_yr*Z$6</f>
        <v>0</v>
      </c>
      <c r="AA116" s="233">
        <f>AA42*LOOKUP(AA$8,Inputs!$G$48:$K$48,Inputs!$G$49:$K$49)/months_yr*AA$6</f>
        <v>0</v>
      </c>
      <c r="AB116" s="233">
        <f>AB42*LOOKUP(AB$8,Inputs!$G$48:$K$48,Inputs!$G$49:$K$49)/months_yr*AB$6</f>
        <v>0</v>
      </c>
      <c r="AC116" s="233">
        <f>AC42*LOOKUP(AC$8,Inputs!$G$48:$K$48,Inputs!$G$49:$K$49)/months_yr*AC$6</f>
        <v>0</v>
      </c>
      <c r="AD116" s="233">
        <f>AD42*LOOKUP(AD$8,Inputs!$G$48:$K$48,Inputs!$G$49:$K$49)/months_yr*AD$6</f>
        <v>0</v>
      </c>
      <c r="AE116" s="233">
        <f>AE42*LOOKUP(AE$8,Inputs!$G$48:$K$48,Inputs!$G$49:$K$49)/months_yr*AE$6</f>
        <v>0</v>
      </c>
      <c r="AF116" s="233">
        <f>AF42*LOOKUP(AF$8,Inputs!$G$48:$K$48,Inputs!$G$49:$K$49)/months_yr*AF$6</f>
        <v>0</v>
      </c>
      <c r="AG116" s="233">
        <f>AG42*LOOKUP(AG$8,Inputs!$G$48:$K$48,Inputs!$G$49:$K$49)/months_yr*AG$6</f>
        <v>0</v>
      </c>
    </row>
    <row r="117" spans="1:33" ht="16.5" customHeight="1" outlineLevel="2">
      <c r="A117" s="128"/>
      <c r="B117" s="434"/>
      <c r="C117" s="40" t="str">
        <f>C43</f>
        <v>Fill in name or positon here</v>
      </c>
      <c r="D117" s="8" t="str">
        <f>Currency_Label</f>
        <v>USD</v>
      </c>
      <c r="E117" s="128"/>
      <c r="F117" s="128"/>
      <c r="G117" s="128"/>
      <c r="H117" s="128"/>
      <c r="I117" s="71">
        <f>SUM(J117:AG117)</f>
        <v>0</v>
      </c>
      <c r="J117" s="233">
        <f>J43*LOOKUP(J$8,Inputs!$G$48:$K$48,Inputs!$G$50:$K$50)/months_yr*J$6</f>
        <v>0</v>
      </c>
      <c r="K117" s="233">
        <f>K43*LOOKUP(K$8,Inputs!$G$48:$K$48,Inputs!$G$50:$K$50)/months_yr*K$6</f>
        <v>0</v>
      </c>
      <c r="L117" s="233">
        <f>L43*LOOKUP(L$8,Inputs!$G$48:$K$48,Inputs!$G$50:$K$50)/months_yr*L$6</f>
        <v>0</v>
      </c>
      <c r="M117" s="233">
        <f>M43*LOOKUP(M$8,Inputs!$G$48:$K$48,Inputs!$G$50:$K$50)/months_yr*M$6</f>
        <v>0</v>
      </c>
      <c r="N117" s="233">
        <f>N43*LOOKUP(N$8,Inputs!$G$48:$K$48,Inputs!$G$50:$K$50)/months_yr*N$6</f>
        <v>0</v>
      </c>
      <c r="O117" s="233">
        <f>O43*LOOKUP(O$8,Inputs!$G$48:$K$48,Inputs!$G$50:$K$50)/months_yr*O$6</f>
        <v>0</v>
      </c>
      <c r="P117" s="233">
        <f>P43*LOOKUP(P$8,Inputs!$G$48:$K$48,Inputs!$G$50:$K$50)/months_yr*P$6</f>
        <v>0</v>
      </c>
      <c r="Q117" s="233">
        <f>Q43*LOOKUP(Q$8,Inputs!$G$48:$K$48,Inputs!$G$50:$K$50)/months_yr*Q$6</f>
        <v>0</v>
      </c>
      <c r="R117" s="233">
        <f>R43*LOOKUP(R$8,Inputs!$G$48:$K$48,Inputs!$G$50:$K$50)/months_yr*R$6</f>
        <v>0</v>
      </c>
      <c r="S117" s="233">
        <f>S43*LOOKUP(S$8,Inputs!$G$48:$K$48,Inputs!$G$50:$K$50)/months_yr*S$6</f>
        <v>0</v>
      </c>
      <c r="T117" s="233">
        <f>T43*LOOKUP(T$8,Inputs!$G$48:$K$48,Inputs!$G$50:$K$50)/months_yr*T$6</f>
        <v>0</v>
      </c>
      <c r="U117" s="233">
        <f>U43*LOOKUP(U$8,Inputs!$G$48:$K$48,Inputs!$G$50:$K$50)/months_yr*U$6</f>
        <v>0</v>
      </c>
      <c r="V117" s="233">
        <f>V43*LOOKUP(V$8,Inputs!$G$48:$K$48,Inputs!$G$50:$K$50)/months_yr*V$6</f>
        <v>0</v>
      </c>
      <c r="W117" s="233">
        <f>W43*LOOKUP(W$8,Inputs!$G$48:$K$48,Inputs!$G$50:$K$50)/months_yr*W$6</f>
        <v>0</v>
      </c>
      <c r="X117" s="233">
        <f>X43*LOOKUP(X$8,Inputs!$G$48:$K$48,Inputs!$G$50:$K$50)/months_yr*X$6</f>
        <v>0</v>
      </c>
      <c r="Y117" s="233">
        <f>Y43*LOOKUP(Y$8,Inputs!$G$48:$K$48,Inputs!$G$50:$K$50)/months_yr*Y$6</f>
        <v>0</v>
      </c>
      <c r="Z117" s="233">
        <f>Z43*LOOKUP(Z$8,Inputs!$G$48:$K$48,Inputs!$G$50:$K$50)/months_yr*Z$6</f>
        <v>0</v>
      </c>
      <c r="AA117" s="233">
        <f>AA43*LOOKUP(AA$8,Inputs!$G$48:$K$48,Inputs!$G$50:$K$50)/months_yr*AA$6</f>
        <v>0</v>
      </c>
      <c r="AB117" s="233">
        <f>AB43*LOOKUP(AB$8,Inputs!$G$48:$K$48,Inputs!$G$50:$K$50)/months_yr*AB$6</f>
        <v>0</v>
      </c>
      <c r="AC117" s="233">
        <f>AC43*LOOKUP(AC$8,Inputs!$G$48:$K$48,Inputs!$G$50:$K$50)/months_yr*AC$6</f>
        <v>0</v>
      </c>
      <c r="AD117" s="233">
        <f>AD43*LOOKUP(AD$8,Inputs!$G$48:$K$48,Inputs!$G$50:$K$50)/months_yr*AD$6</f>
        <v>0</v>
      </c>
      <c r="AE117" s="233">
        <f>AE43*LOOKUP(AE$8,Inputs!$G$48:$K$48,Inputs!$G$50:$K$50)/months_yr*AE$6</f>
        <v>0</v>
      </c>
      <c r="AF117" s="233">
        <f>AF43*LOOKUP(AF$8,Inputs!$G$48:$K$48,Inputs!$G$50:$K$50)/months_yr*AF$6</f>
        <v>0</v>
      </c>
      <c r="AG117" s="233">
        <f>AG43*LOOKUP(AG$8,Inputs!$G$48:$K$48,Inputs!$G$50:$K$50)/months_yr*AG$6</f>
        <v>0</v>
      </c>
    </row>
    <row r="118" spans="1:33" ht="16.5" customHeight="1" outlineLevel="2">
      <c r="A118" s="128"/>
      <c r="B118" s="434"/>
      <c r="C118" s="40" t="str">
        <f>C44</f>
        <v>Fill in name or positon here</v>
      </c>
      <c r="D118" s="8" t="str">
        <f>Currency_Label</f>
        <v>USD</v>
      </c>
      <c r="E118" s="128"/>
      <c r="F118" s="128"/>
      <c r="G118" s="128"/>
      <c r="H118" s="128"/>
      <c r="I118" s="71">
        <f>SUM(J118:AG118)</f>
        <v>0</v>
      </c>
      <c r="J118" s="233">
        <f>J44*LOOKUP(J$8,Inputs!$G$48:$K$48,Inputs!$G$51:$K$51)/months_yr*J$6</f>
        <v>0</v>
      </c>
      <c r="K118" s="233">
        <f>K44*LOOKUP(K$8,Inputs!$G$48:$K$48,Inputs!$G$51:$K$51)/months_yr*K$6</f>
        <v>0</v>
      </c>
      <c r="L118" s="233">
        <f>L44*LOOKUP(L$8,Inputs!$G$48:$K$48,Inputs!$G$51:$K$51)/months_yr*L$6</f>
        <v>0</v>
      </c>
      <c r="M118" s="233">
        <f>M44*LOOKUP(M$8,Inputs!$G$48:$K$48,Inputs!$G$51:$K$51)/months_yr*M$6</f>
        <v>0</v>
      </c>
      <c r="N118" s="233">
        <f>N44*LOOKUP(N$8,Inputs!$G$48:$K$48,Inputs!$G$51:$K$51)/months_yr*N$6</f>
        <v>0</v>
      </c>
      <c r="O118" s="233">
        <f>O44*LOOKUP(O$8,Inputs!$G$48:$K$48,Inputs!$G$51:$K$51)/months_yr*O$6</f>
        <v>0</v>
      </c>
      <c r="P118" s="233">
        <f>P44*LOOKUP(P$8,Inputs!$G$48:$K$48,Inputs!$G$51:$K$51)/months_yr*P$6</f>
        <v>0</v>
      </c>
      <c r="Q118" s="233">
        <f>Q44*LOOKUP(Q$8,Inputs!$G$48:$K$48,Inputs!$G$51:$K$51)/months_yr*Q$6</f>
        <v>0</v>
      </c>
      <c r="R118" s="233">
        <f>R44*LOOKUP(R$8,Inputs!$G$48:$K$48,Inputs!$G$51:$K$51)/months_yr*R$6</f>
        <v>0</v>
      </c>
      <c r="S118" s="233">
        <f>S44*LOOKUP(S$8,Inputs!$G$48:$K$48,Inputs!$G$51:$K$51)/months_yr*S$6</f>
        <v>0</v>
      </c>
      <c r="T118" s="233">
        <f>T44*LOOKUP(T$8,Inputs!$G$48:$K$48,Inputs!$G$51:$K$51)/months_yr*T$6</f>
        <v>0</v>
      </c>
      <c r="U118" s="233">
        <f>U44*LOOKUP(U$8,Inputs!$G$48:$K$48,Inputs!$G$51:$K$51)/months_yr*U$6</f>
        <v>0</v>
      </c>
      <c r="V118" s="233">
        <f>V44*LOOKUP(V$8,Inputs!$G$48:$K$48,Inputs!$G$51:$K$51)/months_yr*V$6</f>
        <v>0</v>
      </c>
      <c r="W118" s="233">
        <f>W44*LOOKUP(W$8,Inputs!$G$48:$K$48,Inputs!$G$51:$K$51)/months_yr*W$6</f>
        <v>0</v>
      </c>
      <c r="X118" s="233">
        <f>X44*LOOKUP(X$8,Inputs!$G$48:$K$48,Inputs!$G$51:$K$51)/months_yr*X$6</f>
        <v>0</v>
      </c>
      <c r="Y118" s="233">
        <f>Y44*LOOKUP(Y$8,Inputs!$G$48:$K$48,Inputs!$G$51:$K$51)/months_yr*Y$6</f>
        <v>0</v>
      </c>
      <c r="Z118" s="233">
        <f>Z44*LOOKUP(Z$8,Inputs!$G$48:$K$48,Inputs!$G$51:$K$51)/months_yr*Z$6</f>
        <v>0</v>
      </c>
      <c r="AA118" s="233">
        <f>AA44*LOOKUP(AA$8,Inputs!$G$48:$K$48,Inputs!$G$51:$K$51)/months_yr*AA$6</f>
        <v>0</v>
      </c>
      <c r="AB118" s="233">
        <f>AB44*LOOKUP(AB$8,Inputs!$G$48:$K$48,Inputs!$G$51:$K$51)/months_yr*AB$6</f>
        <v>0</v>
      </c>
      <c r="AC118" s="233">
        <f>AC44*LOOKUP(AC$8,Inputs!$G$48:$K$48,Inputs!$G$51:$K$51)/months_yr*AC$6</f>
        <v>0</v>
      </c>
      <c r="AD118" s="233">
        <f>AD44*LOOKUP(AD$8,Inputs!$G$48:$K$48,Inputs!$G$51:$K$51)/months_yr*AD$6</f>
        <v>0</v>
      </c>
      <c r="AE118" s="233">
        <f>AE44*LOOKUP(AE$8,Inputs!$G$48:$K$48,Inputs!$G$51:$K$51)/months_yr*AE$6</f>
        <v>0</v>
      </c>
      <c r="AF118" s="233">
        <f>AF44*LOOKUP(AF$8,Inputs!$G$48:$K$48,Inputs!$G$51:$K$51)/months_yr*AF$6</f>
        <v>0</v>
      </c>
      <c r="AG118" s="233">
        <f>AG44*LOOKUP(AG$8,Inputs!$G$48:$K$48,Inputs!$G$51:$K$51)/months_yr*AG$6</f>
        <v>0</v>
      </c>
    </row>
    <row r="119" spans="1:33" ht="16.5" customHeight="1" outlineLevel="2">
      <c r="A119" s="128"/>
      <c r="B119" s="434"/>
      <c r="C119" s="40" t="str">
        <f>C45</f>
        <v>Fill in name or positon here</v>
      </c>
      <c r="D119" s="8" t="str">
        <f>Currency_Label</f>
        <v>USD</v>
      </c>
      <c r="E119" s="128"/>
      <c r="F119" s="128"/>
      <c r="G119" s="128"/>
      <c r="H119" s="128"/>
      <c r="I119" s="71">
        <f>SUM(J119:AG119)</f>
        <v>0</v>
      </c>
      <c r="J119" s="233">
        <f>J45*LOOKUP(J$8,Inputs!$G$48:$K$48,Inputs!$G$52:$K$52)/months_yr*J$6</f>
        <v>0</v>
      </c>
      <c r="K119" s="233">
        <f>K45*LOOKUP(K$8,Inputs!$G$48:$K$48,Inputs!$G$52:$K$52)/months_yr*K$6</f>
        <v>0</v>
      </c>
      <c r="L119" s="233">
        <f>L45*LOOKUP(L$8,Inputs!$G$48:$K$48,Inputs!$G$52:$K$52)/months_yr*L$6</f>
        <v>0</v>
      </c>
      <c r="M119" s="233">
        <f>M45*LOOKUP(M$8,Inputs!$G$48:$K$48,Inputs!$G$52:$K$52)/months_yr*M$6</f>
        <v>0</v>
      </c>
      <c r="N119" s="233">
        <f>N45*LOOKUP(N$8,Inputs!$G$48:$K$48,Inputs!$G$52:$K$52)/months_yr*N$6</f>
        <v>0</v>
      </c>
      <c r="O119" s="233">
        <f>O45*LOOKUP(O$8,Inputs!$G$48:$K$48,Inputs!$G$52:$K$52)/months_yr*O$6</f>
        <v>0</v>
      </c>
      <c r="P119" s="233">
        <f>P45*LOOKUP(P$8,Inputs!$G$48:$K$48,Inputs!$G$52:$K$52)/months_yr*P$6</f>
        <v>0</v>
      </c>
      <c r="Q119" s="233">
        <f>Q45*LOOKUP(Q$8,Inputs!$G$48:$K$48,Inputs!$G$52:$K$52)/months_yr*Q$6</f>
        <v>0</v>
      </c>
      <c r="R119" s="233">
        <f>R45*LOOKUP(R$8,Inputs!$G$48:$K$48,Inputs!$G$52:$K$52)/months_yr*R$6</f>
        <v>0</v>
      </c>
      <c r="S119" s="233">
        <f>S45*LOOKUP(S$8,Inputs!$G$48:$K$48,Inputs!$G$52:$K$52)/months_yr*S$6</f>
        <v>0</v>
      </c>
      <c r="T119" s="233">
        <f>T45*LOOKUP(T$8,Inputs!$G$48:$K$48,Inputs!$G$52:$K$52)/months_yr*T$6</f>
        <v>0</v>
      </c>
      <c r="U119" s="233">
        <f>U45*LOOKUP(U$8,Inputs!$G$48:$K$48,Inputs!$G$52:$K$52)/months_yr*U$6</f>
        <v>0</v>
      </c>
      <c r="V119" s="233">
        <f>V45*LOOKUP(V$8,Inputs!$G$48:$K$48,Inputs!$G$52:$K$52)/months_yr*V$6</f>
        <v>0</v>
      </c>
      <c r="W119" s="233">
        <f>W45*LOOKUP(W$8,Inputs!$G$48:$K$48,Inputs!$G$52:$K$52)/months_yr*W$6</f>
        <v>0</v>
      </c>
      <c r="X119" s="233">
        <f>X45*LOOKUP(X$8,Inputs!$G$48:$K$48,Inputs!$G$52:$K$52)/months_yr*X$6</f>
        <v>0</v>
      </c>
      <c r="Y119" s="233">
        <f>Y45*LOOKUP(Y$8,Inputs!$G$48:$K$48,Inputs!$G$52:$K$52)/months_yr*Y$6</f>
        <v>0</v>
      </c>
      <c r="Z119" s="233">
        <f>Z45*LOOKUP(Z$8,Inputs!$G$48:$K$48,Inputs!$G$52:$K$52)/months_yr*Z$6</f>
        <v>0</v>
      </c>
      <c r="AA119" s="233">
        <f>AA45*LOOKUP(AA$8,Inputs!$G$48:$K$48,Inputs!$G$52:$K$52)/months_yr*AA$6</f>
        <v>0</v>
      </c>
      <c r="AB119" s="233">
        <f>AB45*LOOKUP(AB$8,Inputs!$G$48:$K$48,Inputs!$G$52:$K$52)/months_yr*AB$6</f>
        <v>0</v>
      </c>
      <c r="AC119" s="233">
        <f>AC45*LOOKUP(AC$8,Inputs!$G$48:$K$48,Inputs!$G$52:$K$52)/months_yr*AC$6</f>
        <v>0</v>
      </c>
      <c r="AD119" s="233">
        <f>AD45*LOOKUP(AD$8,Inputs!$G$48:$K$48,Inputs!$G$52:$K$52)/months_yr*AD$6</f>
        <v>0</v>
      </c>
      <c r="AE119" s="233">
        <f>AE45*LOOKUP(AE$8,Inputs!$G$48:$K$48,Inputs!$G$52:$K$52)/months_yr*AE$6</f>
        <v>0</v>
      </c>
      <c r="AF119" s="233">
        <f>AF45*LOOKUP(AF$8,Inputs!$G$48:$K$48,Inputs!$G$52:$K$52)/months_yr*AF$6</f>
        <v>0</v>
      </c>
      <c r="AG119" s="233">
        <f>AG45*LOOKUP(AG$8,Inputs!$G$48:$K$48,Inputs!$G$52:$K$52)/months_yr*AG$6</f>
        <v>0</v>
      </c>
    </row>
    <row r="120" spans="1:33" ht="16.5" customHeight="1" outlineLevel="2">
      <c r="A120" s="128"/>
      <c r="B120" s="434"/>
      <c r="C120" s="75" t="s">
        <v>280</v>
      </c>
      <c r="D120" s="8" t="str">
        <f>Currency_Label</f>
        <v>USD</v>
      </c>
      <c r="E120" s="36"/>
      <c r="F120" s="36"/>
      <c r="G120" s="36"/>
      <c r="H120" s="36"/>
      <c r="I120" s="71">
        <f>SUM(J120:AG120)</f>
        <v>0</v>
      </c>
      <c r="J120" s="129">
        <f t="shared" ref="J120:AG120" si="18">SUM(J116:J119)</f>
        <v>0</v>
      </c>
      <c r="K120" s="129">
        <f t="shared" si="18"/>
        <v>0</v>
      </c>
      <c r="L120" s="129">
        <f t="shared" si="18"/>
        <v>0</v>
      </c>
      <c r="M120" s="129">
        <f t="shared" si="18"/>
        <v>0</v>
      </c>
      <c r="N120" s="129">
        <f t="shared" si="18"/>
        <v>0</v>
      </c>
      <c r="O120" s="129">
        <f t="shared" si="18"/>
        <v>0</v>
      </c>
      <c r="P120" s="129">
        <f t="shared" si="18"/>
        <v>0</v>
      </c>
      <c r="Q120" s="129">
        <f t="shared" si="18"/>
        <v>0</v>
      </c>
      <c r="R120" s="129">
        <f t="shared" si="18"/>
        <v>0</v>
      </c>
      <c r="S120" s="129">
        <f t="shared" si="18"/>
        <v>0</v>
      </c>
      <c r="T120" s="129">
        <f t="shared" si="18"/>
        <v>0</v>
      </c>
      <c r="U120" s="129">
        <f t="shared" si="18"/>
        <v>0</v>
      </c>
      <c r="V120" s="129">
        <f t="shared" si="18"/>
        <v>0</v>
      </c>
      <c r="W120" s="129">
        <f t="shared" si="18"/>
        <v>0</v>
      </c>
      <c r="X120" s="129">
        <f t="shared" si="18"/>
        <v>0</v>
      </c>
      <c r="Y120" s="129">
        <f t="shared" si="18"/>
        <v>0</v>
      </c>
      <c r="Z120" s="129">
        <f t="shared" si="18"/>
        <v>0</v>
      </c>
      <c r="AA120" s="129">
        <f t="shared" si="18"/>
        <v>0</v>
      </c>
      <c r="AB120" s="129">
        <f t="shared" si="18"/>
        <v>0</v>
      </c>
      <c r="AC120" s="129">
        <f t="shared" si="18"/>
        <v>0</v>
      </c>
      <c r="AD120" s="129">
        <f t="shared" si="18"/>
        <v>0</v>
      </c>
      <c r="AE120" s="129">
        <f t="shared" si="18"/>
        <v>0</v>
      </c>
      <c r="AF120" s="129">
        <f t="shared" si="18"/>
        <v>0</v>
      </c>
      <c r="AG120" s="129">
        <f t="shared" si="18"/>
        <v>0</v>
      </c>
    </row>
    <row r="121" spans="1:33" ht="16.5" customHeight="1" outlineLevel="2">
      <c r="A121" s="128"/>
      <c r="B121" s="434"/>
      <c r="C121" s="128"/>
      <c r="D121" s="275"/>
      <c r="E121" s="128"/>
      <c r="F121" s="128"/>
      <c r="G121" s="128"/>
      <c r="H121" s="128"/>
      <c r="I121" s="332"/>
      <c r="J121" s="332"/>
      <c r="K121" s="332"/>
      <c r="L121" s="332"/>
      <c r="M121" s="332"/>
      <c r="N121" s="332"/>
      <c r="O121" s="332"/>
      <c r="P121" s="332"/>
      <c r="Q121" s="332"/>
      <c r="R121" s="332"/>
      <c r="S121" s="332"/>
      <c r="T121" s="332"/>
      <c r="U121" s="332"/>
      <c r="V121" s="332"/>
      <c r="W121" s="332"/>
      <c r="X121" s="332"/>
      <c r="Y121" s="332"/>
      <c r="Z121" s="332"/>
      <c r="AA121" s="332"/>
      <c r="AB121" s="332"/>
      <c r="AC121" s="332"/>
      <c r="AD121" s="332"/>
      <c r="AE121" s="332"/>
      <c r="AF121" s="332"/>
      <c r="AG121" s="332"/>
    </row>
    <row r="122" spans="1:33" ht="16.5" customHeight="1" outlineLevel="2">
      <c r="A122" s="128"/>
      <c r="B122" s="708">
        <f>B48</f>
        <v>6</v>
      </c>
      <c r="C122" s="331" t="str">
        <f>C48</f>
        <v>Repair Services</v>
      </c>
      <c r="D122" s="275"/>
      <c r="E122" s="128"/>
      <c r="F122" s="128"/>
      <c r="G122" s="128"/>
      <c r="H122" s="128"/>
      <c r="I122" s="332"/>
      <c r="J122" s="332"/>
      <c r="K122" s="332"/>
      <c r="L122" s="332"/>
      <c r="M122" s="332"/>
      <c r="N122" s="332"/>
      <c r="O122" s="332"/>
      <c r="P122" s="332"/>
      <c r="Q122" s="332"/>
      <c r="R122" s="332"/>
      <c r="S122" s="332"/>
      <c r="T122" s="332"/>
      <c r="U122" s="332"/>
      <c r="V122" s="332"/>
      <c r="W122" s="332"/>
      <c r="X122" s="332"/>
      <c r="Y122" s="332"/>
      <c r="Z122" s="332"/>
      <c r="AA122" s="332"/>
      <c r="AB122" s="332"/>
      <c r="AC122" s="332"/>
      <c r="AD122" s="332"/>
      <c r="AE122" s="332"/>
      <c r="AF122" s="332"/>
      <c r="AG122" s="332"/>
    </row>
    <row r="123" spans="1:33" ht="16.5" customHeight="1" outlineLevel="2">
      <c r="A123" s="128"/>
      <c r="B123" s="434"/>
      <c r="C123" s="40" t="str">
        <f>C49</f>
        <v>Fill in name or positon here</v>
      </c>
      <c r="D123" s="8" t="str">
        <f>Currency_Label</f>
        <v>USD</v>
      </c>
      <c r="E123" s="128"/>
      <c r="F123" s="128"/>
      <c r="G123" s="128"/>
      <c r="H123" s="128"/>
      <c r="I123" s="71">
        <f>SUM(J123:AG123)</f>
        <v>58699.999999999985</v>
      </c>
      <c r="J123" s="233">
        <f>J49*LOOKUP(J$8,Inputs!$G$48:$K$48,Inputs!$G$49:$K$49)/months_yr*J$6</f>
        <v>1666.6666666666667</v>
      </c>
      <c r="K123" s="233">
        <f>K49*LOOKUP(K$8,Inputs!$G$48:$K$48,Inputs!$G$49:$K$49)/months_yr*K$6</f>
        <v>1666.6666666666667</v>
      </c>
      <c r="L123" s="233">
        <f>L49*LOOKUP(L$8,Inputs!$G$48:$K$48,Inputs!$G$49:$K$49)/months_yr*L$6</f>
        <v>1666.6666666666667</v>
      </c>
      <c r="M123" s="233">
        <f>M49*LOOKUP(M$8,Inputs!$G$48:$K$48,Inputs!$G$49:$K$49)/months_yr*M$6</f>
        <v>1666.6666666666667</v>
      </c>
      <c r="N123" s="233">
        <f>N49*LOOKUP(N$8,Inputs!$G$48:$K$48,Inputs!$G$49:$K$49)/months_yr*N$6</f>
        <v>1666.6666666666667</v>
      </c>
      <c r="O123" s="233">
        <f>O49*LOOKUP(O$8,Inputs!$G$48:$K$48,Inputs!$G$49:$K$49)/months_yr*O$6</f>
        <v>1666.6666666666667</v>
      </c>
      <c r="P123" s="233">
        <f>P49*LOOKUP(P$8,Inputs!$G$48:$K$48,Inputs!$G$49:$K$49)/months_yr*P$6</f>
        <v>1666.6666666666667</v>
      </c>
      <c r="Q123" s="233">
        <f>Q49*LOOKUP(Q$8,Inputs!$G$48:$K$48,Inputs!$G$49:$K$49)/months_yr*Q$6</f>
        <v>3333.3333333333335</v>
      </c>
      <c r="R123" s="233">
        <f>R49*LOOKUP(R$8,Inputs!$G$48:$K$48,Inputs!$G$49:$K$49)/months_yr*R$6</f>
        <v>3333.3333333333335</v>
      </c>
      <c r="S123" s="233">
        <f>S49*LOOKUP(S$8,Inputs!$G$48:$K$48,Inputs!$G$49:$K$49)/months_yr*S$6</f>
        <v>3333.3333333333335</v>
      </c>
      <c r="T123" s="233">
        <f>T49*LOOKUP(T$8,Inputs!$G$48:$K$48,Inputs!$G$49:$K$49)/months_yr*T$6</f>
        <v>3366.6666666666665</v>
      </c>
      <c r="U123" s="233">
        <f>U49*LOOKUP(U$8,Inputs!$G$48:$K$48,Inputs!$G$49:$K$49)/months_yr*U$6</f>
        <v>3366.6666666666665</v>
      </c>
      <c r="V123" s="233">
        <f>V49*LOOKUP(V$8,Inputs!$G$48:$K$48,Inputs!$G$49:$K$49)/months_yr*V$6</f>
        <v>3366.6666666666665</v>
      </c>
      <c r="W123" s="233">
        <f>W49*LOOKUP(W$8,Inputs!$G$48:$K$48,Inputs!$G$49:$K$49)/months_yr*W$6</f>
        <v>3366.6666666666665</v>
      </c>
      <c r="X123" s="233">
        <f>X49*LOOKUP(X$8,Inputs!$G$48:$K$48,Inputs!$G$49:$K$49)/months_yr*X$6</f>
        <v>3366.6666666666665</v>
      </c>
      <c r="Y123" s="233">
        <f>Y49*LOOKUP(Y$8,Inputs!$G$48:$K$48,Inputs!$G$49:$K$49)/months_yr*Y$6</f>
        <v>3366.6666666666665</v>
      </c>
      <c r="Z123" s="233">
        <f>Z49*LOOKUP(Z$8,Inputs!$G$48:$K$48,Inputs!$G$49:$K$49)/months_yr*Z$6</f>
        <v>3366.6666666666665</v>
      </c>
      <c r="AA123" s="233">
        <f>AA49*LOOKUP(AA$8,Inputs!$G$48:$K$48,Inputs!$G$49:$K$49)/months_yr*AA$6</f>
        <v>3366.6666666666665</v>
      </c>
      <c r="AB123" s="233">
        <f>AB49*LOOKUP(AB$8,Inputs!$G$48:$K$48,Inputs!$G$49:$K$49)/months_yr*AB$6</f>
        <v>3366.6666666666665</v>
      </c>
      <c r="AC123" s="233">
        <f>AC49*LOOKUP(AC$8,Inputs!$G$48:$K$48,Inputs!$G$49:$K$49)/months_yr*AC$6</f>
        <v>3366.6666666666665</v>
      </c>
      <c r="AD123" s="233">
        <f>AD49*LOOKUP(AD$8,Inputs!$G$48:$K$48,Inputs!$G$49:$K$49)/months_yr*AD$6</f>
        <v>3366.6666666666665</v>
      </c>
      <c r="AE123" s="233">
        <f>AE49*LOOKUP(AE$8,Inputs!$G$48:$K$48,Inputs!$G$49:$K$49)/months_yr*AE$6</f>
        <v>0</v>
      </c>
      <c r="AF123" s="233">
        <f>AF49*LOOKUP(AF$8,Inputs!$G$48:$K$48,Inputs!$G$49:$K$49)/months_yr*AF$6</f>
        <v>0</v>
      </c>
      <c r="AG123" s="233">
        <f>AG49*LOOKUP(AG$8,Inputs!$G$48:$K$48,Inputs!$G$49:$K$49)/months_yr*AG$6</f>
        <v>0</v>
      </c>
    </row>
    <row r="124" spans="1:33" ht="16.5" customHeight="1" outlineLevel="2">
      <c r="A124" s="128"/>
      <c r="B124" s="434"/>
      <c r="C124" s="40" t="str">
        <f>C50</f>
        <v>Fill in name or positon here</v>
      </c>
      <c r="D124" s="8" t="str">
        <f>Currency_Label</f>
        <v>USD</v>
      </c>
      <c r="E124" s="128"/>
      <c r="F124" s="128"/>
      <c r="G124" s="128"/>
      <c r="H124" s="128"/>
      <c r="I124" s="71">
        <f>SUM(J124:AG124)</f>
        <v>0</v>
      </c>
      <c r="J124" s="233">
        <f>J50*LOOKUP(J$8,Inputs!$G$48:$K$48,Inputs!$G$50:$K$50)/months_yr*J$6</f>
        <v>0</v>
      </c>
      <c r="K124" s="233">
        <f>K50*LOOKUP(K$8,Inputs!$G$48:$K$48,Inputs!$G$50:$K$50)/months_yr*K$6</f>
        <v>0</v>
      </c>
      <c r="L124" s="233">
        <f>L50*LOOKUP(L$8,Inputs!$G$48:$K$48,Inputs!$G$50:$K$50)/months_yr*L$6</f>
        <v>0</v>
      </c>
      <c r="M124" s="233">
        <f>M50*LOOKUP(M$8,Inputs!$G$48:$K$48,Inputs!$G$50:$K$50)/months_yr*M$6</f>
        <v>0</v>
      </c>
      <c r="N124" s="233">
        <f>N50*LOOKUP(N$8,Inputs!$G$48:$K$48,Inputs!$G$50:$K$50)/months_yr*N$6</f>
        <v>0</v>
      </c>
      <c r="O124" s="233">
        <f>O50*LOOKUP(O$8,Inputs!$G$48:$K$48,Inputs!$G$50:$K$50)/months_yr*O$6</f>
        <v>0</v>
      </c>
      <c r="P124" s="233">
        <f>P50*LOOKUP(P$8,Inputs!$G$48:$K$48,Inputs!$G$50:$K$50)/months_yr*P$6</f>
        <v>0</v>
      </c>
      <c r="Q124" s="233">
        <f>Q50*LOOKUP(Q$8,Inputs!$G$48:$K$48,Inputs!$G$50:$K$50)/months_yr*Q$6</f>
        <v>0</v>
      </c>
      <c r="R124" s="233">
        <f>R50*LOOKUP(R$8,Inputs!$G$48:$K$48,Inputs!$G$50:$K$50)/months_yr*R$6</f>
        <v>0</v>
      </c>
      <c r="S124" s="233">
        <f>S50*LOOKUP(S$8,Inputs!$G$48:$K$48,Inputs!$G$50:$K$50)/months_yr*S$6</f>
        <v>0</v>
      </c>
      <c r="T124" s="233">
        <f>T50*LOOKUP(T$8,Inputs!$G$48:$K$48,Inputs!$G$50:$K$50)/months_yr*T$6</f>
        <v>0</v>
      </c>
      <c r="U124" s="233">
        <f>U50*LOOKUP(U$8,Inputs!$G$48:$K$48,Inputs!$G$50:$K$50)/months_yr*U$6</f>
        <v>0</v>
      </c>
      <c r="V124" s="233">
        <f>V50*LOOKUP(V$8,Inputs!$G$48:$K$48,Inputs!$G$50:$K$50)/months_yr*V$6</f>
        <v>0</v>
      </c>
      <c r="W124" s="233">
        <f>W50*LOOKUP(W$8,Inputs!$G$48:$K$48,Inputs!$G$50:$K$50)/months_yr*W$6</f>
        <v>0</v>
      </c>
      <c r="X124" s="233">
        <f>X50*LOOKUP(X$8,Inputs!$G$48:$K$48,Inputs!$G$50:$K$50)/months_yr*X$6</f>
        <v>0</v>
      </c>
      <c r="Y124" s="233">
        <f>Y50*LOOKUP(Y$8,Inputs!$G$48:$K$48,Inputs!$G$50:$K$50)/months_yr*Y$6</f>
        <v>0</v>
      </c>
      <c r="Z124" s="233">
        <f>Z50*LOOKUP(Z$8,Inputs!$G$48:$K$48,Inputs!$G$50:$K$50)/months_yr*Z$6</f>
        <v>0</v>
      </c>
      <c r="AA124" s="233">
        <f>AA50*LOOKUP(AA$8,Inputs!$G$48:$K$48,Inputs!$G$50:$K$50)/months_yr*AA$6</f>
        <v>0</v>
      </c>
      <c r="AB124" s="233">
        <f>AB50*LOOKUP(AB$8,Inputs!$G$48:$K$48,Inputs!$G$50:$K$50)/months_yr*AB$6</f>
        <v>0</v>
      </c>
      <c r="AC124" s="233">
        <f>AC50*LOOKUP(AC$8,Inputs!$G$48:$K$48,Inputs!$G$50:$K$50)/months_yr*AC$6</f>
        <v>0</v>
      </c>
      <c r="AD124" s="233">
        <f>AD50*LOOKUP(AD$8,Inputs!$G$48:$K$48,Inputs!$G$50:$K$50)/months_yr*AD$6</f>
        <v>0</v>
      </c>
      <c r="AE124" s="233">
        <f>AE50*LOOKUP(AE$8,Inputs!$G$48:$K$48,Inputs!$G$50:$K$50)/months_yr*AE$6</f>
        <v>0</v>
      </c>
      <c r="AF124" s="233">
        <f>AF50*LOOKUP(AF$8,Inputs!$G$48:$K$48,Inputs!$G$50:$K$50)/months_yr*AF$6</f>
        <v>0</v>
      </c>
      <c r="AG124" s="233">
        <f>AG50*LOOKUP(AG$8,Inputs!$G$48:$K$48,Inputs!$G$50:$K$50)/months_yr*AG$6</f>
        <v>0</v>
      </c>
    </row>
    <row r="125" spans="1:33" ht="16.5" customHeight="1" outlineLevel="2">
      <c r="A125" s="128"/>
      <c r="B125" s="434"/>
      <c r="C125" s="40" t="str">
        <f>C51</f>
        <v>Fill in name or positon here</v>
      </c>
      <c r="D125" s="8" t="str">
        <f>Currency_Label</f>
        <v>USD</v>
      </c>
      <c r="E125" s="128"/>
      <c r="F125" s="128"/>
      <c r="G125" s="128"/>
      <c r="H125" s="128"/>
      <c r="I125" s="71">
        <f>SUM(J125:AG125)</f>
        <v>0</v>
      </c>
      <c r="J125" s="233">
        <f>J51*LOOKUP(J$8,Inputs!$G$48:$K$48,Inputs!$G$51:$K$51)/months_yr*J$6</f>
        <v>0</v>
      </c>
      <c r="K125" s="233">
        <f>K51*LOOKUP(K$8,Inputs!$G$48:$K$48,Inputs!$G$51:$K$51)/months_yr*K$6</f>
        <v>0</v>
      </c>
      <c r="L125" s="233">
        <f>L51*LOOKUP(L$8,Inputs!$G$48:$K$48,Inputs!$G$51:$K$51)/months_yr*L$6</f>
        <v>0</v>
      </c>
      <c r="M125" s="233">
        <f>M51*LOOKUP(M$8,Inputs!$G$48:$K$48,Inputs!$G$51:$K$51)/months_yr*M$6</f>
        <v>0</v>
      </c>
      <c r="N125" s="233">
        <f>N51*LOOKUP(N$8,Inputs!$G$48:$K$48,Inputs!$G$51:$K$51)/months_yr*N$6</f>
        <v>0</v>
      </c>
      <c r="O125" s="233">
        <f>O51*LOOKUP(O$8,Inputs!$G$48:$K$48,Inputs!$G$51:$K$51)/months_yr*O$6</f>
        <v>0</v>
      </c>
      <c r="P125" s="233">
        <f>P51*LOOKUP(P$8,Inputs!$G$48:$K$48,Inputs!$G$51:$K$51)/months_yr*P$6</f>
        <v>0</v>
      </c>
      <c r="Q125" s="233">
        <f>Q51*LOOKUP(Q$8,Inputs!$G$48:$K$48,Inputs!$G$51:$K$51)/months_yr*Q$6</f>
        <v>0</v>
      </c>
      <c r="R125" s="233">
        <f>R51*LOOKUP(R$8,Inputs!$G$48:$K$48,Inputs!$G$51:$K$51)/months_yr*R$6</f>
        <v>0</v>
      </c>
      <c r="S125" s="233">
        <f>S51*LOOKUP(S$8,Inputs!$G$48:$K$48,Inputs!$G$51:$K$51)/months_yr*S$6</f>
        <v>0</v>
      </c>
      <c r="T125" s="233">
        <f>T51*LOOKUP(T$8,Inputs!$G$48:$K$48,Inputs!$G$51:$K$51)/months_yr*T$6</f>
        <v>0</v>
      </c>
      <c r="U125" s="233">
        <f>U51*LOOKUP(U$8,Inputs!$G$48:$K$48,Inputs!$G$51:$K$51)/months_yr*U$6</f>
        <v>0</v>
      </c>
      <c r="V125" s="233">
        <f>V51*LOOKUP(V$8,Inputs!$G$48:$K$48,Inputs!$G$51:$K$51)/months_yr*V$6</f>
        <v>0</v>
      </c>
      <c r="W125" s="233">
        <f>W51*LOOKUP(W$8,Inputs!$G$48:$K$48,Inputs!$G$51:$K$51)/months_yr*W$6</f>
        <v>0</v>
      </c>
      <c r="X125" s="233">
        <f>X51*LOOKUP(X$8,Inputs!$G$48:$K$48,Inputs!$G$51:$K$51)/months_yr*X$6</f>
        <v>0</v>
      </c>
      <c r="Y125" s="233">
        <f>Y51*LOOKUP(Y$8,Inputs!$G$48:$K$48,Inputs!$G$51:$K$51)/months_yr*Y$6</f>
        <v>0</v>
      </c>
      <c r="Z125" s="233">
        <f>Z51*LOOKUP(Z$8,Inputs!$G$48:$K$48,Inputs!$G$51:$K$51)/months_yr*Z$6</f>
        <v>0</v>
      </c>
      <c r="AA125" s="233">
        <f>AA51*LOOKUP(AA$8,Inputs!$G$48:$K$48,Inputs!$G$51:$K$51)/months_yr*AA$6</f>
        <v>0</v>
      </c>
      <c r="AB125" s="233">
        <f>AB51*LOOKUP(AB$8,Inputs!$G$48:$K$48,Inputs!$G$51:$K$51)/months_yr*AB$6</f>
        <v>0</v>
      </c>
      <c r="AC125" s="233">
        <f>AC51*LOOKUP(AC$8,Inputs!$G$48:$K$48,Inputs!$G$51:$K$51)/months_yr*AC$6</f>
        <v>0</v>
      </c>
      <c r="AD125" s="233">
        <f>AD51*LOOKUP(AD$8,Inputs!$G$48:$K$48,Inputs!$G$51:$K$51)/months_yr*AD$6</f>
        <v>0</v>
      </c>
      <c r="AE125" s="233">
        <f>AE51*LOOKUP(AE$8,Inputs!$G$48:$K$48,Inputs!$G$51:$K$51)/months_yr*AE$6</f>
        <v>0</v>
      </c>
      <c r="AF125" s="233">
        <f>AF51*LOOKUP(AF$8,Inputs!$G$48:$K$48,Inputs!$G$51:$K$51)/months_yr*AF$6</f>
        <v>0</v>
      </c>
      <c r="AG125" s="233">
        <f>AG51*LOOKUP(AG$8,Inputs!$G$48:$K$48,Inputs!$G$51:$K$51)/months_yr*AG$6</f>
        <v>0</v>
      </c>
    </row>
    <row r="126" spans="1:33" ht="16.5" customHeight="1" outlineLevel="2">
      <c r="A126" s="128"/>
      <c r="B126" s="434"/>
      <c r="C126" s="40" t="str">
        <f>C52</f>
        <v>Fill in name or positon here</v>
      </c>
      <c r="D126" s="8" t="str">
        <f>Currency_Label</f>
        <v>USD</v>
      </c>
      <c r="E126" s="128"/>
      <c r="F126" s="128"/>
      <c r="G126" s="128"/>
      <c r="H126" s="128"/>
      <c r="I126" s="71">
        <f>SUM(J126:AG126)</f>
        <v>0</v>
      </c>
      <c r="J126" s="233">
        <f>J52*LOOKUP(J$8,Inputs!$G$48:$K$48,Inputs!$G$52:$K$52)/months_yr*J$6</f>
        <v>0</v>
      </c>
      <c r="K126" s="233">
        <f>K52*LOOKUP(K$8,Inputs!$G$48:$K$48,Inputs!$G$52:$K$52)/months_yr*K$6</f>
        <v>0</v>
      </c>
      <c r="L126" s="233">
        <f>L52*LOOKUP(L$8,Inputs!$G$48:$K$48,Inputs!$G$52:$K$52)/months_yr*L$6</f>
        <v>0</v>
      </c>
      <c r="M126" s="233">
        <f>M52*LOOKUP(M$8,Inputs!$G$48:$K$48,Inputs!$G$52:$K$52)/months_yr*M$6</f>
        <v>0</v>
      </c>
      <c r="N126" s="233">
        <f>N52*LOOKUP(N$8,Inputs!$G$48:$K$48,Inputs!$G$52:$K$52)/months_yr*N$6</f>
        <v>0</v>
      </c>
      <c r="O126" s="233">
        <f>O52*LOOKUP(O$8,Inputs!$G$48:$K$48,Inputs!$G$52:$K$52)/months_yr*O$6</f>
        <v>0</v>
      </c>
      <c r="P126" s="233">
        <f>P52*LOOKUP(P$8,Inputs!$G$48:$K$48,Inputs!$G$52:$K$52)/months_yr*P$6</f>
        <v>0</v>
      </c>
      <c r="Q126" s="233">
        <f>Q52*LOOKUP(Q$8,Inputs!$G$48:$K$48,Inputs!$G$52:$K$52)/months_yr*Q$6</f>
        <v>0</v>
      </c>
      <c r="R126" s="233">
        <f>R52*LOOKUP(R$8,Inputs!$G$48:$K$48,Inputs!$G$52:$K$52)/months_yr*R$6</f>
        <v>0</v>
      </c>
      <c r="S126" s="233">
        <f>S52*LOOKUP(S$8,Inputs!$G$48:$K$48,Inputs!$G$52:$K$52)/months_yr*S$6</f>
        <v>0</v>
      </c>
      <c r="T126" s="233">
        <f>T52*LOOKUP(T$8,Inputs!$G$48:$K$48,Inputs!$G$52:$K$52)/months_yr*T$6</f>
        <v>0</v>
      </c>
      <c r="U126" s="233">
        <f>U52*LOOKUP(U$8,Inputs!$G$48:$K$48,Inputs!$G$52:$K$52)/months_yr*U$6</f>
        <v>0</v>
      </c>
      <c r="V126" s="233">
        <f>V52*LOOKUP(V$8,Inputs!$G$48:$K$48,Inputs!$G$52:$K$52)/months_yr*V$6</f>
        <v>0</v>
      </c>
      <c r="W126" s="233">
        <f>W52*LOOKUP(W$8,Inputs!$G$48:$K$48,Inputs!$G$52:$K$52)/months_yr*W$6</f>
        <v>0</v>
      </c>
      <c r="X126" s="233">
        <f>X52*LOOKUP(X$8,Inputs!$G$48:$K$48,Inputs!$G$52:$K$52)/months_yr*X$6</f>
        <v>0</v>
      </c>
      <c r="Y126" s="233">
        <f>Y52*LOOKUP(Y$8,Inputs!$G$48:$K$48,Inputs!$G$52:$K$52)/months_yr*Y$6</f>
        <v>0</v>
      </c>
      <c r="Z126" s="233">
        <f>Z52*LOOKUP(Z$8,Inputs!$G$48:$K$48,Inputs!$G$52:$K$52)/months_yr*Z$6</f>
        <v>0</v>
      </c>
      <c r="AA126" s="233">
        <f>AA52*LOOKUP(AA$8,Inputs!$G$48:$K$48,Inputs!$G$52:$K$52)/months_yr*AA$6</f>
        <v>0</v>
      </c>
      <c r="AB126" s="233">
        <f>AB52*LOOKUP(AB$8,Inputs!$G$48:$K$48,Inputs!$G$52:$K$52)/months_yr*AB$6</f>
        <v>0</v>
      </c>
      <c r="AC126" s="233">
        <f>AC52*LOOKUP(AC$8,Inputs!$G$48:$K$48,Inputs!$G$52:$K$52)/months_yr*AC$6</f>
        <v>0</v>
      </c>
      <c r="AD126" s="233">
        <f>AD52*LOOKUP(AD$8,Inputs!$G$48:$K$48,Inputs!$G$52:$K$52)/months_yr*AD$6</f>
        <v>0</v>
      </c>
      <c r="AE126" s="233">
        <f>AE52*LOOKUP(AE$8,Inputs!$G$48:$K$48,Inputs!$G$52:$K$52)/months_yr*AE$6</f>
        <v>0</v>
      </c>
      <c r="AF126" s="233">
        <f>AF52*LOOKUP(AF$8,Inputs!$G$48:$K$48,Inputs!$G$52:$K$52)/months_yr*AF$6</f>
        <v>0</v>
      </c>
      <c r="AG126" s="233">
        <f>AG52*LOOKUP(AG$8,Inputs!$G$48:$K$48,Inputs!$G$52:$K$52)/months_yr*AG$6</f>
        <v>0</v>
      </c>
    </row>
    <row r="127" spans="1:33" ht="16.5" customHeight="1" outlineLevel="2">
      <c r="A127" s="128"/>
      <c r="B127" s="434"/>
      <c r="C127" s="75" t="s">
        <v>280</v>
      </c>
      <c r="D127" s="8" t="str">
        <f>Currency_Label</f>
        <v>USD</v>
      </c>
      <c r="E127" s="36"/>
      <c r="F127" s="36"/>
      <c r="G127" s="36"/>
      <c r="H127" s="36"/>
      <c r="I127" s="71">
        <f>SUM(J127:AG127)</f>
        <v>58699.999999999985</v>
      </c>
      <c r="J127" s="129">
        <f t="shared" ref="J127:AG127" si="19">SUM(J123:J126)</f>
        <v>1666.6666666666667</v>
      </c>
      <c r="K127" s="129">
        <f t="shared" si="19"/>
        <v>1666.6666666666667</v>
      </c>
      <c r="L127" s="129">
        <f t="shared" si="19"/>
        <v>1666.6666666666667</v>
      </c>
      <c r="M127" s="129">
        <f t="shared" si="19"/>
        <v>1666.6666666666667</v>
      </c>
      <c r="N127" s="129">
        <f t="shared" si="19"/>
        <v>1666.6666666666667</v>
      </c>
      <c r="O127" s="129">
        <f t="shared" si="19"/>
        <v>1666.6666666666667</v>
      </c>
      <c r="P127" s="129">
        <f t="shared" si="19"/>
        <v>1666.6666666666667</v>
      </c>
      <c r="Q127" s="129">
        <f t="shared" si="19"/>
        <v>3333.3333333333335</v>
      </c>
      <c r="R127" s="129">
        <f t="shared" si="19"/>
        <v>3333.3333333333335</v>
      </c>
      <c r="S127" s="129">
        <f t="shared" si="19"/>
        <v>3333.3333333333335</v>
      </c>
      <c r="T127" s="129">
        <f t="shared" si="19"/>
        <v>3366.6666666666665</v>
      </c>
      <c r="U127" s="129">
        <f t="shared" si="19"/>
        <v>3366.6666666666665</v>
      </c>
      <c r="V127" s="129">
        <f t="shared" si="19"/>
        <v>3366.6666666666665</v>
      </c>
      <c r="W127" s="129">
        <f t="shared" si="19"/>
        <v>3366.6666666666665</v>
      </c>
      <c r="X127" s="129">
        <f t="shared" si="19"/>
        <v>3366.6666666666665</v>
      </c>
      <c r="Y127" s="129">
        <f t="shared" si="19"/>
        <v>3366.6666666666665</v>
      </c>
      <c r="Z127" s="129">
        <f t="shared" si="19"/>
        <v>3366.6666666666665</v>
      </c>
      <c r="AA127" s="129">
        <f t="shared" si="19"/>
        <v>3366.6666666666665</v>
      </c>
      <c r="AB127" s="129">
        <f t="shared" si="19"/>
        <v>3366.6666666666665</v>
      </c>
      <c r="AC127" s="129">
        <f t="shared" si="19"/>
        <v>3366.6666666666665</v>
      </c>
      <c r="AD127" s="129">
        <f t="shared" si="19"/>
        <v>3366.6666666666665</v>
      </c>
      <c r="AE127" s="129">
        <f t="shared" si="19"/>
        <v>0</v>
      </c>
      <c r="AF127" s="129">
        <f t="shared" si="19"/>
        <v>0</v>
      </c>
      <c r="AG127" s="129">
        <f t="shared" si="19"/>
        <v>0</v>
      </c>
    </row>
    <row r="128" spans="1:33" ht="16.5" customHeight="1" outlineLevel="2">
      <c r="A128" s="128"/>
      <c r="B128" s="434"/>
      <c r="C128" s="128"/>
      <c r="D128" s="275"/>
      <c r="E128" s="128"/>
      <c r="F128" s="128"/>
      <c r="G128" s="128"/>
      <c r="H128" s="128"/>
      <c r="I128" s="332"/>
      <c r="J128" s="332"/>
      <c r="K128" s="332"/>
      <c r="L128" s="332"/>
      <c r="M128" s="332"/>
      <c r="N128" s="332"/>
      <c r="O128" s="332"/>
      <c r="P128" s="332"/>
      <c r="Q128" s="332"/>
      <c r="R128" s="332"/>
      <c r="S128" s="332"/>
      <c r="T128" s="332"/>
      <c r="U128" s="332"/>
      <c r="V128" s="332"/>
      <c r="W128" s="332"/>
      <c r="X128" s="332"/>
      <c r="Y128" s="332"/>
      <c r="Z128" s="332"/>
      <c r="AA128" s="332"/>
      <c r="AB128" s="332"/>
      <c r="AC128" s="332"/>
      <c r="AD128" s="332"/>
      <c r="AE128" s="332"/>
      <c r="AF128" s="332"/>
      <c r="AG128" s="332"/>
    </row>
    <row r="129" spans="1:33" ht="16.5" customHeight="1" outlineLevel="2">
      <c r="A129" s="128"/>
      <c r="B129" s="708">
        <f>B55</f>
        <v>7</v>
      </c>
      <c r="C129" s="331" t="str">
        <f>C55</f>
        <v>Integration Services</v>
      </c>
      <c r="D129" s="275"/>
      <c r="E129" s="128"/>
      <c r="F129" s="128"/>
      <c r="G129" s="128"/>
      <c r="H129" s="128"/>
      <c r="I129" s="332"/>
      <c r="J129" s="332"/>
      <c r="K129" s="332"/>
      <c r="L129" s="332"/>
      <c r="M129" s="332"/>
      <c r="N129" s="332"/>
      <c r="O129" s="332"/>
      <c r="P129" s="332"/>
      <c r="Q129" s="332"/>
      <c r="R129" s="332"/>
      <c r="S129" s="332"/>
      <c r="T129" s="332"/>
      <c r="U129" s="332"/>
      <c r="V129" s="332"/>
      <c r="W129" s="332"/>
      <c r="X129" s="332"/>
      <c r="Y129" s="332"/>
      <c r="Z129" s="332"/>
      <c r="AA129" s="332"/>
      <c r="AB129" s="332"/>
      <c r="AC129" s="332"/>
      <c r="AD129" s="332"/>
      <c r="AE129" s="332"/>
      <c r="AF129" s="332"/>
      <c r="AG129" s="332"/>
    </row>
    <row r="130" spans="1:33" ht="16.5" customHeight="1" outlineLevel="2">
      <c r="A130" s="128"/>
      <c r="B130" s="434"/>
      <c r="C130" s="40" t="str">
        <f>C56</f>
        <v>Fill in name or positon here</v>
      </c>
      <c r="D130" s="8" t="str">
        <f>Currency_Label</f>
        <v>USD</v>
      </c>
      <c r="E130" s="128"/>
      <c r="F130" s="128"/>
      <c r="G130" s="128"/>
      <c r="H130" s="128"/>
      <c r="I130" s="71">
        <f>SUM(J130:AG130)</f>
        <v>0</v>
      </c>
      <c r="J130" s="233">
        <f>J56*LOOKUP(J$8,Inputs!$G$48:$K$48,Inputs!$G$49:$K$49)/months_yr*J$6</f>
        <v>0</v>
      </c>
      <c r="K130" s="233">
        <f>K56*LOOKUP(K$8,Inputs!$G$48:$K$48,Inputs!$G$49:$K$49)/months_yr*K$6</f>
        <v>0</v>
      </c>
      <c r="L130" s="233">
        <f>L56*LOOKUP(L$8,Inputs!$G$48:$K$48,Inputs!$G$49:$K$49)/months_yr*L$6</f>
        <v>0</v>
      </c>
      <c r="M130" s="233">
        <f>M56*LOOKUP(M$8,Inputs!$G$48:$K$48,Inputs!$G$49:$K$49)/months_yr*M$6</f>
        <v>0</v>
      </c>
      <c r="N130" s="233">
        <f>N56*LOOKUP(N$8,Inputs!$G$48:$K$48,Inputs!$G$49:$K$49)/months_yr*N$6</f>
        <v>0</v>
      </c>
      <c r="O130" s="233">
        <f>O56*LOOKUP(O$8,Inputs!$G$48:$K$48,Inputs!$G$49:$K$49)/months_yr*O$6</f>
        <v>0</v>
      </c>
      <c r="P130" s="233">
        <f>P56*LOOKUP(P$8,Inputs!$G$48:$K$48,Inputs!$G$49:$K$49)/months_yr*P$6</f>
        <v>0</v>
      </c>
      <c r="Q130" s="233">
        <f>Q56*LOOKUP(Q$8,Inputs!$G$48:$K$48,Inputs!$G$49:$K$49)/months_yr*Q$6</f>
        <v>0</v>
      </c>
      <c r="R130" s="233">
        <f>R56*LOOKUP(R$8,Inputs!$G$48:$K$48,Inputs!$G$49:$K$49)/months_yr*R$6</f>
        <v>0</v>
      </c>
      <c r="S130" s="233">
        <f>S56*LOOKUP(S$8,Inputs!$G$48:$K$48,Inputs!$G$49:$K$49)/months_yr*S$6</f>
        <v>0</v>
      </c>
      <c r="T130" s="233">
        <f>T56*LOOKUP(T$8,Inputs!$G$48:$K$48,Inputs!$G$49:$K$49)/months_yr*T$6</f>
        <v>0</v>
      </c>
      <c r="U130" s="233">
        <f>U56*LOOKUP(U$8,Inputs!$G$48:$K$48,Inputs!$G$49:$K$49)/months_yr*U$6</f>
        <v>0</v>
      </c>
      <c r="V130" s="233">
        <f>V56*LOOKUP(V$8,Inputs!$G$48:$K$48,Inputs!$G$49:$K$49)/months_yr*V$6</f>
        <v>0</v>
      </c>
      <c r="W130" s="233">
        <f>W56*LOOKUP(W$8,Inputs!$G$48:$K$48,Inputs!$G$49:$K$49)/months_yr*W$6</f>
        <v>0</v>
      </c>
      <c r="X130" s="233">
        <f>X56*LOOKUP(X$8,Inputs!$G$48:$K$48,Inputs!$G$49:$K$49)/months_yr*X$6</f>
        <v>0</v>
      </c>
      <c r="Y130" s="233">
        <f>Y56*LOOKUP(Y$8,Inputs!$G$48:$K$48,Inputs!$G$49:$K$49)/months_yr*Y$6</f>
        <v>0</v>
      </c>
      <c r="Z130" s="233">
        <f>Z56*LOOKUP(Z$8,Inputs!$G$48:$K$48,Inputs!$G$49:$K$49)/months_yr*Z$6</f>
        <v>0</v>
      </c>
      <c r="AA130" s="233">
        <f>AA56*LOOKUP(AA$8,Inputs!$G$48:$K$48,Inputs!$G$49:$K$49)/months_yr*AA$6</f>
        <v>0</v>
      </c>
      <c r="AB130" s="233">
        <f>AB56*LOOKUP(AB$8,Inputs!$G$48:$K$48,Inputs!$G$49:$K$49)/months_yr*AB$6</f>
        <v>0</v>
      </c>
      <c r="AC130" s="233">
        <f>AC56*LOOKUP(AC$8,Inputs!$G$48:$K$48,Inputs!$G$49:$K$49)/months_yr*AC$6</f>
        <v>0</v>
      </c>
      <c r="AD130" s="233">
        <f>AD56*LOOKUP(AD$8,Inputs!$G$48:$K$48,Inputs!$G$49:$K$49)/months_yr*AD$6</f>
        <v>0</v>
      </c>
      <c r="AE130" s="233">
        <f>AE56*LOOKUP(AE$8,Inputs!$G$48:$K$48,Inputs!$G$49:$K$49)/months_yr*AE$6</f>
        <v>0</v>
      </c>
      <c r="AF130" s="233">
        <f>AF56*LOOKUP(AF$8,Inputs!$G$48:$K$48,Inputs!$G$49:$K$49)/months_yr*AF$6</f>
        <v>0</v>
      </c>
      <c r="AG130" s="233">
        <f>AG56*LOOKUP(AG$8,Inputs!$G$48:$K$48,Inputs!$G$49:$K$49)/months_yr*AG$6</f>
        <v>0</v>
      </c>
    </row>
    <row r="131" spans="1:33" ht="16.5" customHeight="1" outlineLevel="2">
      <c r="A131" s="128"/>
      <c r="B131" s="434"/>
      <c r="C131" s="40" t="str">
        <f>C57</f>
        <v>Fill in name or positon here</v>
      </c>
      <c r="D131" s="8" t="str">
        <f>Currency_Label</f>
        <v>USD</v>
      </c>
      <c r="E131" s="128"/>
      <c r="F131" s="128"/>
      <c r="G131" s="128"/>
      <c r="H131" s="128"/>
      <c r="I131" s="71">
        <f>SUM(J131:AG131)</f>
        <v>0</v>
      </c>
      <c r="J131" s="233">
        <f>J57*LOOKUP(J$8,Inputs!$G$48:$K$48,Inputs!$G$50:$K$50)/months_yr*J$6</f>
        <v>0</v>
      </c>
      <c r="K131" s="233">
        <f>K57*LOOKUP(K$8,Inputs!$G$48:$K$48,Inputs!$G$50:$K$50)/months_yr*K$6</f>
        <v>0</v>
      </c>
      <c r="L131" s="233">
        <f>L57*LOOKUP(L$8,Inputs!$G$48:$K$48,Inputs!$G$50:$K$50)/months_yr*L$6</f>
        <v>0</v>
      </c>
      <c r="M131" s="233">
        <f>M57*LOOKUP(M$8,Inputs!$G$48:$K$48,Inputs!$G$50:$K$50)/months_yr*M$6</f>
        <v>0</v>
      </c>
      <c r="N131" s="233">
        <f>N57*LOOKUP(N$8,Inputs!$G$48:$K$48,Inputs!$G$50:$K$50)/months_yr*N$6</f>
        <v>0</v>
      </c>
      <c r="O131" s="233">
        <f>O57*LOOKUP(O$8,Inputs!$G$48:$K$48,Inputs!$G$50:$K$50)/months_yr*O$6</f>
        <v>0</v>
      </c>
      <c r="P131" s="233">
        <f>P57*LOOKUP(P$8,Inputs!$G$48:$K$48,Inputs!$G$50:$K$50)/months_yr*P$6</f>
        <v>0</v>
      </c>
      <c r="Q131" s="233">
        <f>Q57*LOOKUP(Q$8,Inputs!$G$48:$K$48,Inputs!$G$50:$K$50)/months_yr*Q$6</f>
        <v>0</v>
      </c>
      <c r="R131" s="233">
        <f>R57*LOOKUP(R$8,Inputs!$G$48:$K$48,Inputs!$G$50:$K$50)/months_yr*R$6</f>
        <v>0</v>
      </c>
      <c r="S131" s="233">
        <f>S57*LOOKUP(S$8,Inputs!$G$48:$K$48,Inputs!$G$50:$K$50)/months_yr*S$6</f>
        <v>0</v>
      </c>
      <c r="T131" s="233">
        <f>T57*LOOKUP(T$8,Inputs!$G$48:$K$48,Inputs!$G$50:$K$50)/months_yr*T$6</f>
        <v>0</v>
      </c>
      <c r="U131" s="233">
        <f>U57*LOOKUP(U$8,Inputs!$G$48:$K$48,Inputs!$G$50:$K$50)/months_yr*U$6</f>
        <v>0</v>
      </c>
      <c r="V131" s="233">
        <f>V57*LOOKUP(V$8,Inputs!$G$48:$K$48,Inputs!$G$50:$K$50)/months_yr*V$6</f>
        <v>0</v>
      </c>
      <c r="W131" s="233">
        <f>W57*LOOKUP(W$8,Inputs!$G$48:$K$48,Inputs!$G$50:$K$50)/months_yr*W$6</f>
        <v>0</v>
      </c>
      <c r="X131" s="233">
        <f>X57*LOOKUP(X$8,Inputs!$G$48:$K$48,Inputs!$G$50:$K$50)/months_yr*X$6</f>
        <v>0</v>
      </c>
      <c r="Y131" s="233">
        <f>Y57*LOOKUP(Y$8,Inputs!$G$48:$K$48,Inputs!$G$50:$K$50)/months_yr*Y$6</f>
        <v>0</v>
      </c>
      <c r="Z131" s="233">
        <f>Z57*LOOKUP(Z$8,Inputs!$G$48:$K$48,Inputs!$G$50:$K$50)/months_yr*Z$6</f>
        <v>0</v>
      </c>
      <c r="AA131" s="233">
        <f>AA57*LOOKUP(AA$8,Inputs!$G$48:$K$48,Inputs!$G$50:$K$50)/months_yr*AA$6</f>
        <v>0</v>
      </c>
      <c r="AB131" s="233">
        <f>AB57*LOOKUP(AB$8,Inputs!$G$48:$K$48,Inputs!$G$50:$K$50)/months_yr*AB$6</f>
        <v>0</v>
      </c>
      <c r="AC131" s="233">
        <f>AC57*LOOKUP(AC$8,Inputs!$G$48:$K$48,Inputs!$G$50:$K$50)/months_yr*AC$6</f>
        <v>0</v>
      </c>
      <c r="AD131" s="233">
        <f>AD57*LOOKUP(AD$8,Inputs!$G$48:$K$48,Inputs!$G$50:$K$50)/months_yr*AD$6</f>
        <v>0</v>
      </c>
      <c r="AE131" s="233">
        <f>AE57*LOOKUP(AE$8,Inputs!$G$48:$K$48,Inputs!$G$50:$K$50)/months_yr*AE$6</f>
        <v>0</v>
      </c>
      <c r="AF131" s="233">
        <f>AF57*LOOKUP(AF$8,Inputs!$G$48:$K$48,Inputs!$G$50:$K$50)/months_yr*AF$6</f>
        <v>0</v>
      </c>
      <c r="AG131" s="233">
        <f>AG57*LOOKUP(AG$8,Inputs!$G$48:$K$48,Inputs!$G$50:$K$50)/months_yr*AG$6</f>
        <v>0</v>
      </c>
    </row>
    <row r="132" spans="1:33" ht="16.5" customHeight="1" outlineLevel="2">
      <c r="A132" s="128"/>
      <c r="B132" s="434"/>
      <c r="C132" s="40" t="str">
        <f>C58</f>
        <v>Fill in name or positon here</v>
      </c>
      <c r="D132" s="8" t="str">
        <f>Currency_Label</f>
        <v>USD</v>
      </c>
      <c r="E132" s="128"/>
      <c r="F132" s="128"/>
      <c r="G132" s="128"/>
      <c r="H132" s="128"/>
      <c r="I132" s="71">
        <f>SUM(J132:AG132)</f>
        <v>0</v>
      </c>
      <c r="J132" s="233">
        <f>J58*LOOKUP(J$8,Inputs!$G$48:$K$48,Inputs!$G$51:$K$51)/months_yr*J$6</f>
        <v>0</v>
      </c>
      <c r="K132" s="233">
        <f>K58*LOOKUP(K$8,Inputs!$G$48:$K$48,Inputs!$G$51:$K$51)/months_yr*K$6</f>
        <v>0</v>
      </c>
      <c r="L132" s="233">
        <f>L58*LOOKUP(L$8,Inputs!$G$48:$K$48,Inputs!$G$51:$K$51)/months_yr*L$6</f>
        <v>0</v>
      </c>
      <c r="M132" s="233">
        <f>M58*LOOKUP(M$8,Inputs!$G$48:$K$48,Inputs!$G$51:$K$51)/months_yr*M$6</f>
        <v>0</v>
      </c>
      <c r="N132" s="233">
        <f>N58*LOOKUP(N$8,Inputs!$G$48:$K$48,Inputs!$G$51:$K$51)/months_yr*N$6</f>
        <v>0</v>
      </c>
      <c r="O132" s="233">
        <f>O58*LOOKUP(O$8,Inputs!$G$48:$K$48,Inputs!$G$51:$K$51)/months_yr*O$6</f>
        <v>0</v>
      </c>
      <c r="P132" s="233">
        <f>P58*LOOKUP(P$8,Inputs!$G$48:$K$48,Inputs!$G$51:$K$51)/months_yr*P$6</f>
        <v>0</v>
      </c>
      <c r="Q132" s="233">
        <f>Q58*LOOKUP(Q$8,Inputs!$G$48:$K$48,Inputs!$G$51:$K$51)/months_yr*Q$6</f>
        <v>0</v>
      </c>
      <c r="R132" s="233">
        <f>R58*LOOKUP(R$8,Inputs!$G$48:$K$48,Inputs!$G$51:$K$51)/months_yr*R$6</f>
        <v>0</v>
      </c>
      <c r="S132" s="233">
        <f>S58*LOOKUP(S$8,Inputs!$G$48:$K$48,Inputs!$G$51:$K$51)/months_yr*S$6</f>
        <v>0</v>
      </c>
      <c r="T132" s="233">
        <f>T58*LOOKUP(T$8,Inputs!$G$48:$K$48,Inputs!$G$51:$K$51)/months_yr*T$6</f>
        <v>0</v>
      </c>
      <c r="U132" s="233">
        <f>U58*LOOKUP(U$8,Inputs!$G$48:$K$48,Inputs!$G$51:$K$51)/months_yr*U$6</f>
        <v>0</v>
      </c>
      <c r="V132" s="233">
        <f>V58*LOOKUP(V$8,Inputs!$G$48:$K$48,Inputs!$G$51:$K$51)/months_yr*V$6</f>
        <v>0</v>
      </c>
      <c r="W132" s="233">
        <f>W58*LOOKUP(W$8,Inputs!$G$48:$K$48,Inputs!$G$51:$K$51)/months_yr*W$6</f>
        <v>0</v>
      </c>
      <c r="X132" s="233">
        <f>X58*LOOKUP(X$8,Inputs!$G$48:$K$48,Inputs!$G$51:$K$51)/months_yr*X$6</f>
        <v>0</v>
      </c>
      <c r="Y132" s="233">
        <f>Y58*LOOKUP(Y$8,Inputs!$G$48:$K$48,Inputs!$G$51:$K$51)/months_yr*Y$6</f>
        <v>0</v>
      </c>
      <c r="Z132" s="233">
        <f>Z58*LOOKUP(Z$8,Inputs!$G$48:$K$48,Inputs!$G$51:$K$51)/months_yr*Z$6</f>
        <v>0</v>
      </c>
      <c r="AA132" s="233">
        <f>AA58*LOOKUP(AA$8,Inputs!$G$48:$K$48,Inputs!$G$51:$K$51)/months_yr*AA$6</f>
        <v>0</v>
      </c>
      <c r="AB132" s="233">
        <f>AB58*LOOKUP(AB$8,Inputs!$G$48:$K$48,Inputs!$G$51:$K$51)/months_yr*AB$6</f>
        <v>0</v>
      </c>
      <c r="AC132" s="233">
        <f>AC58*LOOKUP(AC$8,Inputs!$G$48:$K$48,Inputs!$G$51:$K$51)/months_yr*AC$6</f>
        <v>0</v>
      </c>
      <c r="AD132" s="233">
        <f>AD58*LOOKUP(AD$8,Inputs!$G$48:$K$48,Inputs!$G$51:$K$51)/months_yr*AD$6</f>
        <v>0</v>
      </c>
      <c r="AE132" s="233">
        <f>AE58*LOOKUP(AE$8,Inputs!$G$48:$K$48,Inputs!$G$51:$K$51)/months_yr*AE$6</f>
        <v>0</v>
      </c>
      <c r="AF132" s="233">
        <f>AF58*LOOKUP(AF$8,Inputs!$G$48:$K$48,Inputs!$G$51:$K$51)/months_yr*AF$6</f>
        <v>0</v>
      </c>
      <c r="AG132" s="233">
        <f>AG58*LOOKUP(AG$8,Inputs!$G$48:$K$48,Inputs!$G$51:$K$51)/months_yr*AG$6</f>
        <v>0</v>
      </c>
    </row>
    <row r="133" spans="1:33" ht="16.5" customHeight="1" outlineLevel="2">
      <c r="A133" s="128"/>
      <c r="B133" s="434"/>
      <c r="C133" s="40" t="str">
        <f>C59</f>
        <v>Fill in name or positon here</v>
      </c>
      <c r="D133" s="8" t="str">
        <f>Currency_Label</f>
        <v>USD</v>
      </c>
      <c r="E133" s="128"/>
      <c r="F133" s="128"/>
      <c r="G133" s="128"/>
      <c r="H133" s="128"/>
      <c r="I133" s="71">
        <f>SUM(J133:AG133)</f>
        <v>0</v>
      </c>
      <c r="J133" s="233">
        <f>J59*LOOKUP(J$8,Inputs!$G$48:$K$48,Inputs!$G$52:$K$52)/months_yr*J$6</f>
        <v>0</v>
      </c>
      <c r="K133" s="233">
        <f>K59*LOOKUP(K$8,Inputs!$G$48:$K$48,Inputs!$G$52:$K$52)/months_yr*K$6</f>
        <v>0</v>
      </c>
      <c r="L133" s="233">
        <f>L59*LOOKUP(L$8,Inputs!$G$48:$K$48,Inputs!$G$52:$K$52)/months_yr*L$6</f>
        <v>0</v>
      </c>
      <c r="M133" s="233">
        <f>M59*LOOKUP(M$8,Inputs!$G$48:$K$48,Inputs!$G$52:$K$52)/months_yr*M$6</f>
        <v>0</v>
      </c>
      <c r="N133" s="233">
        <f>N59*LOOKUP(N$8,Inputs!$G$48:$K$48,Inputs!$G$52:$K$52)/months_yr*N$6</f>
        <v>0</v>
      </c>
      <c r="O133" s="233">
        <f>O59*LOOKUP(O$8,Inputs!$G$48:$K$48,Inputs!$G$52:$K$52)/months_yr*O$6</f>
        <v>0</v>
      </c>
      <c r="P133" s="233">
        <f>P59*LOOKUP(P$8,Inputs!$G$48:$K$48,Inputs!$G$52:$K$52)/months_yr*P$6</f>
        <v>0</v>
      </c>
      <c r="Q133" s="233">
        <f>Q59*LOOKUP(Q$8,Inputs!$G$48:$K$48,Inputs!$G$52:$K$52)/months_yr*Q$6</f>
        <v>0</v>
      </c>
      <c r="R133" s="233">
        <f>R59*LOOKUP(R$8,Inputs!$G$48:$K$48,Inputs!$G$52:$K$52)/months_yr*R$6</f>
        <v>0</v>
      </c>
      <c r="S133" s="233">
        <f>S59*LOOKUP(S$8,Inputs!$G$48:$K$48,Inputs!$G$52:$K$52)/months_yr*S$6</f>
        <v>0</v>
      </c>
      <c r="T133" s="233">
        <f>T59*LOOKUP(T$8,Inputs!$G$48:$K$48,Inputs!$G$52:$K$52)/months_yr*T$6</f>
        <v>0</v>
      </c>
      <c r="U133" s="233">
        <f>U59*LOOKUP(U$8,Inputs!$G$48:$K$48,Inputs!$G$52:$K$52)/months_yr*U$6</f>
        <v>0</v>
      </c>
      <c r="V133" s="233">
        <f>V59*LOOKUP(V$8,Inputs!$G$48:$K$48,Inputs!$G$52:$K$52)/months_yr*V$6</f>
        <v>0</v>
      </c>
      <c r="W133" s="233">
        <f>W59*LOOKUP(W$8,Inputs!$G$48:$K$48,Inputs!$G$52:$K$52)/months_yr*W$6</f>
        <v>0</v>
      </c>
      <c r="X133" s="233">
        <f>X59*LOOKUP(X$8,Inputs!$G$48:$K$48,Inputs!$G$52:$K$52)/months_yr*X$6</f>
        <v>0</v>
      </c>
      <c r="Y133" s="233">
        <f>Y59*LOOKUP(Y$8,Inputs!$G$48:$K$48,Inputs!$G$52:$K$52)/months_yr*Y$6</f>
        <v>0</v>
      </c>
      <c r="Z133" s="233">
        <f>Z59*LOOKUP(Z$8,Inputs!$G$48:$K$48,Inputs!$G$52:$K$52)/months_yr*Z$6</f>
        <v>0</v>
      </c>
      <c r="AA133" s="233">
        <f>AA59*LOOKUP(AA$8,Inputs!$G$48:$K$48,Inputs!$G$52:$K$52)/months_yr*AA$6</f>
        <v>0</v>
      </c>
      <c r="AB133" s="233">
        <f>AB59*LOOKUP(AB$8,Inputs!$G$48:$K$48,Inputs!$G$52:$K$52)/months_yr*AB$6</f>
        <v>0</v>
      </c>
      <c r="AC133" s="233">
        <f>AC59*LOOKUP(AC$8,Inputs!$G$48:$K$48,Inputs!$G$52:$K$52)/months_yr*AC$6</f>
        <v>0</v>
      </c>
      <c r="AD133" s="233">
        <f>AD59*LOOKUP(AD$8,Inputs!$G$48:$K$48,Inputs!$G$52:$K$52)/months_yr*AD$6</f>
        <v>0</v>
      </c>
      <c r="AE133" s="233">
        <f>AE59*LOOKUP(AE$8,Inputs!$G$48:$K$48,Inputs!$G$52:$K$52)/months_yr*AE$6</f>
        <v>0</v>
      </c>
      <c r="AF133" s="233">
        <f>AF59*LOOKUP(AF$8,Inputs!$G$48:$K$48,Inputs!$G$52:$K$52)/months_yr*AF$6</f>
        <v>0</v>
      </c>
      <c r="AG133" s="233">
        <f>AG59*LOOKUP(AG$8,Inputs!$G$48:$K$48,Inputs!$G$52:$K$52)/months_yr*AG$6</f>
        <v>0</v>
      </c>
    </row>
    <row r="134" spans="1:33" ht="16.5" customHeight="1" outlineLevel="2">
      <c r="A134" s="128"/>
      <c r="B134" s="434"/>
      <c r="C134" s="75" t="s">
        <v>280</v>
      </c>
      <c r="D134" s="8" t="str">
        <f>Currency_Label</f>
        <v>USD</v>
      </c>
      <c r="E134" s="36"/>
      <c r="F134" s="36"/>
      <c r="G134" s="36"/>
      <c r="H134" s="36"/>
      <c r="I134" s="71">
        <f>SUM(J134:AG134)</f>
        <v>0</v>
      </c>
      <c r="J134" s="129">
        <f t="shared" ref="J134:AG134" si="20">SUM(J130:J133)</f>
        <v>0</v>
      </c>
      <c r="K134" s="129">
        <f t="shared" si="20"/>
        <v>0</v>
      </c>
      <c r="L134" s="129">
        <f t="shared" si="20"/>
        <v>0</v>
      </c>
      <c r="M134" s="129">
        <f t="shared" si="20"/>
        <v>0</v>
      </c>
      <c r="N134" s="129">
        <f t="shared" si="20"/>
        <v>0</v>
      </c>
      <c r="O134" s="129">
        <f t="shared" si="20"/>
        <v>0</v>
      </c>
      <c r="P134" s="129">
        <f t="shared" si="20"/>
        <v>0</v>
      </c>
      <c r="Q134" s="129">
        <f t="shared" si="20"/>
        <v>0</v>
      </c>
      <c r="R134" s="129">
        <f t="shared" si="20"/>
        <v>0</v>
      </c>
      <c r="S134" s="129">
        <f t="shared" si="20"/>
        <v>0</v>
      </c>
      <c r="T134" s="129">
        <f t="shared" si="20"/>
        <v>0</v>
      </c>
      <c r="U134" s="129">
        <f t="shared" si="20"/>
        <v>0</v>
      </c>
      <c r="V134" s="129">
        <f t="shared" si="20"/>
        <v>0</v>
      </c>
      <c r="W134" s="129">
        <f t="shared" si="20"/>
        <v>0</v>
      </c>
      <c r="X134" s="129">
        <f t="shared" si="20"/>
        <v>0</v>
      </c>
      <c r="Y134" s="129">
        <f t="shared" si="20"/>
        <v>0</v>
      </c>
      <c r="Z134" s="129">
        <f t="shared" si="20"/>
        <v>0</v>
      </c>
      <c r="AA134" s="129">
        <f t="shared" si="20"/>
        <v>0</v>
      </c>
      <c r="AB134" s="129">
        <f t="shared" si="20"/>
        <v>0</v>
      </c>
      <c r="AC134" s="129">
        <f t="shared" si="20"/>
        <v>0</v>
      </c>
      <c r="AD134" s="129">
        <f t="shared" si="20"/>
        <v>0</v>
      </c>
      <c r="AE134" s="129">
        <f t="shared" si="20"/>
        <v>0</v>
      </c>
      <c r="AF134" s="129">
        <f t="shared" si="20"/>
        <v>0</v>
      </c>
      <c r="AG134" s="129">
        <f t="shared" si="20"/>
        <v>0</v>
      </c>
    </row>
    <row r="135" spans="1:33" ht="16.5" customHeight="1" outlineLevel="2">
      <c r="A135" s="128"/>
      <c r="B135" s="128"/>
      <c r="C135" s="128"/>
      <c r="D135" s="275"/>
      <c r="E135" s="128"/>
      <c r="F135" s="128"/>
      <c r="G135" s="128"/>
      <c r="H135" s="128"/>
      <c r="I135" s="332"/>
      <c r="J135" s="332"/>
      <c r="K135" s="332"/>
      <c r="L135" s="332"/>
      <c r="M135" s="332"/>
      <c r="N135" s="332"/>
      <c r="O135" s="332"/>
      <c r="P135" s="332"/>
      <c r="Q135" s="332"/>
      <c r="R135" s="332"/>
      <c r="S135" s="332"/>
      <c r="T135" s="332"/>
      <c r="U135" s="332"/>
      <c r="V135" s="332"/>
      <c r="W135" s="332"/>
      <c r="X135" s="332"/>
      <c r="Y135" s="332"/>
      <c r="Z135" s="332"/>
      <c r="AA135" s="332"/>
      <c r="AB135" s="332"/>
      <c r="AC135" s="332"/>
      <c r="AD135" s="332"/>
      <c r="AE135" s="332"/>
      <c r="AF135" s="332"/>
      <c r="AG135" s="332"/>
    </row>
    <row r="136" spans="1:33" ht="16.5" customHeight="1" outlineLevel="2">
      <c r="A136" s="128"/>
      <c r="B136" s="708">
        <f>B62</f>
        <v>8</v>
      </c>
      <c r="C136" s="331" t="str">
        <f>C62</f>
        <v>Consulting Services</v>
      </c>
      <c r="D136" s="275"/>
      <c r="E136" s="128"/>
      <c r="F136" s="128"/>
      <c r="G136" s="128"/>
      <c r="H136" s="128"/>
      <c r="I136" s="332"/>
      <c r="J136" s="332"/>
      <c r="K136" s="332"/>
      <c r="L136" s="332"/>
      <c r="M136" s="332"/>
      <c r="N136" s="332"/>
      <c r="O136" s="332"/>
      <c r="P136" s="332"/>
      <c r="Q136" s="332"/>
      <c r="R136" s="332"/>
      <c r="S136" s="332"/>
      <c r="T136" s="332"/>
      <c r="U136" s="332"/>
      <c r="V136" s="332"/>
      <c r="W136" s="332"/>
      <c r="X136" s="332"/>
      <c r="Y136" s="332"/>
      <c r="Z136" s="332"/>
      <c r="AA136" s="332"/>
      <c r="AB136" s="332"/>
      <c r="AC136" s="332"/>
      <c r="AD136" s="332"/>
      <c r="AE136" s="332"/>
      <c r="AF136" s="332"/>
      <c r="AG136" s="332"/>
    </row>
    <row r="137" spans="1:33" ht="16.5" customHeight="1" outlineLevel="2">
      <c r="A137" s="128"/>
      <c r="B137" s="434"/>
      <c r="C137" s="40" t="str">
        <f>C63</f>
        <v>Fill in name or positon here</v>
      </c>
      <c r="D137" s="8" t="str">
        <f>Currency_Label</f>
        <v>USD</v>
      </c>
      <c r="E137" s="128"/>
      <c r="F137" s="128"/>
      <c r="G137" s="128"/>
      <c r="H137" s="128"/>
      <c r="I137" s="71">
        <f>SUM(J137:AG137)</f>
        <v>0</v>
      </c>
      <c r="J137" s="233">
        <f>J63*LOOKUP(J$8,Inputs!$G$48:$K$48,Inputs!$G$49:$K$49)/months_yr*J$6</f>
        <v>0</v>
      </c>
      <c r="K137" s="233">
        <f>K63*LOOKUP(K$8,Inputs!$G$48:$K$48,Inputs!$G$49:$K$49)/months_yr*K$6</f>
        <v>0</v>
      </c>
      <c r="L137" s="233">
        <f>L63*LOOKUP(L$8,Inputs!$G$48:$K$48,Inputs!$G$49:$K$49)/months_yr*L$6</f>
        <v>0</v>
      </c>
      <c r="M137" s="233">
        <f>M63*LOOKUP(M$8,Inputs!$G$48:$K$48,Inputs!$G$49:$K$49)/months_yr*M$6</f>
        <v>0</v>
      </c>
      <c r="N137" s="233">
        <f>N63*LOOKUP(N$8,Inputs!$G$48:$K$48,Inputs!$G$49:$K$49)/months_yr*N$6</f>
        <v>0</v>
      </c>
      <c r="O137" s="233">
        <f>O63*LOOKUP(O$8,Inputs!$G$48:$K$48,Inputs!$G$49:$K$49)/months_yr*O$6</f>
        <v>0</v>
      </c>
      <c r="P137" s="233">
        <f>P63*LOOKUP(P$8,Inputs!$G$48:$K$48,Inputs!$G$49:$K$49)/months_yr*P$6</f>
        <v>0</v>
      </c>
      <c r="Q137" s="233">
        <f>Q63*LOOKUP(Q$8,Inputs!$G$48:$K$48,Inputs!$G$49:$K$49)/months_yr*Q$6</f>
        <v>0</v>
      </c>
      <c r="R137" s="233">
        <f>R63*LOOKUP(R$8,Inputs!$G$48:$K$48,Inputs!$G$49:$K$49)/months_yr*R$6</f>
        <v>0</v>
      </c>
      <c r="S137" s="233">
        <f>S63*LOOKUP(S$8,Inputs!$G$48:$K$48,Inputs!$G$49:$K$49)/months_yr*S$6</f>
        <v>0</v>
      </c>
      <c r="T137" s="233">
        <f>T63*LOOKUP(T$8,Inputs!$G$48:$K$48,Inputs!$G$49:$K$49)/months_yr*T$6</f>
        <v>0</v>
      </c>
      <c r="U137" s="233">
        <f>U63*LOOKUP(U$8,Inputs!$G$48:$K$48,Inputs!$G$49:$K$49)/months_yr*U$6</f>
        <v>0</v>
      </c>
      <c r="V137" s="233">
        <f>V63*LOOKUP(V$8,Inputs!$G$48:$K$48,Inputs!$G$49:$K$49)/months_yr*V$6</f>
        <v>0</v>
      </c>
      <c r="W137" s="233">
        <f>W63*LOOKUP(W$8,Inputs!$G$48:$K$48,Inputs!$G$49:$K$49)/months_yr*W$6</f>
        <v>0</v>
      </c>
      <c r="X137" s="233">
        <f>X63*LOOKUP(X$8,Inputs!$G$48:$K$48,Inputs!$G$49:$K$49)/months_yr*X$6</f>
        <v>0</v>
      </c>
      <c r="Y137" s="233">
        <f>Y63*LOOKUP(Y$8,Inputs!$G$48:$K$48,Inputs!$G$49:$K$49)/months_yr*Y$6</f>
        <v>0</v>
      </c>
      <c r="Z137" s="233">
        <f>Z63*LOOKUP(Z$8,Inputs!$G$48:$K$48,Inputs!$G$49:$K$49)/months_yr*Z$6</f>
        <v>0</v>
      </c>
      <c r="AA137" s="233">
        <f>AA63*LOOKUP(AA$8,Inputs!$G$48:$K$48,Inputs!$G$49:$K$49)/months_yr*AA$6</f>
        <v>0</v>
      </c>
      <c r="AB137" s="233">
        <f>AB63*LOOKUP(AB$8,Inputs!$G$48:$K$48,Inputs!$G$49:$K$49)/months_yr*AB$6</f>
        <v>0</v>
      </c>
      <c r="AC137" s="233">
        <f>AC63*LOOKUP(AC$8,Inputs!$G$48:$K$48,Inputs!$G$49:$K$49)/months_yr*AC$6</f>
        <v>0</v>
      </c>
      <c r="AD137" s="233">
        <f>AD63*LOOKUP(AD$8,Inputs!$G$48:$K$48,Inputs!$G$49:$K$49)/months_yr*AD$6</f>
        <v>0</v>
      </c>
      <c r="AE137" s="233">
        <f>AE63*LOOKUP(AE$8,Inputs!$G$48:$K$48,Inputs!$G$49:$K$49)/months_yr*AE$6</f>
        <v>0</v>
      </c>
      <c r="AF137" s="233">
        <f>AF63*LOOKUP(AF$8,Inputs!$G$48:$K$48,Inputs!$G$49:$K$49)/months_yr*AF$6</f>
        <v>0</v>
      </c>
      <c r="AG137" s="233">
        <f>AG63*LOOKUP(AG$8,Inputs!$G$48:$K$48,Inputs!$G$49:$K$49)/months_yr*AG$6</f>
        <v>0</v>
      </c>
    </row>
    <row r="138" spans="1:33" ht="16.5" customHeight="1" outlineLevel="2">
      <c r="A138" s="128"/>
      <c r="B138" s="434"/>
      <c r="C138" s="40" t="str">
        <f>C64</f>
        <v>Fill in name or positon here</v>
      </c>
      <c r="D138" s="8" t="str">
        <f>Currency_Label</f>
        <v>USD</v>
      </c>
      <c r="E138" s="128"/>
      <c r="F138" s="128"/>
      <c r="G138" s="128"/>
      <c r="H138" s="128"/>
      <c r="I138" s="71">
        <f>SUM(J138:AG138)</f>
        <v>0</v>
      </c>
      <c r="J138" s="233">
        <f>J64*LOOKUP(J$8,Inputs!$G$48:$K$48,Inputs!$G$50:$K$50)/months_yr*J$6</f>
        <v>0</v>
      </c>
      <c r="K138" s="233">
        <f>K64*LOOKUP(K$8,Inputs!$G$48:$K$48,Inputs!$G$50:$K$50)/months_yr*K$6</f>
        <v>0</v>
      </c>
      <c r="L138" s="233">
        <f>L64*LOOKUP(L$8,Inputs!$G$48:$K$48,Inputs!$G$50:$K$50)/months_yr*L$6</f>
        <v>0</v>
      </c>
      <c r="M138" s="233">
        <f>M64*LOOKUP(M$8,Inputs!$G$48:$K$48,Inputs!$G$50:$K$50)/months_yr*M$6</f>
        <v>0</v>
      </c>
      <c r="N138" s="233">
        <f>N64*LOOKUP(N$8,Inputs!$G$48:$K$48,Inputs!$G$50:$K$50)/months_yr*N$6</f>
        <v>0</v>
      </c>
      <c r="O138" s="233">
        <f>O64*LOOKUP(O$8,Inputs!$G$48:$K$48,Inputs!$G$50:$K$50)/months_yr*O$6</f>
        <v>0</v>
      </c>
      <c r="P138" s="233">
        <f>P64*LOOKUP(P$8,Inputs!$G$48:$K$48,Inputs!$G$50:$K$50)/months_yr*P$6</f>
        <v>0</v>
      </c>
      <c r="Q138" s="233">
        <f>Q64*LOOKUP(Q$8,Inputs!$G$48:$K$48,Inputs!$G$50:$K$50)/months_yr*Q$6</f>
        <v>0</v>
      </c>
      <c r="R138" s="233">
        <f>R64*LOOKUP(R$8,Inputs!$G$48:$K$48,Inputs!$G$50:$K$50)/months_yr*R$6</f>
        <v>0</v>
      </c>
      <c r="S138" s="233">
        <f>S64*LOOKUP(S$8,Inputs!$G$48:$K$48,Inputs!$G$50:$K$50)/months_yr*S$6</f>
        <v>0</v>
      </c>
      <c r="T138" s="233">
        <f>T64*LOOKUP(T$8,Inputs!$G$48:$K$48,Inputs!$G$50:$K$50)/months_yr*T$6</f>
        <v>0</v>
      </c>
      <c r="U138" s="233">
        <f>U64*LOOKUP(U$8,Inputs!$G$48:$K$48,Inputs!$G$50:$K$50)/months_yr*U$6</f>
        <v>0</v>
      </c>
      <c r="V138" s="233">
        <f>V64*LOOKUP(V$8,Inputs!$G$48:$K$48,Inputs!$G$50:$K$50)/months_yr*V$6</f>
        <v>0</v>
      </c>
      <c r="W138" s="233">
        <f>W64*LOOKUP(W$8,Inputs!$G$48:$K$48,Inputs!$G$50:$K$50)/months_yr*W$6</f>
        <v>0</v>
      </c>
      <c r="X138" s="233">
        <f>X64*LOOKUP(X$8,Inputs!$G$48:$K$48,Inputs!$G$50:$K$50)/months_yr*X$6</f>
        <v>0</v>
      </c>
      <c r="Y138" s="233">
        <f>Y64*LOOKUP(Y$8,Inputs!$G$48:$K$48,Inputs!$G$50:$K$50)/months_yr*Y$6</f>
        <v>0</v>
      </c>
      <c r="Z138" s="233">
        <f>Z64*LOOKUP(Z$8,Inputs!$G$48:$K$48,Inputs!$G$50:$K$50)/months_yr*Z$6</f>
        <v>0</v>
      </c>
      <c r="AA138" s="233">
        <f>AA64*LOOKUP(AA$8,Inputs!$G$48:$K$48,Inputs!$G$50:$K$50)/months_yr*AA$6</f>
        <v>0</v>
      </c>
      <c r="AB138" s="233">
        <f>AB64*LOOKUP(AB$8,Inputs!$G$48:$K$48,Inputs!$G$50:$K$50)/months_yr*AB$6</f>
        <v>0</v>
      </c>
      <c r="AC138" s="233">
        <f>AC64*LOOKUP(AC$8,Inputs!$G$48:$K$48,Inputs!$G$50:$K$50)/months_yr*AC$6</f>
        <v>0</v>
      </c>
      <c r="AD138" s="233">
        <f>AD64*LOOKUP(AD$8,Inputs!$G$48:$K$48,Inputs!$G$50:$K$50)/months_yr*AD$6</f>
        <v>0</v>
      </c>
      <c r="AE138" s="233">
        <f>AE64*LOOKUP(AE$8,Inputs!$G$48:$K$48,Inputs!$G$50:$K$50)/months_yr*AE$6</f>
        <v>0</v>
      </c>
      <c r="AF138" s="233">
        <f>AF64*LOOKUP(AF$8,Inputs!$G$48:$K$48,Inputs!$G$50:$K$50)/months_yr*AF$6</f>
        <v>0</v>
      </c>
      <c r="AG138" s="233">
        <f>AG64*LOOKUP(AG$8,Inputs!$G$48:$K$48,Inputs!$G$50:$K$50)/months_yr*AG$6</f>
        <v>0</v>
      </c>
    </row>
    <row r="139" spans="1:33" ht="16.5" customHeight="1" outlineLevel="2">
      <c r="A139" s="128"/>
      <c r="B139" s="434"/>
      <c r="C139" s="40" t="str">
        <f>C65</f>
        <v>Fill in name or positon here</v>
      </c>
      <c r="D139" s="8" t="str">
        <f>Currency_Label</f>
        <v>USD</v>
      </c>
      <c r="E139" s="128"/>
      <c r="F139" s="128"/>
      <c r="G139" s="128"/>
      <c r="H139" s="128"/>
      <c r="I139" s="71">
        <f>SUM(J139:AG139)</f>
        <v>0</v>
      </c>
      <c r="J139" s="233">
        <f>J65*LOOKUP(J$8,Inputs!$G$48:$K$48,Inputs!$G$51:$K$51)/months_yr*J$6</f>
        <v>0</v>
      </c>
      <c r="K139" s="233">
        <f>K65*LOOKUP(K$8,Inputs!$G$48:$K$48,Inputs!$G$51:$K$51)/months_yr*K$6</f>
        <v>0</v>
      </c>
      <c r="L139" s="233">
        <f>L65*LOOKUP(L$8,Inputs!$G$48:$K$48,Inputs!$G$51:$K$51)/months_yr*L$6</f>
        <v>0</v>
      </c>
      <c r="M139" s="233">
        <f>M65*LOOKUP(M$8,Inputs!$G$48:$K$48,Inputs!$G$51:$K$51)/months_yr*M$6</f>
        <v>0</v>
      </c>
      <c r="N139" s="233">
        <f>N65*LOOKUP(N$8,Inputs!$G$48:$K$48,Inputs!$G$51:$K$51)/months_yr*N$6</f>
        <v>0</v>
      </c>
      <c r="O139" s="233">
        <f>O65*LOOKUP(O$8,Inputs!$G$48:$K$48,Inputs!$G$51:$K$51)/months_yr*O$6</f>
        <v>0</v>
      </c>
      <c r="P139" s="233">
        <f>P65*LOOKUP(P$8,Inputs!$G$48:$K$48,Inputs!$G$51:$K$51)/months_yr*P$6</f>
        <v>0</v>
      </c>
      <c r="Q139" s="233">
        <f>Q65*LOOKUP(Q$8,Inputs!$G$48:$K$48,Inputs!$G$51:$K$51)/months_yr*Q$6</f>
        <v>0</v>
      </c>
      <c r="R139" s="233">
        <f>R65*LOOKUP(R$8,Inputs!$G$48:$K$48,Inputs!$G$51:$K$51)/months_yr*R$6</f>
        <v>0</v>
      </c>
      <c r="S139" s="233">
        <f>S65*LOOKUP(S$8,Inputs!$G$48:$K$48,Inputs!$G$51:$K$51)/months_yr*S$6</f>
        <v>0</v>
      </c>
      <c r="T139" s="233">
        <f>T65*LOOKUP(T$8,Inputs!$G$48:$K$48,Inputs!$G$51:$K$51)/months_yr*T$6</f>
        <v>0</v>
      </c>
      <c r="U139" s="233">
        <f>U65*LOOKUP(U$8,Inputs!$G$48:$K$48,Inputs!$G$51:$K$51)/months_yr*U$6</f>
        <v>0</v>
      </c>
      <c r="V139" s="233">
        <f>V65*LOOKUP(V$8,Inputs!$G$48:$K$48,Inputs!$G$51:$K$51)/months_yr*V$6</f>
        <v>0</v>
      </c>
      <c r="W139" s="233">
        <f>W65*LOOKUP(W$8,Inputs!$G$48:$K$48,Inputs!$G$51:$K$51)/months_yr*W$6</f>
        <v>0</v>
      </c>
      <c r="X139" s="233">
        <f>X65*LOOKUP(X$8,Inputs!$G$48:$K$48,Inputs!$G$51:$K$51)/months_yr*X$6</f>
        <v>0</v>
      </c>
      <c r="Y139" s="233">
        <f>Y65*LOOKUP(Y$8,Inputs!$G$48:$K$48,Inputs!$G$51:$K$51)/months_yr*Y$6</f>
        <v>0</v>
      </c>
      <c r="Z139" s="233">
        <f>Z65*LOOKUP(Z$8,Inputs!$G$48:$K$48,Inputs!$G$51:$K$51)/months_yr*Z$6</f>
        <v>0</v>
      </c>
      <c r="AA139" s="233">
        <f>AA65*LOOKUP(AA$8,Inputs!$G$48:$K$48,Inputs!$G$51:$K$51)/months_yr*AA$6</f>
        <v>0</v>
      </c>
      <c r="AB139" s="233">
        <f>AB65*LOOKUP(AB$8,Inputs!$G$48:$K$48,Inputs!$G$51:$K$51)/months_yr*AB$6</f>
        <v>0</v>
      </c>
      <c r="AC139" s="233">
        <f>AC65*LOOKUP(AC$8,Inputs!$G$48:$K$48,Inputs!$G$51:$K$51)/months_yr*AC$6</f>
        <v>0</v>
      </c>
      <c r="AD139" s="233">
        <f>AD65*LOOKUP(AD$8,Inputs!$G$48:$K$48,Inputs!$G$51:$K$51)/months_yr*AD$6</f>
        <v>0</v>
      </c>
      <c r="AE139" s="233">
        <f>AE65*LOOKUP(AE$8,Inputs!$G$48:$K$48,Inputs!$G$51:$K$51)/months_yr*AE$6</f>
        <v>0</v>
      </c>
      <c r="AF139" s="233">
        <f>AF65*LOOKUP(AF$8,Inputs!$G$48:$K$48,Inputs!$G$51:$K$51)/months_yr*AF$6</f>
        <v>0</v>
      </c>
      <c r="AG139" s="233">
        <f>AG65*LOOKUP(AG$8,Inputs!$G$48:$K$48,Inputs!$G$51:$K$51)/months_yr*AG$6</f>
        <v>0</v>
      </c>
    </row>
    <row r="140" spans="1:33" ht="16.5" customHeight="1" outlineLevel="2">
      <c r="A140" s="128"/>
      <c r="B140" s="434"/>
      <c r="C140" s="40" t="str">
        <f>C66</f>
        <v>Fill in name or positon here</v>
      </c>
      <c r="D140" s="8" t="str">
        <f>Currency_Label</f>
        <v>USD</v>
      </c>
      <c r="E140" s="128"/>
      <c r="F140" s="128"/>
      <c r="G140" s="128"/>
      <c r="H140" s="128"/>
      <c r="I140" s="71">
        <f>SUM(J140:AG140)</f>
        <v>0</v>
      </c>
      <c r="J140" s="233">
        <f>J66*LOOKUP(J$8,Inputs!$G$48:$K$48,Inputs!$G$52:$K$52)/months_yr*J$6</f>
        <v>0</v>
      </c>
      <c r="K140" s="233">
        <f>K66*LOOKUP(K$8,Inputs!$G$48:$K$48,Inputs!$G$52:$K$52)/months_yr*K$6</f>
        <v>0</v>
      </c>
      <c r="L140" s="233">
        <f>L66*LOOKUP(L$8,Inputs!$G$48:$K$48,Inputs!$G$52:$K$52)/months_yr*L$6</f>
        <v>0</v>
      </c>
      <c r="M140" s="233">
        <f>M66*LOOKUP(M$8,Inputs!$G$48:$K$48,Inputs!$G$52:$K$52)/months_yr*M$6</f>
        <v>0</v>
      </c>
      <c r="N140" s="233">
        <f>N66*LOOKUP(N$8,Inputs!$G$48:$K$48,Inputs!$G$52:$K$52)/months_yr*N$6</f>
        <v>0</v>
      </c>
      <c r="O140" s="233">
        <f>O66*LOOKUP(O$8,Inputs!$G$48:$K$48,Inputs!$G$52:$K$52)/months_yr*O$6</f>
        <v>0</v>
      </c>
      <c r="P140" s="233">
        <f>P66*LOOKUP(P$8,Inputs!$G$48:$K$48,Inputs!$G$52:$K$52)/months_yr*P$6</f>
        <v>0</v>
      </c>
      <c r="Q140" s="233">
        <f>Q66*LOOKUP(Q$8,Inputs!$G$48:$K$48,Inputs!$G$52:$K$52)/months_yr*Q$6</f>
        <v>0</v>
      </c>
      <c r="R140" s="233">
        <f>R66*LOOKUP(R$8,Inputs!$G$48:$K$48,Inputs!$G$52:$K$52)/months_yr*R$6</f>
        <v>0</v>
      </c>
      <c r="S140" s="233">
        <f>S66*LOOKUP(S$8,Inputs!$G$48:$K$48,Inputs!$G$52:$K$52)/months_yr*S$6</f>
        <v>0</v>
      </c>
      <c r="T140" s="233">
        <f>T66*LOOKUP(T$8,Inputs!$G$48:$K$48,Inputs!$G$52:$K$52)/months_yr*T$6</f>
        <v>0</v>
      </c>
      <c r="U140" s="233">
        <f>U66*LOOKUP(U$8,Inputs!$G$48:$K$48,Inputs!$G$52:$K$52)/months_yr*U$6</f>
        <v>0</v>
      </c>
      <c r="V140" s="233">
        <f>V66*LOOKUP(V$8,Inputs!$G$48:$K$48,Inputs!$G$52:$K$52)/months_yr*V$6</f>
        <v>0</v>
      </c>
      <c r="W140" s="233">
        <f>W66*LOOKUP(W$8,Inputs!$G$48:$K$48,Inputs!$G$52:$K$52)/months_yr*W$6</f>
        <v>0</v>
      </c>
      <c r="X140" s="233">
        <f>X66*LOOKUP(X$8,Inputs!$G$48:$K$48,Inputs!$G$52:$K$52)/months_yr*X$6</f>
        <v>0</v>
      </c>
      <c r="Y140" s="233">
        <f>Y66*LOOKUP(Y$8,Inputs!$G$48:$K$48,Inputs!$G$52:$K$52)/months_yr*Y$6</f>
        <v>0</v>
      </c>
      <c r="Z140" s="233">
        <f>Z66*LOOKUP(Z$8,Inputs!$G$48:$K$48,Inputs!$G$52:$K$52)/months_yr*Z$6</f>
        <v>0</v>
      </c>
      <c r="AA140" s="233">
        <f>AA66*LOOKUP(AA$8,Inputs!$G$48:$K$48,Inputs!$G$52:$K$52)/months_yr*AA$6</f>
        <v>0</v>
      </c>
      <c r="AB140" s="233">
        <f>AB66*LOOKUP(AB$8,Inputs!$G$48:$K$48,Inputs!$G$52:$K$52)/months_yr*AB$6</f>
        <v>0</v>
      </c>
      <c r="AC140" s="233">
        <f>AC66*LOOKUP(AC$8,Inputs!$G$48:$K$48,Inputs!$G$52:$K$52)/months_yr*AC$6</f>
        <v>0</v>
      </c>
      <c r="AD140" s="233">
        <f>AD66*LOOKUP(AD$8,Inputs!$G$48:$K$48,Inputs!$G$52:$K$52)/months_yr*AD$6</f>
        <v>0</v>
      </c>
      <c r="AE140" s="233">
        <f>AE66*LOOKUP(AE$8,Inputs!$G$48:$K$48,Inputs!$G$52:$K$52)/months_yr*AE$6</f>
        <v>0</v>
      </c>
      <c r="AF140" s="233">
        <f>AF66*LOOKUP(AF$8,Inputs!$G$48:$K$48,Inputs!$G$52:$K$52)/months_yr*AF$6</f>
        <v>0</v>
      </c>
      <c r="AG140" s="233">
        <f>AG66*LOOKUP(AG$8,Inputs!$G$48:$K$48,Inputs!$G$52:$K$52)/months_yr*AG$6</f>
        <v>0</v>
      </c>
    </row>
    <row r="141" spans="1:33" ht="16.5" customHeight="1" outlineLevel="2">
      <c r="A141" s="128"/>
      <c r="B141" s="434"/>
      <c r="C141" s="75" t="s">
        <v>280</v>
      </c>
      <c r="D141" s="8" t="str">
        <f>Currency_Label</f>
        <v>USD</v>
      </c>
      <c r="E141" s="36"/>
      <c r="F141" s="36"/>
      <c r="G141" s="36"/>
      <c r="H141" s="36"/>
      <c r="I141" s="71">
        <f>SUM(J141:AG141)</f>
        <v>0</v>
      </c>
      <c r="J141" s="129">
        <f t="shared" ref="J141:AG141" si="21">SUM(J137:J140)</f>
        <v>0</v>
      </c>
      <c r="K141" s="129">
        <f t="shared" si="21"/>
        <v>0</v>
      </c>
      <c r="L141" s="129">
        <f t="shared" si="21"/>
        <v>0</v>
      </c>
      <c r="M141" s="129">
        <f t="shared" si="21"/>
        <v>0</v>
      </c>
      <c r="N141" s="129">
        <f t="shared" si="21"/>
        <v>0</v>
      </c>
      <c r="O141" s="129">
        <f t="shared" si="21"/>
        <v>0</v>
      </c>
      <c r="P141" s="129">
        <f t="shared" si="21"/>
        <v>0</v>
      </c>
      <c r="Q141" s="129">
        <f t="shared" si="21"/>
        <v>0</v>
      </c>
      <c r="R141" s="129">
        <f t="shared" si="21"/>
        <v>0</v>
      </c>
      <c r="S141" s="129">
        <f t="shared" si="21"/>
        <v>0</v>
      </c>
      <c r="T141" s="129">
        <f t="shared" si="21"/>
        <v>0</v>
      </c>
      <c r="U141" s="129">
        <f t="shared" si="21"/>
        <v>0</v>
      </c>
      <c r="V141" s="129">
        <f t="shared" si="21"/>
        <v>0</v>
      </c>
      <c r="W141" s="129">
        <f t="shared" si="21"/>
        <v>0</v>
      </c>
      <c r="X141" s="129">
        <f t="shared" si="21"/>
        <v>0</v>
      </c>
      <c r="Y141" s="129">
        <f t="shared" si="21"/>
        <v>0</v>
      </c>
      <c r="Z141" s="129">
        <f t="shared" si="21"/>
        <v>0</v>
      </c>
      <c r="AA141" s="129">
        <f t="shared" si="21"/>
        <v>0</v>
      </c>
      <c r="AB141" s="129">
        <f t="shared" si="21"/>
        <v>0</v>
      </c>
      <c r="AC141" s="129">
        <f t="shared" si="21"/>
        <v>0</v>
      </c>
      <c r="AD141" s="129">
        <f t="shared" si="21"/>
        <v>0</v>
      </c>
      <c r="AE141" s="129">
        <f t="shared" si="21"/>
        <v>0</v>
      </c>
      <c r="AF141" s="129">
        <f t="shared" si="21"/>
        <v>0</v>
      </c>
      <c r="AG141" s="129">
        <f t="shared" si="21"/>
        <v>0</v>
      </c>
    </row>
    <row r="142" spans="1:33" ht="16.5" customHeight="1" outlineLevel="2">
      <c r="A142" s="128"/>
      <c r="B142" s="128"/>
      <c r="C142" s="128"/>
      <c r="D142" s="275"/>
      <c r="E142" s="128"/>
      <c r="F142" s="128"/>
      <c r="G142" s="128"/>
      <c r="H142" s="128"/>
      <c r="I142" s="332"/>
      <c r="J142" s="332"/>
      <c r="K142" s="332"/>
      <c r="L142" s="332"/>
      <c r="M142" s="332"/>
      <c r="N142" s="332"/>
      <c r="O142" s="332"/>
      <c r="P142" s="332"/>
      <c r="Q142" s="332"/>
      <c r="R142" s="332"/>
      <c r="S142" s="332"/>
      <c r="T142" s="332"/>
      <c r="U142" s="332"/>
      <c r="V142" s="332"/>
      <c r="W142" s="332"/>
      <c r="X142" s="332"/>
      <c r="Y142" s="332"/>
      <c r="Z142" s="332"/>
      <c r="AA142" s="332"/>
      <c r="AB142" s="332"/>
      <c r="AC142" s="332"/>
      <c r="AD142" s="332"/>
      <c r="AE142" s="332"/>
      <c r="AF142" s="332"/>
      <c r="AG142" s="332"/>
    </row>
    <row r="143" spans="1:33" ht="16.5" customHeight="1" outlineLevel="2">
      <c r="A143" s="128"/>
      <c r="B143" s="708">
        <f>B69</f>
        <v>9</v>
      </c>
      <c r="C143" s="331" t="str">
        <f>C69</f>
        <v>Spare Parts</v>
      </c>
      <c r="D143" s="275"/>
      <c r="E143" s="128"/>
      <c r="F143" s="128"/>
      <c r="G143" s="128"/>
      <c r="H143" s="128"/>
      <c r="I143" s="332"/>
      <c r="J143" s="332"/>
      <c r="K143" s="332"/>
      <c r="L143" s="332"/>
      <c r="M143" s="332"/>
      <c r="N143" s="332"/>
      <c r="O143" s="332"/>
      <c r="P143" s="332"/>
      <c r="Q143" s="332"/>
      <c r="R143" s="332"/>
      <c r="S143" s="332"/>
      <c r="T143" s="332"/>
      <c r="U143" s="332"/>
      <c r="V143" s="332"/>
      <c r="W143" s="332"/>
      <c r="X143" s="332"/>
      <c r="Y143" s="332"/>
      <c r="Z143" s="332"/>
      <c r="AA143" s="332"/>
      <c r="AB143" s="332"/>
      <c r="AC143" s="332"/>
      <c r="AD143" s="332"/>
      <c r="AE143" s="332"/>
      <c r="AF143" s="332"/>
      <c r="AG143" s="332"/>
    </row>
    <row r="144" spans="1:33" ht="16.5" customHeight="1" outlineLevel="2">
      <c r="A144" s="128"/>
      <c r="B144" s="434"/>
      <c r="C144" s="40" t="str">
        <f>C70</f>
        <v>Fill in name or positon here</v>
      </c>
      <c r="D144" s="8" t="str">
        <f>Currency_Label</f>
        <v>USD</v>
      </c>
      <c r="E144" s="128"/>
      <c r="F144" s="128"/>
      <c r="G144" s="128"/>
      <c r="H144" s="128"/>
      <c r="I144" s="71">
        <f>SUM(J144:AG144)</f>
        <v>0</v>
      </c>
      <c r="J144" s="233">
        <f>J70*LOOKUP(J$8,Inputs!$G$48:$K$48,Inputs!$G$49:$K$49)/months_yr*J$6</f>
        <v>0</v>
      </c>
      <c r="K144" s="233">
        <f>K70*LOOKUP(K$8,Inputs!$G$48:$K$48,Inputs!$G$49:$K$49)/months_yr*K$6</f>
        <v>0</v>
      </c>
      <c r="L144" s="233">
        <f>L70*LOOKUP(L$8,Inputs!$G$48:$K$48,Inputs!$G$49:$K$49)/months_yr*L$6</f>
        <v>0</v>
      </c>
      <c r="M144" s="233">
        <f>M70*LOOKUP(M$8,Inputs!$G$48:$K$48,Inputs!$G$49:$K$49)/months_yr*M$6</f>
        <v>0</v>
      </c>
      <c r="N144" s="233">
        <f>N70*LOOKUP(N$8,Inputs!$G$48:$K$48,Inputs!$G$49:$K$49)/months_yr*N$6</f>
        <v>0</v>
      </c>
      <c r="O144" s="233">
        <f>O70*LOOKUP(O$8,Inputs!$G$48:$K$48,Inputs!$G$49:$K$49)/months_yr*O$6</f>
        <v>0</v>
      </c>
      <c r="P144" s="233">
        <f>P70*LOOKUP(P$8,Inputs!$G$48:$K$48,Inputs!$G$49:$K$49)/months_yr*P$6</f>
        <v>0</v>
      </c>
      <c r="Q144" s="233">
        <f>Q70*LOOKUP(Q$8,Inputs!$G$48:$K$48,Inputs!$G$49:$K$49)/months_yr*Q$6</f>
        <v>0</v>
      </c>
      <c r="R144" s="233">
        <f>R70*LOOKUP(R$8,Inputs!$G$48:$K$48,Inputs!$G$49:$K$49)/months_yr*R$6</f>
        <v>0</v>
      </c>
      <c r="S144" s="233">
        <f>S70*LOOKUP(S$8,Inputs!$G$48:$K$48,Inputs!$G$49:$K$49)/months_yr*S$6</f>
        <v>0</v>
      </c>
      <c r="T144" s="233">
        <f>T70*LOOKUP(T$8,Inputs!$G$48:$K$48,Inputs!$G$49:$K$49)/months_yr*T$6</f>
        <v>0</v>
      </c>
      <c r="U144" s="233">
        <f>U70*LOOKUP(U$8,Inputs!$G$48:$K$48,Inputs!$G$49:$K$49)/months_yr*U$6</f>
        <v>0</v>
      </c>
      <c r="V144" s="233">
        <f>V70*LOOKUP(V$8,Inputs!$G$48:$K$48,Inputs!$G$49:$K$49)/months_yr*V$6</f>
        <v>0</v>
      </c>
      <c r="W144" s="233">
        <f>W70*LOOKUP(W$8,Inputs!$G$48:$K$48,Inputs!$G$49:$K$49)/months_yr*W$6</f>
        <v>0</v>
      </c>
      <c r="X144" s="233">
        <f>X70*LOOKUP(X$8,Inputs!$G$48:$K$48,Inputs!$G$49:$K$49)/months_yr*X$6</f>
        <v>0</v>
      </c>
      <c r="Y144" s="233">
        <f>Y70*LOOKUP(Y$8,Inputs!$G$48:$K$48,Inputs!$G$49:$K$49)/months_yr*Y$6</f>
        <v>0</v>
      </c>
      <c r="Z144" s="233">
        <f>Z70*LOOKUP(Z$8,Inputs!$G$48:$K$48,Inputs!$G$49:$K$49)/months_yr*Z$6</f>
        <v>0</v>
      </c>
      <c r="AA144" s="233">
        <f>AA70*LOOKUP(AA$8,Inputs!$G$48:$K$48,Inputs!$G$49:$K$49)/months_yr*AA$6</f>
        <v>0</v>
      </c>
      <c r="AB144" s="233">
        <f>AB70*LOOKUP(AB$8,Inputs!$G$48:$K$48,Inputs!$G$49:$K$49)/months_yr*AB$6</f>
        <v>0</v>
      </c>
      <c r="AC144" s="233">
        <f>AC70*LOOKUP(AC$8,Inputs!$G$48:$K$48,Inputs!$G$49:$K$49)/months_yr*AC$6</f>
        <v>0</v>
      </c>
      <c r="AD144" s="233">
        <f>AD70*LOOKUP(AD$8,Inputs!$G$48:$K$48,Inputs!$G$49:$K$49)/months_yr*AD$6</f>
        <v>0</v>
      </c>
      <c r="AE144" s="233">
        <f>AE70*LOOKUP(AE$8,Inputs!$G$48:$K$48,Inputs!$G$49:$K$49)/months_yr*AE$6</f>
        <v>0</v>
      </c>
      <c r="AF144" s="233">
        <f>AF70*LOOKUP(AF$8,Inputs!$G$48:$K$48,Inputs!$G$49:$K$49)/months_yr*AF$6</f>
        <v>0</v>
      </c>
      <c r="AG144" s="233">
        <f>AG70*LOOKUP(AG$8,Inputs!$G$48:$K$48,Inputs!$G$49:$K$49)/months_yr*AG$6</f>
        <v>0</v>
      </c>
    </row>
    <row r="145" spans="1:33" ht="16.5" customHeight="1" outlineLevel="2">
      <c r="A145" s="128"/>
      <c r="B145" s="434"/>
      <c r="C145" s="40" t="str">
        <f>C71</f>
        <v>Fill in name or positon here</v>
      </c>
      <c r="D145" s="8" t="str">
        <f>Currency_Label</f>
        <v>USD</v>
      </c>
      <c r="E145" s="128"/>
      <c r="F145" s="128"/>
      <c r="G145" s="128"/>
      <c r="H145" s="128"/>
      <c r="I145" s="71">
        <f>SUM(J145:AG145)</f>
        <v>0</v>
      </c>
      <c r="J145" s="233">
        <f>J71*LOOKUP(J$8,Inputs!$G$48:$K$48,Inputs!$G$50:$K$50)/months_yr*J$6</f>
        <v>0</v>
      </c>
      <c r="K145" s="233">
        <f>K71*LOOKUP(K$8,Inputs!$G$48:$K$48,Inputs!$G$50:$K$50)/months_yr*K$6</f>
        <v>0</v>
      </c>
      <c r="L145" s="233">
        <f>L71*LOOKUP(L$8,Inputs!$G$48:$K$48,Inputs!$G$50:$K$50)/months_yr*L$6</f>
        <v>0</v>
      </c>
      <c r="M145" s="233">
        <f>M71*LOOKUP(M$8,Inputs!$G$48:$K$48,Inputs!$G$50:$K$50)/months_yr*M$6</f>
        <v>0</v>
      </c>
      <c r="N145" s="233">
        <f>N71*LOOKUP(N$8,Inputs!$G$48:$K$48,Inputs!$G$50:$K$50)/months_yr*N$6</f>
        <v>0</v>
      </c>
      <c r="O145" s="233">
        <f>O71*LOOKUP(O$8,Inputs!$G$48:$K$48,Inputs!$G$50:$K$50)/months_yr*O$6</f>
        <v>0</v>
      </c>
      <c r="P145" s="233">
        <f>P71*LOOKUP(P$8,Inputs!$G$48:$K$48,Inputs!$G$50:$K$50)/months_yr*P$6</f>
        <v>0</v>
      </c>
      <c r="Q145" s="233">
        <f>Q71*LOOKUP(Q$8,Inputs!$G$48:$K$48,Inputs!$G$50:$K$50)/months_yr*Q$6</f>
        <v>0</v>
      </c>
      <c r="R145" s="233">
        <f>R71*LOOKUP(R$8,Inputs!$G$48:$K$48,Inputs!$G$50:$K$50)/months_yr*R$6</f>
        <v>0</v>
      </c>
      <c r="S145" s="233">
        <f>S71*LOOKUP(S$8,Inputs!$G$48:$K$48,Inputs!$G$50:$K$50)/months_yr*S$6</f>
        <v>0</v>
      </c>
      <c r="T145" s="233">
        <f>T71*LOOKUP(T$8,Inputs!$G$48:$K$48,Inputs!$G$50:$K$50)/months_yr*T$6</f>
        <v>0</v>
      </c>
      <c r="U145" s="233">
        <f>U71*LOOKUP(U$8,Inputs!$G$48:$K$48,Inputs!$G$50:$K$50)/months_yr*U$6</f>
        <v>0</v>
      </c>
      <c r="V145" s="233">
        <f>V71*LOOKUP(V$8,Inputs!$G$48:$K$48,Inputs!$G$50:$K$50)/months_yr*V$6</f>
        <v>0</v>
      </c>
      <c r="W145" s="233">
        <f>W71*LOOKUP(W$8,Inputs!$G$48:$K$48,Inputs!$G$50:$K$50)/months_yr*W$6</f>
        <v>0</v>
      </c>
      <c r="X145" s="233">
        <f>X71*LOOKUP(X$8,Inputs!$G$48:$K$48,Inputs!$G$50:$K$50)/months_yr*X$6</f>
        <v>0</v>
      </c>
      <c r="Y145" s="233">
        <f>Y71*LOOKUP(Y$8,Inputs!$G$48:$K$48,Inputs!$G$50:$K$50)/months_yr*Y$6</f>
        <v>0</v>
      </c>
      <c r="Z145" s="233">
        <f>Z71*LOOKUP(Z$8,Inputs!$G$48:$K$48,Inputs!$G$50:$K$50)/months_yr*Z$6</f>
        <v>0</v>
      </c>
      <c r="AA145" s="233">
        <f>AA71*LOOKUP(AA$8,Inputs!$G$48:$K$48,Inputs!$G$50:$K$50)/months_yr*AA$6</f>
        <v>0</v>
      </c>
      <c r="AB145" s="233">
        <f>AB71*LOOKUP(AB$8,Inputs!$G$48:$K$48,Inputs!$G$50:$K$50)/months_yr*AB$6</f>
        <v>0</v>
      </c>
      <c r="AC145" s="233">
        <f>AC71*LOOKUP(AC$8,Inputs!$G$48:$K$48,Inputs!$G$50:$K$50)/months_yr*AC$6</f>
        <v>0</v>
      </c>
      <c r="AD145" s="233">
        <f>AD71*LOOKUP(AD$8,Inputs!$G$48:$K$48,Inputs!$G$50:$K$50)/months_yr*AD$6</f>
        <v>0</v>
      </c>
      <c r="AE145" s="233">
        <f>AE71*LOOKUP(AE$8,Inputs!$G$48:$K$48,Inputs!$G$50:$K$50)/months_yr*AE$6</f>
        <v>0</v>
      </c>
      <c r="AF145" s="233">
        <f>AF71*LOOKUP(AF$8,Inputs!$G$48:$K$48,Inputs!$G$50:$K$50)/months_yr*AF$6</f>
        <v>0</v>
      </c>
      <c r="AG145" s="233">
        <f>AG71*LOOKUP(AG$8,Inputs!$G$48:$K$48,Inputs!$G$50:$K$50)/months_yr*AG$6</f>
        <v>0</v>
      </c>
    </row>
    <row r="146" spans="1:33" ht="16.5" customHeight="1" outlineLevel="2">
      <c r="A146" s="128"/>
      <c r="B146" s="434"/>
      <c r="C146" s="40" t="str">
        <f>C72</f>
        <v>Fill in name or positon here</v>
      </c>
      <c r="D146" s="8" t="str">
        <f>Currency_Label</f>
        <v>USD</v>
      </c>
      <c r="E146" s="128"/>
      <c r="F146" s="128"/>
      <c r="G146" s="128"/>
      <c r="H146" s="128"/>
      <c r="I146" s="71">
        <f>SUM(J146:AG146)</f>
        <v>0</v>
      </c>
      <c r="J146" s="233">
        <f>J72*LOOKUP(J$8,Inputs!$G$48:$K$48,Inputs!$G$51:$K$51)/months_yr*J$6</f>
        <v>0</v>
      </c>
      <c r="K146" s="233">
        <f>K72*LOOKUP(K$8,Inputs!$G$48:$K$48,Inputs!$G$51:$K$51)/months_yr*K$6</f>
        <v>0</v>
      </c>
      <c r="L146" s="233">
        <f>L72*LOOKUP(L$8,Inputs!$G$48:$K$48,Inputs!$G$51:$K$51)/months_yr*L$6</f>
        <v>0</v>
      </c>
      <c r="M146" s="233">
        <f>M72*LOOKUP(M$8,Inputs!$G$48:$K$48,Inputs!$G$51:$K$51)/months_yr*M$6</f>
        <v>0</v>
      </c>
      <c r="N146" s="233">
        <f>N72*LOOKUP(N$8,Inputs!$G$48:$K$48,Inputs!$G$51:$K$51)/months_yr*N$6</f>
        <v>0</v>
      </c>
      <c r="O146" s="233">
        <f>O72*LOOKUP(O$8,Inputs!$G$48:$K$48,Inputs!$G$51:$K$51)/months_yr*O$6</f>
        <v>0</v>
      </c>
      <c r="P146" s="233">
        <f>P72*LOOKUP(P$8,Inputs!$G$48:$K$48,Inputs!$G$51:$K$51)/months_yr*P$6</f>
        <v>0</v>
      </c>
      <c r="Q146" s="233">
        <f>Q72*LOOKUP(Q$8,Inputs!$G$48:$K$48,Inputs!$G$51:$K$51)/months_yr*Q$6</f>
        <v>0</v>
      </c>
      <c r="R146" s="233">
        <f>R72*LOOKUP(R$8,Inputs!$G$48:$K$48,Inputs!$G$51:$K$51)/months_yr*R$6</f>
        <v>0</v>
      </c>
      <c r="S146" s="233">
        <f>S72*LOOKUP(S$8,Inputs!$G$48:$K$48,Inputs!$G$51:$K$51)/months_yr*S$6</f>
        <v>0</v>
      </c>
      <c r="T146" s="233">
        <f>T72*LOOKUP(T$8,Inputs!$G$48:$K$48,Inputs!$G$51:$K$51)/months_yr*T$6</f>
        <v>0</v>
      </c>
      <c r="U146" s="233">
        <f>U72*LOOKUP(U$8,Inputs!$G$48:$K$48,Inputs!$G$51:$K$51)/months_yr*U$6</f>
        <v>0</v>
      </c>
      <c r="V146" s="233">
        <f>V72*LOOKUP(V$8,Inputs!$G$48:$K$48,Inputs!$G$51:$K$51)/months_yr*V$6</f>
        <v>0</v>
      </c>
      <c r="W146" s="233">
        <f>W72*LOOKUP(W$8,Inputs!$G$48:$K$48,Inputs!$G$51:$K$51)/months_yr*W$6</f>
        <v>0</v>
      </c>
      <c r="X146" s="233">
        <f>X72*LOOKUP(X$8,Inputs!$G$48:$K$48,Inputs!$G$51:$K$51)/months_yr*X$6</f>
        <v>0</v>
      </c>
      <c r="Y146" s="233">
        <f>Y72*LOOKUP(Y$8,Inputs!$G$48:$K$48,Inputs!$G$51:$K$51)/months_yr*Y$6</f>
        <v>0</v>
      </c>
      <c r="Z146" s="233">
        <f>Z72*LOOKUP(Z$8,Inputs!$G$48:$K$48,Inputs!$G$51:$K$51)/months_yr*Z$6</f>
        <v>0</v>
      </c>
      <c r="AA146" s="233">
        <f>AA72*LOOKUP(AA$8,Inputs!$G$48:$K$48,Inputs!$G$51:$K$51)/months_yr*AA$6</f>
        <v>0</v>
      </c>
      <c r="AB146" s="233">
        <f>AB72*LOOKUP(AB$8,Inputs!$G$48:$K$48,Inputs!$G$51:$K$51)/months_yr*AB$6</f>
        <v>0</v>
      </c>
      <c r="AC146" s="233">
        <f>AC72*LOOKUP(AC$8,Inputs!$G$48:$K$48,Inputs!$G$51:$K$51)/months_yr*AC$6</f>
        <v>0</v>
      </c>
      <c r="AD146" s="233">
        <f>AD72*LOOKUP(AD$8,Inputs!$G$48:$K$48,Inputs!$G$51:$K$51)/months_yr*AD$6</f>
        <v>0</v>
      </c>
      <c r="AE146" s="233">
        <f>AE72*LOOKUP(AE$8,Inputs!$G$48:$K$48,Inputs!$G$51:$K$51)/months_yr*AE$6</f>
        <v>0</v>
      </c>
      <c r="AF146" s="233">
        <f>AF72*LOOKUP(AF$8,Inputs!$G$48:$K$48,Inputs!$G$51:$K$51)/months_yr*AF$6</f>
        <v>0</v>
      </c>
      <c r="AG146" s="233">
        <f>AG72*LOOKUP(AG$8,Inputs!$G$48:$K$48,Inputs!$G$51:$K$51)/months_yr*AG$6</f>
        <v>0</v>
      </c>
    </row>
    <row r="147" spans="1:33" ht="16.5" customHeight="1" outlineLevel="2">
      <c r="A147" s="128"/>
      <c r="B147" s="434"/>
      <c r="C147" s="40" t="str">
        <f>C73</f>
        <v>Fill in name or positon here</v>
      </c>
      <c r="D147" s="8" t="str">
        <f>Currency_Label</f>
        <v>USD</v>
      </c>
      <c r="E147" s="128"/>
      <c r="F147" s="128"/>
      <c r="G147" s="128"/>
      <c r="H147" s="128"/>
      <c r="I147" s="71">
        <f>SUM(J147:AG147)</f>
        <v>0</v>
      </c>
      <c r="J147" s="233">
        <f>J73*LOOKUP(J$8,Inputs!$G$48:$K$48,Inputs!$G$52:$K$52)/months_yr*J$6</f>
        <v>0</v>
      </c>
      <c r="K147" s="233">
        <f>K73*LOOKUP(K$8,Inputs!$G$48:$K$48,Inputs!$G$52:$K$52)/months_yr*K$6</f>
        <v>0</v>
      </c>
      <c r="L147" s="233">
        <f>L73*LOOKUP(L$8,Inputs!$G$48:$K$48,Inputs!$G$52:$K$52)/months_yr*L$6</f>
        <v>0</v>
      </c>
      <c r="M147" s="233">
        <f>M73*LOOKUP(M$8,Inputs!$G$48:$K$48,Inputs!$G$52:$K$52)/months_yr*M$6</f>
        <v>0</v>
      </c>
      <c r="N147" s="233">
        <f>N73*LOOKUP(N$8,Inputs!$G$48:$K$48,Inputs!$G$52:$K$52)/months_yr*N$6</f>
        <v>0</v>
      </c>
      <c r="O147" s="233">
        <f>O73*LOOKUP(O$8,Inputs!$G$48:$K$48,Inputs!$G$52:$K$52)/months_yr*O$6</f>
        <v>0</v>
      </c>
      <c r="P147" s="233">
        <f>P73*LOOKUP(P$8,Inputs!$G$48:$K$48,Inputs!$G$52:$K$52)/months_yr*P$6</f>
        <v>0</v>
      </c>
      <c r="Q147" s="233">
        <f>Q73*LOOKUP(Q$8,Inputs!$G$48:$K$48,Inputs!$G$52:$K$52)/months_yr*Q$6</f>
        <v>0</v>
      </c>
      <c r="R147" s="233">
        <f>R73*LOOKUP(R$8,Inputs!$G$48:$K$48,Inputs!$G$52:$K$52)/months_yr*R$6</f>
        <v>0</v>
      </c>
      <c r="S147" s="233">
        <f>S73*LOOKUP(S$8,Inputs!$G$48:$K$48,Inputs!$G$52:$K$52)/months_yr*S$6</f>
        <v>0</v>
      </c>
      <c r="T147" s="233">
        <f>T73*LOOKUP(T$8,Inputs!$G$48:$K$48,Inputs!$G$52:$K$52)/months_yr*T$6</f>
        <v>0</v>
      </c>
      <c r="U147" s="233">
        <f>U73*LOOKUP(U$8,Inputs!$G$48:$K$48,Inputs!$G$52:$K$52)/months_yr*U$6</f>
        <v>0</v>
      </c>
      <c r="V147" s="233">
        <f>V73*LOOKUP(V$8,Inputs!$G$48:$K$48,Inputs!$G$52:$K$52)/months_yr*V$6</f>
        <v>0</v>
      </c>
      <c r="W147" s="233">
        <f>W73*LOOKUP(W$8,Inputs!$G$48:$K$48,Inputs!$G$52:$K$52)/months_yr*W$6</f>
        <v>0</v>
      </c>
      <c r="X147" s="233">
        <f>X73*LOOKUP(X$8,Inputs!$G$48:$K$48,Inputs!$G$52:$K$52)/months_yr*X$6</f>
        <v>0</v>
      </c>
      <c r="Y147" s="233">
        <f>Y73*LOOKUP(Y$8,Inputs!$G$48:$K$48,Inputs!$G$52:$K$52)/months_yr*Y$6</f>
        <v>0</v>
      </c>
      <c r="Z147" s="233">
        <f>Z73*LOOKUP(Z$8,Inputs!$G$48:$K$48,Inputs!$G$52:$K$52)/months_yr*Z$6</f>
        <v>0</v>
      </c>
      <c r="AA147" s="233">
        <f>AA73*LOOKUP(AA$8,Inputs!$G$48:$K$48,Inputs!$G$52:$K$52)/months_yr*AA$6</f>
        <v>0</v>
      </c>
      <c r="AB147" s="233">
        <f>AB73*LOOKUP(AB$8,Inputs!$G$48:$K$48,Inputs!$G$52:$K$52)/months_yr*AB$6</f>
        <v>0</v>
      </c>
      <c r="AC147" s="233">
        <f>AC73*LOOKUP(AC$8,Inputs!$G$48:$K$48,Inputs!$G$52:$K$52)/months_yr*AC$6</f>
        <v>0</v>
      </c>
      <c r="AD147" s="233">
        <f>AD73*LOOKUP(AD$8,Inputs!$G$48:$K$48,Inputs!$G$52:$K$52)/months_yr*AD$6</f>
        <v>0</v>
      </c>
      <c r="AE147" s="233">
        <f>AE73*LOOKUP(AE$8,Inputs!$G$48:$K$48,Inputs!$G$52:$K$52)/months_yr*AE$6</f>
        <v>0</v>
      </c>
      <c r="AF147" s="233">
        <f>AF73*LOOKUP(AF$8,Inputs!$G$48:$K$48,Inputs!$G$52:$K$52)/months_yr*AF$6</f>
        <v>0</v>
      </c>
      <c r="AG147" s="233">
        <f>AG73*LOOKUP(AG$8,Inputs!$G$48:$K$48,Inputs!$G$52:$K$52)/months_yr*AG$6</f>
        <v>0</v>
      </c>
    </row>
    <row r="148" spans="1:33" ht="16.5" customHeight="1" outlineLevel="2">
      <c r="A148" s="128"/>
      <c r="B148" s="434"/>
      <c r="C148" s="75" t="s">
        <v>280</v>
      </c>
      <c r="D148" s="8" t="str">
        <f>Currency_Label</f>
        <v>USD</v>
      </c>
      <c r="E148" s="36"/>
      <c r="F148" s="36"/>
      <c r="G148" s="36"/>
      <c r="H148" s="36"/>
      <c r="I148" s="71">
        <f>SUM(J148:AG148)</f>
        <v>0</v>
      </c>
      <c r="J148" s="129">
        <f t="shared" ref="J148:AG148" si="22">SUM(J144:J147)</f>
        <v>0</v>
      </c>
      <c r="K148" s="129">
        <f t="shared" si="22"/>
        <v>0</v>
      </c>
      <c r="L148" s="129">
        <f t="shared" si="22"/>
        <v>0</v>
      </c>
      <c r="M148" s="129">
        <f t="shared" si="22"/>
        <v>0</v>
      </c>
      <c r="N148" s="129">
        <f t="shared" si="22"/>
        <v>0</v>
      </c>
      <c r="O148" s="129">
        <f t="shared" si="22"/>
        <v>0</v>
      </c>
      <c r="P148" s="129">
        <f t="shared" si="22"/>
        <v>0</v>
      </c>
      <c r="Q148" s="129">
        <f t="shared" si="22"/>
        <v>0</v>
      </c>
      <c r="R148" s="129">
        <f t="shared" si="22"/>
        <v>0</v>
      </c>
      <c r="S148" s="129">
        <f t="shared" si="22"/>
        <v>0</v>
      </c>
      <c r="T148" s="129">
        <f t="shared" si="22"/>
        <v>0</v>
      </c>
      <c r="U148" s="129">
        <f t="shared" si="22"/>
        <v>0</v>
      </c>
      <c r="V148" s="129">
        <f t="shared" si="22"/>
        <v>0</v>
      </c>
      <c r="W148" s="129">
        <f t="shared" si="22"/>
        <v>0</v>
      </c>
      <c r="X148" s="129">
        <f t="shared" si="22"/>
        <v>0</v>
      </c>
      <c r="Y148" s="129">
        <f t="shared" si="22"/>
        <v>0</v>
      </c>
      <c r="Z148" s="129">
        <f t="shared" si="22"/>
        <v>0</v>
      </c>
      <c r="AA148" s="129">
        <f t="shared" si="22"/>
        <v>0</v>
      </c>
      <c r="AB148" s="129">
        <f t="shared" si="22"/>
        <v>0</v>
      </c>
      <c r="AC148" s="129">
        <f t="shared" si="22"/>
        <v>0</v>
      </c>
      <c r="AD148" s="129">
        <f t="shared" si="22"/>
        <v>0</v>
      </c>
      <c r="AE148" s="129">
        <f t="shared" si="22"/>
        <v>0</v>
      </c>
      <c r="AF148" s="129">
        <f t="shared" si="22"/>
        <v>0</v>
      </c>
      <c r="AG148" s="129">
        <f t="shared" si="22"/>
        <v>0</v>
      </c>
    </row>
    <row r="149" spans="1:33" ht="16.5" customHeight="1" outlineLevel="2">
      <c r="A149" s="128"/>
      <c r="B149" s="128"/>
      <c r="C149" s="128"/>
      <c r="D149" s="275"/>
      <c r="E149" s="128"/>
      <c r="F149" s="128"/>
      <c r="G149" s="128"/>
      <c r="H149" s="128"/>
      <c r="I149" s="332"/>
      <c r="J149" s="332"/>
      <c r="K149" s="332"/>
      <c r="L149" s="332"/>
      <c r="M149" s="332"/>
      <c r="N149" s="332"/>
      <c r="O149" s="332"/>
      <c r="P149" s="332"/>
      <c r="Q149" s="332"/>
      <c r="R149" s="332"/>
      <c r="S149" s="332"/>
      <c r="T149" s="332"/>
      <c r="U149" s="332"/>
      <c r="V149" s="332"/>
      <c r="W149" s="332"/>
      <c r="X149" s="332"/>
      <c r="Y149" s="332"/>
      <c r="Z149" s="332"/>
      <c r="AA149" s="332"/>
      <c r="AB149" s="332"/>
      <c r="AC149" s="332"/>
      <c r="AD149" s="332"/>
      <c r="AE149" s="332"/>
      <c r="AF149" s="332"/>
      <c r="AG149" s="332"/>
    </row>
    <row r="150" spans="1:33" ht="16.5" customHeight="1" outlineLevel="2">
      <c r="A150" s="128"/>
      <c r="B150" s="708">
        <f>B76</f>
        <v>10</v>
      </c>
      <c r="C150" s="331" t="str">
        <f>C76</f>
        <v>License Fees</v>
      </c>
      <c r="D150" s="275"/>
      <c r="E150" s="128"/>
      <c r="F150" s="128"/>
      <c r="G150" s="128"/>
      <c r="H150" s="128"/>
      <c r="I150" s="332"/>
      <c r="J150" s="332"/>
      <c r="K150" s="332"/>
      <c r="L150" s="332"/>
      <c r="M150" s="332"/>
      <c r="N150" s="332"/>
      <c r="O150" s="332"/>
      <c r="P150" s="332"/>
      <c r="Q150" s="332"/>
      <c r="R150" s="332"/>
      <c r="S150" s="332"/>
      <c r="T150" s="332"/>
      <c r="U150" s="332"/>
      <c r="V150" s="332"/>
      <c r="W150" s="332"/>
      <c r="X150" s="332"/>
      <c r="Y150" s="332"/>
      <c r="Z150" s="332"/>
      <c r="AA150" s="332"/>
      <c r="AB150" s="332"/>
      <c r="AC150" s="332"/>
      <c r="AD150" s="332"/>
      <c r="AE150" s="332"/>
      <c r="AF150" s="332"/>
      <c r="AG150" s="332"/>
    </row>
    <row r="151" spans="1:33" ht="16.5" customHeight="1" outlineLevel="2">
      <c r="A151" s="128"/>
      <c r="B151" s="434"/>
      <c r="C151" s="40" t="str">
        <f>C77</f>
        <v>Fill in name or positon here</v>
      </c>
      <c r="D151" s="8" t="str">
        <f>Currency_Label</f>
        <v>USD</v>
      </c>
      <c r="E151" s="128"/>
      <c r="F151" s="128"/>
      <c r="G151" s="128"/>
      <c r="H151" s="128"/>
      <c r="I151" s="71">
        <f>SUM(J151:AG151)</f>
        <v>0</v>
      </c>
      <c r="J151" s="233">
        <f>J77*LOOKUP(J$8,Inputs!$G$48:$K$48,Inputs!$G$49:$K$49)/months_yr*J$6</f>
        <v>0</v>
      </c>
      <c r="K151" s="233">
        <f>K77*LOOKUP(K$8,Inputs!$G$48:$K$48,Inputs!$G$49:$K$49)/months_yr*K$6</f>
        <v>0</v>
      </c>
      <c r="L151" s="233">
        <f>L77*LOOKUP(L$8,Inputs!$G$48:$K$48,Inputs!$G$49:$K$49)/months_yr*L$6</f>
        <v>0</v>
      </c>
      <c r="M151" s="233">
        <f>M77*LOOKUP(M$8,Inputs!$G$48:$K$48,Inputs!$G$49:$K$49)/months_yr*M$6</f>
        <v>0</v>
      </c>
      <c r="N151" s="233">
        <f>N77*LOOKUP(N$8,Inputs!$G$48:$K$48,Inputs!$G$49:$K$49)/months_yr*N$6</f>
        <v>0</v>
      </c>
      <c r="O151" s="233">
        <f>O77*LOOKUP(O$8,Inputs!$G$48:$K$48,Inputs!$G$49:$K$49)/months_yr*O$6</f>
        <v>0</v>
      </c>
      <c r="P151" s="233">
        <f>P77*LOOKUP(P$8,Inputs!$G$48:$K$48,Inputs!$G$49:$K$49)/months_yr*P$6</f>
        <v>0</v>
      </c>
      <c r="Q151" s="233">
        <f>Q77*LOOKUP(Q$8,Inputs!$G$48:$K$48,Inputs!$G$49:$K$49)/months_yr*Q$6</f>
        <v>0</v>
      </c>
      <c r="R151" s="233">
        <f>R77*LOOKUP(R$8,Inputs!$G$48:$K$48,Inputs!$G$49:$K$49)/months_yr*R$6</f>
        <v>0</v>
      </c>
      <c r="S151" s="233">
        <f>S77*LOOKUP(S$8,Inputs!$G$48:$K$48,Inputs!$G$49:$K$49)/months_yr*S$6</f>
        <v>0</v>
      </c>
      <c r="T151" s="233">
        <f>T77*LOOKUP(T$8,Inputs!$G$48:$K$48,Inputs!$G$49:$K$49)/months_yr*T$6</f>
        <v>0</v>
      </c>
      <c r="U151" s="233">
        <f>U77*LOOKUP(U$8,Inputs!$G$48:$K$48,Inputs!$G$49:$K$49)/months_yr*U$6</f>
        <v>0</v>
      </c>
      <c r="V151" s="233">
        <f>V77*LOOKUP(V$8,Inputs!$G$48:$K$48,Inputs!$G$49:$K$49)/months_yr*V$6</f>
        <v>0</v>
      </c>
      <c r="W151" s="233">
        <f>W77*LOOKUP(W$8,Inputs!$G$48:$K$48,Inputs!$G$49:$K$49)/months_yr*W$6</f>
        <v>0</v>
      </c>
      <c r="X151" s="233">
        <f>X77*LOOKUP(X$8,Inputs!$G$48:$K$48,Inputs!$G$49:$K$49)/months_yr*X$6</f>
        <v>0</v>
      </c>
      <c r="Y151" s="233">
        <f>Y77*LOOKUP(Y$8,Inputs!$G$48:$K$48,Inputs!$G$49:$K$49)/months_yr*Y$6</f>
        <v>0</v>
      </c>
      <c r="Z151" s="233">
        <f>Z77*LOOKUP(Z$8,Inputs!$G$48:$K$48,Inputs!$G$49:$K$49)/months_yr*Z$6</f>
        <v>0</v>
      </c>
      <c r="AA151" s="233">
        <f>AA77*LOOKUP(AA$8,Inputs!$G$48:$K$48,Inputs!$G$49:$K$49)/months_yr*AA$6</f>
        <v>0</v>
      </c>
      <c r="AB151" s="233">
        <f>AB77*LOOKUP(AB$8,Inputs!$G$48:$K$48,Inputs!$G$49:$K$49)/months_yr*AB$6</f>
        <v>0</v>
      </c>
      <c r="AC151" s="233">
        <f>AC77*LOOKUP(AC$8,Inputs!$G$48:$K$48,Inputs!$G$49:$K$49)/months_yr*AC$6</f>
        <v>0</v>
      </c>
      <c r="AD151" s="233">
        <f>AD77*LOOKUP(AD$8,Inputs!$G$48:$K$48,Inputs!$G$49:$K$49)/months_yr*AD$6</f>
        <v>0</v>
      </c>
      <c r="AE151" s="233">
        <f>AE77*LOOKUP(AE$8,Inputs!$G$48:$K$48,Inputs!$G$49:$K$49)/months_yr*AE$6</f>
        <v>0</v>
      </c>
      <c r="AF151" s="233">
        <f>AF77*LOOKUP(AF$8,Inputs!$G$48:$K$48,Inputs!$G$49:$K$49)/months_yr*AF$6</f>
        <v>0</v>
      </c>
      <c r="AG151" s="233">
        <f>AG77*LOOKUP(AG$8,Inputs!$G$48:$K$48,Inputs!$G$49:$K$49)/months_yr*AG$6</f>
        <v>0</v>
      </c>
    </row>
    <row r="152" spans="1:33" ht="16.5" customHeight="1" outlineLevel="2">
      <c r="A152" s="128"/>
      <c r="B152" s="434"/>
      <c r="C152" s="40" t="str">
        <f>C78</f>
        <v>Fill in name or positon here</v>
      </c>
      <c r="D152" s="8" t="str">
        <f>Currency_Label</f>
        <v>USD</v>
      </c>
      <c r="E152" s="128"/>
      <c r="F152" s="128"/>
      <c r="G152" s="128"/>
      <c r="H152" s="128"/>
      <c r="I152" s="71">
        <f>SUM(J152:AG152)</f>
        <v>0</v>
      </c>
      <c r="J152" s="233">
        <f>J78*LOOKUP(J$8,Inputs!$G$48:$K$48,Inputs!$G$50:$K$50)/months_yr*J$6</f>
        <v>0</v>
      </c>
      <c r="K152" s="233">
        <f>K78*LOOKUP(K$8,Inputs!$G$48:$K$48,Inputs!$G$50:$K$50)/months_yr*K$6</f>
        <v>0</v>
      </c>
      <c r="L152" s="233">
        <f>L78*LOOKUP(L$8,Inputs!$G$48:$K$48,Inputs!$G$50:$K$50)/months_yr*L$6</f>
        <v>0</v>
      </c>
      <c r="M152" s="233">
        <f>M78*LOOKUP(M$8,Inputs!$G$48:$K$48,Inputs!$G$50:$K$50)/months_yr*M$6</f>
        <v>0</v>
      </c>
      <c r="N152" s="233">
        <f>N78*LOOKUP(N$8,Inputs!$G$48:$K$48,Inputs!$G$50:$K$50)/months_yr*N$6</f>
        <v>0</v>
      </c>
      <c r="O152" s="233">
        <f>O78*LOOKUP(O$8,Inputs!$G$48:$K$48,Inputs!$G$50:$K$50)/months_yr*O$6</f>
        <v>0</v>
      </c>
      <c r="P152" s="233">
        <f>P78*LOOKUP(P$8,Inputs!$G$48:$K$48,Inputs!$G$50:$K$50)/months_yr*P$6</f>
        <v>0</v>
      </c>
      <c r="Q152" s="233">
        <f>Q78*LOOKUP(Q$8,Inputs!$G$48:$K$48,Inputs!$G$50:$K$50)/months_yr*Q$6</f>
        <v>0</v>
      </c>
      <c r="R152" s="233">
        <f>R78*LOOKUP(R$8,Inputs!$G$48:$K$48,Inputs!$G$50:$K$50)/months_yr*R$6</f>
        <v>0</v>
      </c>
      <c r="S152" s="233">
        <f>S78*LOOKUP(S$8,Inputs!$G$48:$K$48,Inputs!$G$50:$K$50)/months_yr*S$6</f>
        <v>0</v>
      </c>
      <c r="T152" s="233">
        <f>T78*LOOKUP(T$8,Inputs!$G$48:$K$48,Inputs!$G$50:$K$50)/months_yr*T$6</f>
        <v>0</v>
      </c>
      <c r="U152" s="233">
        <f>U78*LOOKUP(U$8,Inputs!$G$48:$K$48,Inputs!$G$50:$K$50)/months_yr*U$6</f>
        <v>0</v>
      </c>
      <c r="V152" s="233">
        <f>V78*LOOKUP(V$8,Inputs!$G$48:$K$48,Inputs!$G$50:$K$50)/months_yr*V$6</f>
        <v>0</v>
      </c>
      <c r="W152" s="233">
        <f>W78*LOOKUP(W$8,Inputs!$G$48:$K$48,Inputs!$G$50:$K$50)/months_yr*W$6</f>
        <v>0</v>
      </c>
      <c r="X152" s="233">
        <f>X78*LOOKUP(X$8,Inputs!$G$48:$K$48,Inputs!$G$50:$K$50)/months_yr*X$6</f>
        <v>0</v>
      </c>
      <c r="Y152" s="233">
        <f>Y78*LOOKUP(Y$8,Inputs!$G$48:$K$48,Inputs!$G$50:$K$50)/months_yr*Y$6</f>
        <v>0</v>
      </c>
      <c r="Z152" s="233">
        <f>Z78*LOOKUP(Z$8,Inputs!$G$48:$K$48,Inputs!$G$50:$K$50)/months_yr*Z$6</f>
        <v>0</v>
      </c>
      <c r="AA152" s="233">
        <f>AA78*LOOKUP(AA$8,Inputs!$G$48:$K$48,Inputs!$G$50:$K$50)/months_yr*AA$6</f>
        <v>0</v>
      </c>
      <c r="AB152" s="233">
        <f>AB78*LOOKUP(AB$8,Inputs!$G$48:$K$48,Inputs!$G$50:$K$50)/months_yr*AB$6</f>
        <v>0</v>
      </c>
      <c r="AC152" s="233">
        <f>AC78*LOOKUP(AC$8,Inputs!$G$48:$K$48,Inputs!$G$50:$K$50)/months_yr*AC$6</f>
        <v>0</v>
      </c>
      <c r="AD152" s="233">
        <f>AD78*LOOKUP(AD$8,Inputs!$G$48:$K$48,Inputs!$G$50:$K$50)/months_yr*AD$6</f>
        <v>0</v>
      </c>
      <c r="AE152" s="233">
        <f>AE78*LOOKUP(AE$8,Inputs!$G$48:$K$48,Inputs!$G$50:$K$50)/months_yr*AE$6</f>
        <v>0</v>
      </c>
      <c r="AF152" s="233">
        <f>AF78*LOOKUP(AF$8,Inputs!$G$48:$K$48,Inputs!$G$50:$K$50)/months_yr*AF$6</f>
        <v>0</v>
      </c>
      <c r="AG152" s="233">
        <f>AG78*LOOKUP(AG$8,Inputs!$G$48:$K$48,Inputs!$G$50:$K$50)/months_yr*AG$6</f>
        <v>0</v>
      </c>
    </row>
    <row r="153" spans="1:33" ht="16.5" customHeight="1" outlineLevel="2">
      <c r="A153" s="128"/>
      <c r="B153" s="434"/>
      <c r="C153" s="40" t="str">
        <f>C79</f>
        <v>Fill in name or positon here</v>
      </c>
      <c r="D153" s="8" t="str">
        <f>Currency_Label</f>
        <v>USD</v>
      </c>
      <c r="E153" s="128"/>
      <c r="F153" s="128"/>
      <c r="G153" s="128"/>
      <c r="H153" s="128"/>
      <c r="I153" s="71">
        <f>SUM(J153:AG153)</f>
        <v>0</v>
      </c>
      <c r="J153" s="233">
        <f>J79*LOOKUP(J$8,Inputs!$G$48:$K$48,Inputs!$G$51:$K$51)/months_yr*J$6</f>
        <v>0</v>
      </c>
      <c r="K153" s="233">
        <f>K79*LOOKUP(K$8,Inputs!$G$48:$K$48,Inputs!$G$51:$K$51)/months_yr*K$6</f>
        <v>0</v>
      </c>
      <c r="L153" s="233">
        <f>L79*LOOKUP(L$8,Inputs!$G$48:$K$48,Inputs!$G$51:$K$51)/months_yr*L$6</f>
        <v>0</v>
      </c>
      <c r="M153" s="233">
        <f>M79*LOOKUP(M$8,Inputs!$G$48:$K$48,Inputs!$G$51:$K$51)/months_yr*M$6</f>
        <v>0</v>
      </c>
      <c r="N153" s="233">
        <f>N79*LOOKUP(N$8,Inputs!$G$48:$K$48,Inputs!$G$51:$K$51)/months_yr*N$6</f>
        <v>0</v>
      </c>
      <c r="O153" s="233">
        <f>O79*LOOKUP(O$8,Inputs!$G$48:$K$48,Inputs!$G$51:$K$51)/months_yr*O$6</f>
        <v>0</v>
      </c>
      <c r="P153" s="233">
        <f>P79*LOOKUP(P$8,Inputs!$G$48:$K$48,Inputs!$G$51:$K$51)/months_yr*P$6</f>
        <v>0</v>
      </c>
      <c r="Q153" s="233">
        <f>Q79*LOOKUP(Q$8,Inputs!$G$48:$K$48,Inputs!$G$51:$K$51)/months_yr*Q$6</f>
        <v>0</v>
      </c>
      <c r="R153" s="233">
        <f>R79*LOOKUP(R$8,Inputs!$G$48:$K$48,Inputs!$G$51:$K$51)/months_yr*R$6</f>
        <v>0</v>
      </c>
      <c r="S153" s="233">
        <f>S79*LOOKUP(S$8,Inputs!$G$48:$K$48,Inputs!$G$51:$K$51)/months_yr*S$6</f>
        <v>0</v>
      </c>
      <c r="T153" s="233">
        <f>T79*LOOKUP(T$8,Inputs!$G$48:$K$48,Inputs!$G$51:$K$51)/months_yr*T$6</f>
        <v>0</v>
      </c>
      <c r="U153" s="233">
        <f>U79*LOOKUP(U$8,Inputs!$G$48:$K$48,Inputs!$G$51:$K$51)/months_yr*U$6</f>
        <v>0</v>
      </c>
      <c r="V153" s="233">
        <f>V79*LOOKUP(V$8,Inputs!$G$48:$K$48,Inputs!$G$51:$K$51)/months_yr*V$6</f>
        <v>0</v>
      </c>
      <c r="W153" s="233">
        <f>W79*LOOKUP(W$8,Inputs!$G$48:$K$48,Inputs!$G$51:$K$51)/months_yr*W$6</f>
        <v>0</v>
      </c>
      <c r="X153" s="233">
        <f>X79*LOOKUP(X$8,Inputs!$G$48:$K$48,Inputs!$G$51:$K$51)/months_yr*X$6</f>
        <v>0</v>
      </c>
      <c r="Y153" s="233">
        <f>Y79*LOOKUP(Y$8,Inputs!$G$48:$K$48,Inputs!$G$51:$K$51)/months_yr*Y$6</f>
        <v>0</v>
      </c>
      <c r="Z153" s="233">
        <f>Z79*LOOKUP(Z$8,Inputs!$G$48:$K$48,Inputs!$G$51:$K$51)/months_yr*Z$6</f>
        <v>0</v>
      </c>
      <c r="AA153" s="233">
        <f>AA79*LOOKUP(AA$8,Inputs!$G$48:$K$48,Inputs!$G$51:$K$51)/months_yr*AA$6</f>
        <v>0</v>
      </c>
      <c r="AB153" s="233">
        <f>AB79*LOOKUP(AB$8,Inputs!$G$48:$K$48,Inputs!$G$51:$K$51)/months_yr*AB$6</f>
        <v>0</v>
      </c>
      <c r="AC153" s="233">
        <f>AC79*LOOKUP(AC$8,Inputs!$G$48:$K$48,Inputs!$G$51:$K$51)/months_yr*AC$6</f>
        <v>0</v>
      </c>
      <c r="AD153" s="233">
        <f>AD79*LOOKUP(AD$8,Inputs!$G$48:$K$48,Inputs!$G$51:$K$51)/months_yr*AD$6</f>
        <v>0</v>
      </c>
      <c r="AE153" s="233">
        <f>AE79*LOOKUP(AE$8,Inputs!$G$48:$K$48,Inputs!$G$51:$K$51)/months_yr*AE$6</f>
        <v>0</v>
      </c>
      <c r="AF153" s="233">
        <f>AF79*LOOKUP(AF$8,Inputs!$G$48:$K$48,Inputs!$G$51:$K$51)/months_yr*AF$6</f>
        <v>0</v>
      </c>
      <c r="AG153" s="233">
        <f>AG79*LOOKUP(AG$8,Inputs!$G$48:$K$48,Inputs!$G$51:$K$51)/months_yr*AG$6</f>
        <v>0</v>
      </c>
    </row>
    <row r="154" spans="1:33" ht="16.5" customHeight="1" outlineLevel="2">
      <c r="A154" s="128"/>
      <c r="B154" s="434"/>
      <c r="C154" s="40" t="str">
        <f>C80</f>
        <v>Fill in name or positon here</v>
      </c>
      <c r="D154" s="8" t="str">
        <f>Currency_Label</f>
        <v>USD</v>
      </c>
      <c r="E154" s="128"/>
      <c r="F154" s="128"/>
      <c r="G154" s="128"/>
      <c r="H154" s="128"/>
      <c r="I154" s="71">
        <f>SUM(J154:AG154)</f>
        <v>0</v>
      </c>
      <c r="J154" s="233">
        <f>J80*LOOKUP(J$8,Inputs!$G$48:$K$48,Inputs!$G$52:$K$52)/months_yr*J$6</f>
        <v>0</v>
      </c>
      <c r="K154" s="233">
        <f>K80*LOOKUP(K$8,Inputs!$G$48:$K$48,Inputs!$G$52:$K$52)/months_yr*K$6</f>
        <v>0</v>
      </c>
      <c r="L154" s="233">
        <f>L80*LOOKUP(L$8,Inputs!$G$48:$K$48,Inputs!$G$52:$K$52)/months_yr*L$6</f>
        <v>0</v>
      </c>
      <c r="M154" s="233">
        <f>M80*LOOKUP(M$8,Inputs!$G$48:$K$48,Inputs!$G$52:$K$52)/months_yr*M$6</f>
        <v>0</v>
      </c>
      <c r="N154" s="233">
        <f>N80*LOOKUP(N$8,Inputs!$G$48:$K$48,Inputs!$G$52:$K$52)/months_yr*N$6</f>
        <v>0</v>
      </c>
      <c r="O154" s="233">
        <f>O80*LOOKUP(O$8,Inputs!$G$48:$K$48,Inputs!$G$52:$K$52)/months_yr*O$6</f>
        <v>0</v>
      </c>
      <c r="P154" s="233">
        <f>P80*LOOKUP(P$8,Inputs!$G$48:$K$48,Inputs!$G$52:$K$52)/months_yr*P$6</f>
        <v>0</v>
      </c>
      <c r="Q154" s="233">
        <f>Q80*LOOKUP(Q$8,Inputs!$G$48:$K$48,Inputs!$G$52:$K$52)/months_yr*Q$6</f>
        <v>0</v>
      </c>
      <c r="R154" s="233">
        <f>R80*LOOKUP(R$8,Inputs!$G$48:$K$48,Inputs!$G$52:$K$52)/months_yr*R$6</f>
        <v>0</v>
      </c>
      <c r="S154" s="233">
        <f>S80*LOOKUP(S$8,Inputs!$G$48:$K$48,Inputs!$G$52:$K$52)/months_yr*S$6</f>
        <v>0</v>
      </c>
      <c r="T154" s="233">
        <f>T80*LOOKUP(T$8,Inputs!$G$48:$K$48,Inputs!$G$52:$K$52)/months_yr*T$6</f>
        <v>0</v>
      </c>
      <c r="U154" s="233">
        <f>U80*LOOKUP(U$8,Inputs!$G$48:$K$48,Inputs!$G$52:$K$52)/months_yr*U$6</f>
        <v>0</v>
      </c>
      <c r="V154" s="233">
        <f>V80*LOOKUP(V$8,Inputs!$G$48:$K$48,Inputs!$G$52:$K$52)/months_yr*V$6</f>
        <v>0</v>
      </c>
      <c r="W154" s="233">
        <f>W80*LOOKUP(W$8,Inputs!$G$48:$K$48,Inputs!$G$52:$K$52)/months_yr*W$6</f>
        <v>0</v>
      </c>
      <c r="X154" s="233">
        <f>X80*LOOKUP(X$8,Inputs!$G$48:$K$48,Inputs!$G$52:$K$52)/months_yr*X$6</f>
        <v>0</v>
      </c>
      <c r="Y154" s="233">
        <f>Y80*LOOKUP(Y$8,Inputs!$G$48:$K$48,Inputs!$G$52:$K$52)/months_yr*Y$6</f>
        <v>0</v>
      </c>
      <c r="Z154" s="233">
        <f>Z80*LOOKUP(Z$8,Inputs!$G$48:$K$48,Inputs!$G$52:$K$52)/months_yr*Z$6</f>
        <v>0</v>
      </c>
      <c r="AA154" s="233">
        <f>AA80*LOOKUP(AA$8,Inputs!$G$48:$K$48,Inputs!$G$52:$K$52)/months_yr*AA$6</f>
        <v>0</v>
      </c>
      <c r="AB154" s="233">
        <f>AB80*LOOKUP(AB$8,Inputs!$G$48:$K$48,Inputs!$G$52:$K$52)/months_yr*AB$6</f>
        <v>0</v>
      </c>
      <c r="AC154" s="233">
        <f>AC80*LOOKUP(AC$8,Inputs!$G$48:$K$48,Inputs!$G$52:$K$52)/months_yr*AC$6</f>
        <v>0</v>
      </c>
      <c r="AD154" s="233">
        <f>AD80*LOOKUP(AD$8,Inputs!$G$48:$K$48,Inputs!$G$52:$K$52)/months_yr*AD$6</f>
        <v>0</v>
      </c>
      <c r="AE154" s="233">
        <f>AE80*LOOKUP(AE$8,Inputs!$G$48:$K$48,Inputs!$G$52:$K$52)/months_yr*AE$6</f>
        <v>0</v>
      </c>
      <c r="AF154" s="233">
        <f>AF80*LOOKUP(AF$8,Inputs!$G$48:$K$48,Inputs!$G$52:$K$52)/months_yr*AF$6</f>
        <v>0</v>
      </c>
      <c r="AG154" s="233">
        <f>AG80*LOOKUP(AG$8,Inputs!$G$48:$K$48,Inputs!$G$52:$K$52)/months_yr*AG$6</f>
        <v>0</v>
      </c>
    </row>
    <row r="155" spans="1:33" ht="16.5" customHeight="1" outlineLevel="2">
      <c r="A155" s="128"/>
      <c r="B155" s="434"/>
      <c r="C155" s="75" t="s">
        <v>280</v>
      </c>
      <c r="D155" s="8" t="str">
        <f>Currency_Label</f>
        <v>USD</v>
      </c>
      <c r="E155" s="36"/>
      <c r="F155" s="36"/>
      <c r="G155" s="36"/>
      <c r="H155" s="36"/>
      <c r="I155" s="71">
        <f>SUM(J155:AG155)</f>
        <v>0</v>
      </c>
      <c r="J155" s="129">
        <f t="shared" ref="J155:AG155" si="23">SUM(J151:J154)</f>
        <v>0</v>
      </c>
      <c r="K155" s="129">
        <f t="shared" si="23"/>
        <v>0</v>
      </c>
      <c r="L155" s="129">
        <f t="shared" si="23"/>
        <v>0</v>
      </c>
      <c r="M155" s="129">
        <f t="shared" si="23"/>
        <v>0</v>
      </c>
      <c r="N155" s="129">
        <f t="shared" si="23"/>
        <v>0</v>
      </c>
      <c r="O155" s="129">
        <f t="shared" si="23"/>
        <v>0</v>
      </c>
      <c r="P155" s="129">
        <f t="shared" si="23"/>
        <v>0</v>
      </c>
      <c r="Q155" s="129">
        <f t="shared" si="23"/>
        <v>0</v>
      </c>
      <c r="R155" s="129">
        <f t="shared" si="23"/>
        <v>0</v>
      </c>
      <c r="S155" s="129">
        <f t="shared" si="23"/>
        <v>0</v>
      </c>
      <c r="T155" s="129">
        <f t="shared" si="23"/>
        <v>0</v>
      </c>
      <c r="U155" s="129">
        <f t="shared" si="23"/>
        <v>0</v>
      </c>
      <c r="V155" s="129">
        <f t="shared" si="23"/>
        <v>0</v>
      </c>
      <c r="W155" s="129">
        <f t="shared" si="23"/>
        <v>0</v>
      </c>
      <c r="X155" s="129">
        <f t="shared" si="23"/>
        <v>0</v>
      </c>
      <c r="Y155" s="129">
        <f t="shared" si="23"/>
        <v>0</v>
      </c>
      <c r="Z155" s="129">
        <f t="shared" si="23"/>
        <v>0</v>
      </c>
      <c r="AA155" s="129">
        <f t="shared" si="23"/>
        <v>0</v>
      </c>
      <c r="AB155" s="129">
        <f t="shared" si="23"/>
        <v>0</v>
      </c>
      <c r="AC155" s="129">
        <f t="shared" si="23"/>
        <v>0</v>
      </c>
      <c r="AD155" s="129">
        <f t="shared" si="23"/>
        <v>0</v>
      </c>
      <c r="AE155" s="129">
        <f t="shared" si="23"/>
        <v>0</v>
      </c>
      <c r="AF155" s="129">
        <f t="shared" si="23"/>
        <v>0</v>
      </c>
      <c r="AG155" s="129">
        <f t="shared" si="23"/>
        <v>0</v>
      </c>
    </row>
    <row r="156" spans="1:33" ht="16.5" customHeight="1" outlineLevel="2">
      <c r="A156" s="128"/>
      <c r="B156" s="128"/>
      <c r="C156" s="128"/>
      <c r="D156" s="275"/>
      <c r="E156" s="128"/>
      <c r="F156" s="128"/>
      <c r="G156" s="128"/>
      <c r="H156" s="128"/>
      <c r="I156" s="332"/>
      <c r="J156" s="332"/>
      <c r="K156" s="332"/>
      <c r="L156" s="332"/>
      <c r="M156" s="332"/>
      <c r="N156" s="332"/>
      <c r="O156" s="332"/>
      <c r="P156" s="332"/>
      <c r="Q156" s="332"/>
      <c r="R156" s="332"/>
      <c r="S156" s="332"/>
      <c r="T156" s="332"/>
      <c r="U156" s="332"/>
      <c r="V156" s="332"/>
      <c r="W156" s="332"/>
      <c r="X156" s="332"/>
      <c r="Y156" s="332"/>
      <c r="Z156" s="332"/>
      <c r="AA156" s="332"/>
      <c r="AB156" s="332"/>
      <c r="AC156" s="332"/>
      <c r="AD156" s="332"/>
      <c r="AE156" s="332"/>
      <c r="AF156" s="332"/>
      <c r="AG156" s="332"/>
    </row>
    <row r="157" spans="1:33" ht="16.5" customHeight="1" outlineLevel="2" thickBot="1">
      <c r="A157" s="128"/>
      <c r="B157" s="128"/>
      <c r="C157" s="268" t="s">
        <v>288</v>
      </c>
      <c r="D157" s="412" t="str">
        <f>Currency_Label</f>
        <v>USD</v>
      </c>
      <c r="E157" s="36"/>
      <c r="F157" s="36"/>
      <c r="G157" s="36"/>
      <c r="H157" s="36"/>
      <c r="I157" s="71">
        <f>SUM(J157:AG157)</f>
        <v>119066.66666666664</v>
      </c>
      <c r="J157" s="711">
        <f t="shared" ref="J157:AG157" si="24">J92+J99+J106+J113+J120+J127+J134+J141+J148+J155</f>
        <v>3333.3333333333335</v>
      </c>
      <c r="K157" s="711">
        <f t="shared" si="24"/>
        <v>3333.3333333333335</v>
      </c>
      <c r="L157" s="711">
        <f t="shared" si="24"/>
        <v>3333.3333333333335</v>
      </c>
      <c r="M157" s="711">
        <f t="shared" si="24"/>
        <v>3333.3333333333335</v>
      </c>
      <c r="N157" s="711">
        <f t="shared" si="24"/>
        <v>3333.3333333333335</v>
      </c>
      <c r="O157" s="711">
        <f t="shared" si="24"/>
        <v>3333.3333333333335</v>
      </c>
      <c r="P157" s="711">
        <f t="shared" si="24"/>
        <v>5000</v>
      </c>
      <c r="Q157" s="711">
        <f t="shared" si="24"/>
        <v>6666.666666666667</v>
      </c>
      <c r="R157" s="711">
        <f t="shared" si="24"/>
        <v>6666.666666666667</v>
      </c>
      <c r="S157" s="711">
        <f t="shared" si="24"/>
        <v>6666.666666666667</v>
      </c>
      <c r="T157" s="711">
        <f t="shared" si="24"/>
        <v>6733.333333333333</v>
      </c>
      <c r="U157" s="711">
        <f t="shared" si="24"/>
        <v>6733.333333333333</v>
      </c>
      <c r="V157" s="711">
        <f t="shared" si="24"/>
        <v>6733.333333333333</v>
      </c>
      <c r="W157" s="711">
        <f t="shared" si="24"/>
        <v>6733.333333333333</v>
      </c>
      <c r="X157" s="711">
        <f t="shared" si="24"/>
        <v>6733.333333333333</v>
      </c>
      <c r="Y157" s="711">
        <f t="shared" si="24"/>
        <v>6733.333333333333</v>
      </c>
      <c r="Z157" s="711">
        <f t="shared" si="24"/>
        <v>6733.333333333333</v>
      </c>
      <c r="AA157" s="711">
        <f t="shared" si="24"/>
        <v>6733.333333333333</v>
      </c>
      <c r="AB157" s="711">
        <f t="shared" si="24"/>
        <v>6733.333333333333</v>
      </c>
      <c r="AC157" s="711">
        <f t="shared" si="24"/>
        <v>6733.333333333333</v>
      </c>
      <c r="AD157" s="711">
        <f t="shared" si="24"/>
        <v>6733.333333333333</v>
      </c>
      <c r="AE157" s="711">
        <f t="shared" si="24"/>
        <v>0</v>
      </c>
      <c r="AF157" s="711">
        <f t="shared" si="24"/>
        <v>0</v>
      </c>
      <c r="AG157" s="711">
        <f t="shared" si="24"/>
        <v>0</v>
      </c>
    </row>
    <row r="158" spans="1:33" ht="13.5" outlineLevel="1" thickTop="1">
      <c r="A158" s="128"/>
      <c r="B158" s="128"/>
      <c r="C158" s="128"/>
      <c r="D158" s="128"/>
      <c r="E158" s="128"/>
      <c r="F158" s="128"/>
      <c r="G158" s="128"/>
      <c r="H158" s="128"/>
      <c r="I158" s="332"/>
      <c r="J158" s="128"/>
      <c r="K158" s="128"/>
      <c r="L158" s="128"/>
      <c r="M158" s="287"/>
      <c r="N158" s="287"/>
      <c r="O158" s="287"/>
      <c r="P158" s="287"/>
      <c r="Q158" s="287"/>
      <c r="R158" s="287"/>
      <c r="S158" s="287"/>
      <c r="T158" s="287"/>
      <c r="U158" s="287"/>
      <c r="V158" s="287"/>
      <c r="W158" s="287"/>
      <c r="X158" s="287"/>
      <c r="Y158" s="287"/>
      <c r="Z158" s="287"/>
      <c r="AA158" s="287"/>
      <c r="AB158" s="287"/>
      <c r="AC158" s="287"/>
      <c r="AD158" s="287"/>
      <c r="AE158" s="287"/>
      <c r="AF158" s="287"/>
      <c r="AG158" s="287"/>
    </row>
    <row r="159" spans="1:33" ht="21.75" customHeight="1" outlineLevel="1">
      <c r="A159" s="894"/>
      <c r="B159" s="287"/>
      <c r="C159" s="279" t="str">
        <f>CHOOSE(language,"Social security contributions and taxes - Direct Labour Staff","Social security contributions and taxes - Direct Labor Staff")</f>
        <v>Social security contributions and taxes - Direct Labor Staff</v>
      </c>
      <c r="D159" s="279"/>
      <c r="E159" s="287"/>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E159" s="287"/>
      <c r="AF159" s="287"/>
      <c r="AG159" s="287"/>
    </row>
    <row r="160" spans="1:33" ht="10.5" customHeight="1" outlineLevel="2">
      <c r="A160" s="128"/>
      <c r="B160" s="128"/>
      <c r="C160" s="128"/>
      <c r="D160" s="128"/>
      <c r="E160" s="128"/>
      <c r="F160" s="128"/>
      <c r="G160" s="128"/>
      <c r="H160" s="128"/>
      <c r="I160" s="128"/>
      <c r="J160" s="128"/>
      <c r="K160" s="128"/>
      <c r="L160" s="128"/>
      <c r="M160" s="287"/>
      <c r="N160" s="287"/>
      <c r="O160" s="287"/>
      <c r="P160" s="287"/>
      <c r="Q160" s="287"/>
      <c r="R160" s="287"/>
      <c r="S160" s="287"/>
      <c r="T160" s="287"/>
      <c r="U160" s="329"/>
      <c r="V160" s="287"/>
      <c r="W160" s="287"/>
      <c r="X160" s="287"/>
      <c r="Y160" s="287"/>
      <c r="Z160" s="287"/>
      <c r="AA160" s="287"/>
      <c r="AB160" s="287"/>
      <c r="AC160" s="287"/>
      <c r="AD160" s="287"/>
      <c r="AE160" s="287"/>
      <c r="AF160" s="287"/>
      <c r="AG160" s="287"/>
    </row>
    <row r="161" spans="1:33" ht="16.5" customHeight="1" outlineLevel="2">
      <c r="A161" s="128"/>
      <c r="B161" s="708">
        <f>B13</f>
        <v>1</v>
      </c>
      <c r="C161" s="331" t="str">
        <f>C13</f>
        <v>Desktops</v>
      </c>
      <c r="D161" s="275"/>
      <c r="E161" s="411" t="s">
        <v>283</v>
      </c>
      <c r="F161" s="128"/>
      <c r="G161" s="128"/>
      <c r="H161" s="128"/>
      <c r="I161" s="128"/>
      <c r="J161" s="333"/>
      <c r="K161" s="128"/>
      <c r="L161" s="128"/>
      <c r="M161" s="287"/>
      <c r="N161" s="287"/>
      <c r="O161" s="287"/>
      <c r="P161" s="287"/>
      <c r="Q161" s="287"/>
      <c r="R161" s="287"/>
      <c r="S161" s="287"/>
      <c r="T161" s="287"/>
      <c r="U161" s="287"/>
      <c r="V161" s="287"/>
      <c r="W161" s="287"/>
      <c r="X161" s="287"/>
      <c r="Y161" s="287"/>
      <c r="Z161" s="287"/>
      <c r="AA161" s="287"/>
      <c r="AB161" s="287"/>
      <c r="AC161" s="287"/>
      <c r="AD161" s="287"/>
      <c r="AE161" s="287"/>
      <c r="AF161" s="287"/>
      <c r="AG161" s="287"/>
    </row>
    <row r="162" spans="1:33" ht="16.5" customHeight="1" outlineLevel="2">
      <c r="A162" s="128"/>
      <c r="B162" s="434"/>
      <c r="C162" s="40" t="str">
        <f t="shared" ref="C162:C173" si="25">C14</f>
        <v>Fill in name or positon here</v>
      </c>
      <c r="D162" s="8" t="str">
        <f t="shared" ref="D162:D166" si="26">Currency_Label</f>
        <v>USD</v>
      </c>
      <c r="E162" s="760">
        <f>E14</f>
        <v>1</v>
      </c>
      <c r="F162" s="128"/>
      <c r="G162" s="128"/>
      <c r="H162" s="128"/>
      <c r="I162" s="71">
        <f>SUM(J162:AG162)</f>
        <v>8795.8333333333303</v>
      </c>
      <c r="J162" s="233">
        <f t="shared" ref="J162:AG162" si="27">IFERROR(J14*(J88/J14)*AGSatz_Pausch,0)*$E162</f>
        <v>416.66666666666669</v>
      </c>
      <c r="K162" s="233">
        <f t="shared" si="27"/>
        <v>416.66666666666669</v>
      </c>
      <c r="L162" s="233">
        <f t="shared" si="27"/>
        <v>416.66666666666669</v>
      </c>
      <c r="M162" s="233">
        <f t="shared" si="27"/>
        <v>416.66666666666669</v>
      </c>
      <c r="N162" s="233">
        <f t="shared" si="27"/>
        <v>416.66666666666669</v>
      </c>
      <c r="O162" s="233">
        <f t="shared" si="27"/>
        <v>416.66666666666669</v>
      </c>
      <c r="P162" s="233">
        <f t="shared" si="27"/>
        <v>416.66666666666669</v>
      </c>
      <c r="Q162" s="233">
        <f t="shared" si="27"/>
        <v>416.66666666666669</v>
      </c>
      <c r="R162" s="233">
        <f t="shared" si="27"/>
        <v>416.66666666666669</v>
      </c>
      <c r="S162" s="233">
        <f t="shared" si="27"/>
        <v>416.66666666666669</v>
      </c>
      <c r="T162" s="233">
        <f t="shared" si="27"/>
        <v>420.83333333333331</v>
      </c>
      <c r="U162" s="233">
        <f t="shared" si="27"/>
        <v>420.83333333333331</v>
      </c>
      <c r="V162" s="233">
        <f t="shared" si="27"/>
        <v>420.83333333333331</v>
      </c>
      <c r="W162" s="233">
        <f t="shared" si="27"/>
        <v>420.83333333333331</v>
      </c>
      <c r="X162" s="233">
        <f t="shared" si="27"/>
        <v>420.83333333333331</v>
      </c>
      <c r="Y162" s="233">
        <f t="shared" si="27"/>
        <v>420.83333333333331</v>
      </c>
      <c r="Z162" s="233">
        <f t="shared" si="27"/>
        <v>420.83333333333331</v>
      </c>
      <c r="AA162" s="233">
        <f t="shared" si="27"/>
        <v>420.83333333333331</v>
      </c>
      <c r="AB162" s="233">
        <f t="shared" si="27"/>
        <v>420.83333333333331</v>
      </c>
      <c r="AC162" s="233">
        <f t="shared" si="27"/>
        <v>420.83333333333331</v>
      </c>
      <c r="AD162" s="233">
        <f t="shared" si="27"/>
        <v>420.83333333333331</v>
      </c>
      <c r="AE162" s="233">
        <f t="shared" si="27"/>
        <v>0</v>
      </c>
      <c r="AF162" s="233">
        <f t="shared" si="27"/>
        <v>0</v>
      </c>
      <c r="AG162" s="233">
        <f t="shared" si="27"/>
        <v>0</v>
      </c>
    </row>
    <row r="163" spans="1:33" ht="16.5" customHeight="1" outlineLevel="2">
      <c r="A163" s="128"/>
      <c r="B163" s="434"/>
      <c r="C163" s="40" t="str">
        <f t="shared" si="25"/>
        <v>Fill in name or positon here</v>
      </c>
      <c r="D163" s="8" t="str">
        <f t="shared" si="26"/>
        <v>USD</v>
      </c>
      <c r="E163" s="760">
        <f>E15</f>
        <v>1</v>
      </c>
      <c r="F163" s="128"/>
      <c r="G163" s="128"/>
      <c r="H163" s="128"/>
      <c r="I163" s="71">
        <f>SUM(J163:AG163)</f>
        <v>0</v>
      </c>
      <c r="J163" s="233">
        <f t="shared" ref="J163:AG163" si="28">IFERROR(J15*(J89/J15)*AGSatz_Pausch,0)*$E163</f>
        <v>0</v>
      </c>
      <c r="K163" s="233">
        <f t="shared" si="28"/>
        <v>0</v>
      </c>
      <c r="L163" s="233">
        <f t="shared" si="28"/>
        <v>0</v>
      </c>
      <c r="M163" s="233">
        <f t="shared" si="28"/>
        <v>0</v>
      </c>
      <c r="N163" s="233">
        <f t="shared" si="28"/>
        <v>0</v>
      </c>
      <c r="O163" s="233">
        <f t="shared" si="28"/>
        <v>0</v>
      </c>
      <c r="P163" s="233">
        <f t="shared" si="28"/>
        <v>0</v>
      </c>
      <c r="Q163" s="233">
        <f t="shared" si="28"/>
        <v>0</v>
      </c>
      <c r="R163" s="233">
        <f t="shared" si="28"/>
        <v>0</v>
      </c>
      <c r="S163" s="233">
        <f t="shared" si="28"/>
        <v>0</v>
      </c>
      <c r="T163" s="233">
        <f t="shared" si="28"/>
        <v>0</v>
      </c>
      <c r="U163" s="233">
        <f t="shared" si="28"/>
        <v>0</v>
      </c>
      <c r="V163" s="233">
        <f t="shared" si="28"/>
        <v>0</v>
      </c>
      <c r="W163" s="233">
        <f t="shared" si="28"/>
        <v>0</v>
      </c>
      <c r="X163" s="233">
        <f t="shared" si="28"/>
        <v>0</v>
      </c>
      <c r="Y163" s="233">
        <f t="shared" si="28"/>
        <v>0</v>
      </c>
      <c r="Z163" s="233">
        <f t="shared" si="28"/>
        <v>0</v>
      </c>
      <c r="AA163" s="233">
        <f t="shared" si="28"/>
        <v>0</v>
      </c>
      <c r="AB163" s="233">
        <f t="shared" si="28"/>
        <v>0</v>
      </c>
      <c r="AC163" s="233">
        <f t="shared" si="28"/>
        <v>0</v>
      </c>
      <c r="AD163" s="233">
        <f t="shared" si="28"/>
        <v>0</v>
      </c>
      <c r="AE163" s="233">
        <f t="shared" si="28"/>
        <v>0</v>
      </c>
      <c r="AF163" s="233">
        <f t="shared" si="28"/>
        <v>0</v>
      </c>
      <c r="AG163" s="233">
        <f t="shared" si="28"/>
        <v>0</v>
      </c>
    </row>
    <row r="164" spans="1:33" ht="16.5" customHeight="1" outlineLevel="2">
      <c r="A164" s="128"/>
      <c r="B164" s="434"/>
      <c r="C164" s="40" t="str">
        <f t="shared" si="25"/>
        <v>Fill in name or positon here</v>
      </c>
      <c r="D164" s="8" t="str">
        <f t="shared" si="26"/>
        <v>USD</v>
      </c>
      <c r="E164" s="760">
        <f>E16</f>
        <v>0</v>
      </c>
      <c r="F164" s="128"/>
      <c r="G164" s="128"/>
      <c r="H164" s="128"/>
      <c r="I164" s="71">
        <f>SUM(J164:AG164)</f>
        <v>0</v>
      </c>
      <c r="J164" s="233">
        <f t="shared" ref="J164:AG164" si="29">IFERROR(J16*(J90/J16)*AGSatz_Pausch,0)*$E164</f>
        <v>0</v>
      </c>
      <c r="K164" s="233">
        <f t="shared" si="29"/>
        <v>0</v>
      </c>
      <c r="L164" s="233">
        <f t="shared" si="29"/>
        <v>0</v>
      </c>
      <c r="M164" s="233">
        <f t="shared" si="29"/>
        <v>0</v>
      </c>
      <c r="N164" s="233">
        <f t="shared" si="29"/>
        <v>0</v>
      </c>
      <c r="O164" s="233">
        <f t="shared" si="29"/>
        <v>0</v>
      </c>
      <c r="P164" s="233">
        <f t="shared" si="29"/>
        <v>0</v>
      </c>
      <c r="Q164" s="233">
        <f t="shared" si="29"/>
        <v>0</v>
      </c>
      <c r="R164" s="233">
        <f t="shared" si="29"/>
        <v>0</v>
      </c>
      <c r="S164" s="233">
        <f t="shared" si="29"/>
        <v>0</v>
      </c>
      <c r="T164" s="233">
        <f t="shared" si="29"/>
        <v>0</v>
      </c>
      <c r="U164" s="233">
        <f t="shared" si="29"/>
        <v>0</v>
      </c>
      <c r="V164" s="233">
        <f t="shared" si="29"/>
        <v>0</v>
      </c>
      <c r="W164" s="233">
        <f t="shared" si="29"/>
        <v>0</v>
      </c>
      <c r="X164" s="233">
        <f t="shared" si="29"/>
        <v>0</v>
      </c>
      <c r="Y164" s="233">
        <f t="shared" si="29"/>
        <v>0</v>
      </c>
      <c r="Z164" s="233">
        <f t="shared" si="29"/>
        <v>0</v>
      </c>
      <c r="AA164" s="233">
        <f t="shared" si="29"/>
        <v>0</v>
      </c>
      <c r="AB164" s="233">
        <f t="shared" si="29"/>
        <v>0</v>
      </c>
      <c r="AC164" s="233">
        <f t="shared" si="29"/>
        <v>0</v>
      </c>
      <c r="AD164" s="233">
        <f t="shared" si="29"/>
        <v>0</v>
      </c>
      <c r="AE164" s="233">
        <f t="shared" si="29"/>
        <v>0</v>
      </c>
      <c r="AF164" s="233">
        <f t="shared" si="29"/>
        <v>0</v>
      </c>
      <c r="AG164" s="233">
        <f t="shared" si="29"/>
        <v>0</v>
      </c>
    </row>
    <row r="165" spans="1:33" ht="16.5" customHeight="1" outlineLevel="2">
      <c r="A165" s="128"/>
      <c r="B165" s="434"/>
      <c r="C165" s="40" t="str">
        <f t="shared" si="25"/>
        <v>Fill in name or positon here</v>
      </c>
      <c r="D165" s="8" t="str">
        <f t="shared" si="26"/>
        <v>USD</v>
      </c>
      <c r="E165" s="760">
        <f>E17</f>
        <v>1</v>
      </c>
      <c r="F165" s="128"/>
      <c r="G165" s="128"/>
      <c r="H165" s="128"/>
      <c r="I165" s="71">
        <f>SUM(J165:AG165)</f>
        <v>0</v>
      </c>
      <c r="J165" s="233">
        <f t="shared" ref="J165:AG165" si="30">IFERROR(J17*(J91/J17)*AGSatz_Pausch,0)*$E165</f>
        <v>0</v>
      </c>
      <c r="K165" s="233">
        <f t="shared" si="30"/>
        <v>0</v>
      </c>
      <c r="L165" s="233">
        <f t="shared" si="30"/>
        <v>0</v>
      </c>
      <c r="M165" s="233">
        <f t="shared" si="30"/>
        <v>0</v>
      </c>
      <c r="N165" s="233">
        <f t="shared" si="30"/>
        <v>0</v>
      </c>
      <c r="O165" s="233">
        <f t="shared" si="30"/>
        <v>0</v>
      </c>
      <c r="P165" s="233">
        <f t="shared" si="30"/>
        <v>0</v>
      </c>
      <c r="Q165" s="233">
        <f t="shared" si="30"/>
        <v>0</v>
      </c>
      <c r="R165" s="233">
        <f t="shared" si="30"/>
        <v>0</v>
      </c>
      <c r="S165" s="233">
        <f t="shared" si="30"/>
        <v>0</v>
      </c>
      <c r="T165" s="233">
        <f t="shared" si="30"/>
        <v>0</v>
      </c>
      <c r="U165" s="233">
        <f t="shared" si="30"/>
        <v>0</v>
      </c>
      <c r="V165" s="233">
        <f t="shared" si="30"/>
        <v>0</v>
      </c>
      <c r="W165" s="233">
        <f t="shared" si="30"/>
        <v>0</v>
      </c>
      <c r="X165" s="233">
        <f t="shared" si="30"/>
        <v>0</v>
      </c>
      <c r="Y165" s="233">
        <f t="shared" si="30"/>
        <v>0</v>
      </c>
      <c r="Z165" s="233">
        <f t="shared" si="30"/>
        <v>0</v>
      </c>
      <c r="AA165" s="233">
        <f t="shared" si="30"/>
        <v>0</v>
      </c>
      <c r="AB165" s="233">
        <f t="shared" si="30"/>
        <v>0</v>
      </c>
      <c r="AC165" s="233">
        <f t="shared" si="30"/>
        <v>0</v>
      </c>
      <c r="AD165" s="233">
        <f t="shared" si="30"/>
        <v>0</v>
      </c>
      <c r="AE165" s="233">
        <f t="shared" si="30"/>
        <v>0</v>
      </c>
      <c r="AF165" s="233">
        <f t="shared" si="30"/>
        <v>0</v>
      </c>
      <c r="AG165" s="233">
        <f t="shared" si="30"/>
        <v>0</v>
      </c>
    </row>
    <row r="166" spans="1:33" ht="16.5" customHeight="1" outlineLevel="2">
      <c r="A166" s="128"/>
      <c r="B166" s="434"/>
      <c r="C166" s="75" t="str">
        <f t="shared" si="25"/>
        <v xml:space="preserve">     Subtotal</v>
      </c>
      <c r="D166" s="8" t="str">
        <f t="shared" si="26"/>
        <v>USD</v>
      </c>
      <c r="E166" s="36"/>
      <c r="F166" s="36"/>
      <c r="G166" s="36"/>
      <c r="H166" s="36"/>
      <c r="I166" s="71">
        <f>SUM(J166:AG166)</f>
        <v>8795.8333333333303</v>
      </c>
      <c r="J166" s="238">
        <f t="shared" ref="J166:AG166" si="31">SUM(J162:J165)</f>
        <v>416.66666666666669</v>
      </c>
      <c r="K166" s="238">
        <f t="shared" si="31"/>
        <v>416.66666666666669</v>
      </c>
      <c r="L166" s="238">
        <f t="shared" si="31"/>
        <v>416.66666666666669</v>
      </c>
      <c r="M166" s="238">
        <f t="shared" si="31"/>
        <v>416.66666666666669</v>
      </c>
      <c r="N166" s="238">
        <f t="shared" si="31"/>
        <v>416.66666666666669</v>
      </c>
      <c r="O166" s="238">
        <f t="shared" si="31"/>
        <v>416.66666666666669</v>
      </c>
      <c r="P166" s="238">
        <f t="shared" si="31"/>
        <v>416.66666666666669</v>
      </c>
      <c r="Q166" s="238">
        <f t="shared" si="31"/>
        <v>416.66666666666669</v>
      </c>
      <c r="R166" s="238">
        <f t="shared" si="31"/>
        <v>416.66666666666669</v>
      </c>
      <c r="S166" s="238">
        <f t="shared" si="31"/>
        <v>416.66666666666669</v>
      </c>
      <c r="T166" s="238">
        <f t="shared" si="31"/>
        <v>420.83333333333331</v>
      </c>
      <c r="U166" s="238">
        <f t="shared" si="31"/>
        <v>420.83333333333331</v>
      </c>
      <c r="V166" s="238">
        <f t="shared" si="31"/>
        <v>420.83333333333331</v>
      </c>
      <c r="W166" s="238">
        <f t="shared" si="31"/>
        <v>420.83333333333331</v>
      </c>
      <c r="X166" s="238">
        <f t="shared" si="31"/>
        <v>420.83333333333331</v>
      </c>
      <c r="Y166" s="238">
        <f t="shared" si="31"/>
        <v>420.83333333333331</v>
      </c>
      <c r="Z166" s="238">
        <f t="shared" si="31"/>
        <v>420.83333333333331</v>
      </c>
      <c r="AA166" s="238">
        <f t="shared" si="31"/>
        <v>420.83333333333331</v>
      </c>
      <c r="AB166" s="238">
        <f t="shared" si="31"/>
        <v>420.83333333333331</v>
      </c>
      <c r="AC166" s="238">
        <f t="shared" si="31"/>
        <v>420.83333333333331</v>
      </c>
      <c r="AD166" s="238">
        <f t="shared" si="31"/>
        <v>420.83333333333331</v>
      </c>
      <c r="AE166" s="238">
        <f t="shared" si="31"/>
        <v>0</v>
      </c>
      <c r="AF166" s="238">
        <f t="shared" si="31"/>
        <v>0</v>
      </c>
      <c r="AG166" s="238">
        <f t="shared" si="31"/>
        <v>0</v>
      </c>
    </row>
    <row r="167" spans="1:33" ht="16.5" customHeight="1" outlineLevel="2">
      <c r="A167" s="128"/>
      <c r="B167" s="434"/>
      <c r="C167" s="331" t="str">
        <f t="shared" si="25"/>
        <v/>
      </c>
      <c r="D167" s="275"/>
      <c r="E167" s="128"/>
      <c r="F167" s="128"/>
      <c r="G167" s="128"/>
      <c r="H167" s="128"/>
      <c r="I167" s="332"/>
      <c r="J167" s="332"/>
      <c r="K167" s="332"/>
      <c r="L167" s="332"/>
      <c r="M167" s="329"/>
      <c r="N167" s="329"/>
      <c r="O167" s="329"/>
      <c r="P167" s="329"/>
      <c r="Q167" s="329"/>
      <c r="R167" s="329"/>
      <c r="S167" s="329"/>
      <c r="T167" s="329"/>
      <c r="U167" s="329"/>
      <c r="V167" s="329"/>
      <c r="W167" s="329"/>
      <c r="X167" s="329"/>
      <c r="Y167" s="329"/>
      <c r="Z167" s="329"/>
      <c r="AA167" s="329"/>
      <c r="AB167" s="329"/>
      <c r="AC167" s="329"/>
      <c r="AD167" s="329"/>
      <c r="AE167" s="329"/>
      <c r="AF167" s="329"/>
      <c r="AG167" s="329"/>
    </row>
    <row r="168" spans="1:33" ht="16.5" customHeight="1" outlineLevel="2">
      <c r="A168" s="128"/>
      <c r="B168" s="708">
        <f>B20</f>
        <v>2</v>
      </c>
      <c r="C168" s="331" t="str">
        <f t="shared" si="25"/>
        <v>Workstations</v>
      </c>
      <c r="D168" s="275"/>
      <c r="E168" s="128"/>
      <c r="F168" s="287"/>
      <c r="G168" s="287"/>
      <c r="H168" s="128"/>
      <c r="I168" s="332"/>
      <c r="J168" s="332"/>
      <c r="K168" s="332"/>
      <c r="L168" s="332"/>
      <c r="M168" s="329"/>
      <c r="N168" s="329"/>
      <c r="O168" s="329"/>
      <c r="P168" s="329"/>
      <c r="Q168" s="329"/>
      <c r="R168" s="329"/>
      <c r="S168" s="329"/>
      <c r="T168" s="329"/>
      <c r="U168" s="329"/>
      <c r="V168" s="329"/>
      <c r="W168" s="329"/>
      <c r="X168" s="329"/>
      <c r="Y168" s="329"/>
      <c r="Z168" s="329"/>
      <c r="AA168" s="329"/>
      <c r="AB168" s="329"/>
      <c r="AC168" s="329"/>
      <c r="AD168" s="329"/>
      <c r="AE168" s="329"/>
      <c r="AF168" s="329"/>
      <c r="AG168" s="329"/>
    </row>
    <row r="169" spans="1:33" ht="16.5" customHeight="1" outlineLevel="2">
      <c r="A169" s="128"/>
      <c r="B169" s="434"/>
      <c r="C169" s="40" t="str">
        <f t="shared" si="25"/>
        <v>Fill in name or positon here</v>
      </c>
      <c r="D169" s="8" t="str">
        <f>Currency_Label</f>
        <v>USD</v>
      </c>
      <c r="E169" s="760">
        <f>E21</f>
        <v>1</v>
      </c>
      <c r="F169" s="128"/>
      <c r="G169" s="128"/>
      <c r="H169" s="128"/>
      <c r="I169" s="71">
        <f>SUM(J169:AG169)</f>
        <v>6295.8333333333321</v>
      </c>
      <c r="J169" s="233">
        <f t="shared" ref="J169:AG169" si="32">IFERROR(J21*(J95/J21)*AGSatz_Pausch,0)*$E169</f>
        <v>0</v>
      </c>
      <c r="K169" s="233">
        <f t="shared" si="32"/>
        <v>0</v>
      </c>
      <c r="L169" s="233">
        <f t="shared" si="32"/>
        <v>0</v>
      </c>
      <c r="M169" s="233">
        <f t="shared" si="32"/>
        <v>0</v>
      </c>
      <c r="N169" s="233">
        <f t="shared" si="32"/>
        <v>0</v>
      </c>
      <c r="O169" s="233">
        <f t="shared" si="32"/>
        <v>0</v>
      </c>
      <c r="P169" s="233">
        <f t="shared" si="32"/>
        <v>416.66666666666669</v>
      </c>
      <c r="Q169" s="233">
        <f t="shared" si="32"/>
        <v>416.66666666666669</v>
      </c>
      <c r="R169" s="233">
        <f t="shared" si="32"/>
        <v>416.66666666666669</v>
      </c>
      <c r="S169" s="233">
        <f t="shared" si="32"/>
        <v>416.66666666666669</v>
      </c>
      <c r="T169" s="233">
        <f t="shared" si="32"/>
        <v>420.83333333333331</v>
      </c>
      <c r="U169" s="233">
        <f t="shared" si="32"/>
        <v>420.83333333333331</v>
      </c>
      <c r="V169" s="233">
        <f t="shared" si="32"/>
        <v>420.83333333333331</v>
      </c>
      <c r="W169" s="233">
        <f t="shared" si="32"/>
        <v>420.83333333333331</v>
      </c>
      <c r="X169" s="233">
        <f t="shared" si="32"/>
        <v>420.83333333333331</v>
      </c>
      <c r="Y169" s="233">
        <f t="shared" si="32"/>
        <v>420.83333333333331</v>
      </c>
      <c r="Z169" s="233">
        <f t="shared" si="32"/>
        <v>420.83333333333331</v>
      </c>
      <c r="AA169" s="233">
        <f t="shared" si="32"/>
        <v>420.83333333333331</v>
      </c>
      <c r="AB169" s="233">
        <f t="shared" si="32"/>
        <v>420.83333333333331</v>
      </c>
      <c r="AC169" s="233">
        <f t="shared" si="32"/>
        <v>420.83333333333331</v>
      </c>
      <c r="AD169" s="233">
        <f t="shared" si="32"/>
        <v>420.83333333333331</v>
      </c>
      <c r="AE169" s="233">
        <f t="shared" si="32"/>
        <v>0</v>
      </c>
      <c r="AF169" s="233">
        <f t="shared" si="32"/>
        <v>0</v>
      </c>
      <c r="AG169" s="233">
        <f t="shared" si="32"/>
        <v>0</v>
      </c>
    </row>
    <row r="170" spans="1:33" ht="16.5" customHeight="1" outlineLevel="2">
      <c r="A170" s="128"/>
      <c r="B170" s="434"/>
      <c r="C170" s="40" t="str">
        <f t="shared" si="25"/>
        <v>Fill in name or positon here</v>
      </c>
      <c r="D170" s="8" t="str">
        <f>Currency_Label</f>
        <v>USD</v>
      </c>
      <c r="E170" s="760">
        <f>E22</f>
        <v>1</v>
      </c>
      <c r="F170" s="128"/>
      <c r="G170" s="128"/>
      <c r="H170" s="128"/>
      <c r="I170" s="71">
        <f>SUM(J170:AG170)</f>
        <v>0</v>
      </c>
      <c r="J170" s="233">
        <f t="shared" ref="J170:AG170" si="33">IFERROR(J22*(J96/J22)*AGSatz_Pausch,0)*$E170</f>
        <v>0</v>
      </c>
      <c r="K170" s="233">
        <f t="shared" si="33"/>
        <v>0</v>
      </c>
      <c r="L170" s="233">
        <f t="shared" si="33"/>
        <v>0</v>
      </c>
      <c r="M170" s="233">
        <f t="shared" si="33"/>
        <v>0</v>
      </c>
      <c r="N170" s="233">
        <f t="shared" si="33"/>
        <v>0</v>
      </c>
      <c r="O170" s="233">
        <f t="shared" si="33"/>
        <v>0</v>
      </c>
      <c r="P170" s="233">
        <f t="shared" si="33"/>
        <v>0</v>
      </c>
      <c r="Q170" s="233">
        <f t="shared" si="33"/>
        <v>0</v>
      </c>
      <c r="R170" s="233">
        <f t="shared" si="33"/>
        <v>0</v>
      </c>
      <c r="S170" s="233">
        <f t="shared" si="33"/>
        <v>0</v>
      </c>
      <c r="T170" s="233">
        <f t="shared" si="33"/>
        <v>0</v>
      </c>
      <c r="U170" s="233">
        <f t="shared" si="33"/>
        <v>0</v>
      </c>
      <c r="V170" s="233">
        <f t="shared" si="33"/>
        <v>0</v>
      </c>
      <c r="W170" s="233">
        <f t="shared" si="33"/>
        <v>0</v>
      </c>
      <c r="X170" s="233">
        <f t="shared" si="33"/>
        <v>0</v>
      </c>
      <c r="Y170" s="233">
        <f t="shared" si="33"/>
        <v>0</v>
      </c>
      <c r="Z170" s="233">
        <f t="shared" si="33"/>
        <v>0</v>
      </c>
      <c r="AA170" s="233">
        <f t="shared" si="33"/>
        <v>0</v>
      </c>
      <c r="AB170" s="233">
        <f t="shared" si="33"/>
        <v>0</v>
      </c>
      <c r="AC170" s="233">
        <f t="shared" si="33"/>
        <v>0</v>
      </c>
      <c r="AD170" s="233">
        <f t="shared" si="33"/>
        <v>0</v>
      </c>
      <c r="AE170" s="233">
        <f t="shared" si="33"/>
        <v>0</v>
      </c>
      <c r="AF170" s="233">
        <f t="shared" si="33"/>
        <v>0</v>
      </c>
      <c r="AG170" s="233">
        <f t="shared" si="33"/>
        <v>0</v>
      </c>
    </row>
    <row r="171" spans="1:33" ht="16.5" customHeight="1" outlineLevel="2">
      <c r="A171" s="128"/>
      <c r="B171" s="434"/>
      <c r="C171" s="40" t="str">
        <f t="shared" si="25"/>
        <v>Fill in name or positon here</v>
      </c>
      <c r="D171" s="8" t="str">
        <f>Currency_Label</f>
        <v>USD</v>
      </c>
      <c r="E171" s="760">
        <f>E23</f>
        <v>0</v>
      </c>
      <c r="F171" s="128"/>
      <c r="G171" s="128"/>
      <c r="H171" s="128"/>
      <c r="I171" s="71">
        <f>SUM(J171:AG171)</f>
        <v>0</v>
      </c>
      <c r="J171" s="233">
        <f t="shared" ref="J171:AG171" si="34">IFERROR(J23*(J97/J23)*AGSatz_Pausch,0)*$E171</f>
        <v>0</v>
      </c>
      <c r="K171" s="233">
        <f t="shared" si="34"/>
        <v>0</v>
      </c>
      <c r="L171" s="233">
        <f t="shared" si="34"/>
        <v>0</v>
      </c>
      <c r="M171" s="233">
        <f t="shared" si="34"/>
        <v>0</v>
      </c>
      <c r="N171" s="233">
        <f t="shared" si="34"/>
        <v>0</v>
      </c>
      <c r="O171" s="233">
        <f t="shared" si="34"/>
        <v>0</v>
      </c>
      <c r="P171" s="233">
        <f t="shared" si="34"/>
        <v>0</v>
      </c>
      <c r="Q171" s="233">
        <f t="shared" si="34"/>
        <v>0</v>
      </c>
      <c r="R171" s="233">
        <f t="shared" si="34"/>
        <v>0</v>
      </c>
      <c r="S171" s="233">
        <f t="shared" si="34"/>
        <v>0</v>
      </c>
      <c r="T171" s="233">
        <f t="shared" si="34"/>
        <v>0</v>
      </c>
      <c r="U171" s="233">
        <f t="shared" si="34"/>
        <v>0</v>
      </c>
      <c r="V171" s="233">
        <f t="shared" si="34"/>
        <v>0</v>
      </c>
      <c r="W171" s="233">
        <f t="shared" si="34"/>
        <v>0</v>
      </c>
      <c r="X171" s="233">
        <f t="shared" si="34"/>
        <v>0</v>
      </c>
      <c r="Y171" s="233">
        <f t="shared" si="34"/>
        <v>0</v>
      </c>
      <c r="Z171" s="233">
        <f t="shared" si="34"/>
        <v>0</v>
      </c>
      <c r="AA171" s="233">
        <f t="shared" si="34"/>
        <v>0</v>
      </c>
      <c r="AB171" s="233">
        <f t="shared" si="34"/>
        <v>0</v>
      </c>
      <c r="AC171" s="233">
        <f t="shared" si="34"/>
        <v>0</v>
      </c>
      <c r="AD171" s="233">
        <f t="shared" si="34"/>
        <v>0</v>
      </c>
      <c r="AE171" s="233">
        <f t="shared" si="34"/>
        <v>0</v>
      </c>
      <c r="AF171" s="233">
        <f t="shared" si="34"/>
        <v>0</v>
      </c>
      <c r="AG171" s="233">
        <f t="shared" si="34"/>
        <v>0</v>
      </c>
    </row>
    <row r="172" spans="1:33" ht="16.5" customHeight="1" outlineLevel="2">
      <c r="A172" s="128"/>
      <c r="B172" s="434"/>
      <c r="C172" s="40" t="str">
        <f t="shared" si="25"/>
        <v>Fill in name or positon here</v>
      </c>
      <c r="D172" s="8" t="str">
        <f>Currency_Label</f>
        <v>USD</v>
      </c>
      <c r="E172" s="760">
        <f>E24</f>
        <v>1</v>
      </c>
      <c r="F172" s="128"/>
      <c r="G172" s="128"/>
      <c r="H172" s="128"/>
      <c r="I172" s="71">
        <f>SUM(J172:AG172)</f>
        <v>0</v>
      </c>
      <c r="J172" s="233">
        <f t="shared" ref="J172:AG172" si="35">IFERROR(J24*(J98/J24)*AGSatz_Pausch,0)*$E172</f>
        <v>0</v>
      </c>
      <c r="K172" s="233">
        <f t="shared" si="35"/>
        <v>0</v>
      </c>
      <c r="L172" s="233">
        <f t="shared" si="35"/>
        <v>0</v>
      </c>
      <c r="M172" s="233">
        <f t="shared" si="35"/>
        <v>0</v>
      </c>
      <c r="N172" s="233">
        <f t="shared" si="35"/>
        <v>0</v>
      </c>
      <c r="O172" s="233">
        <f t="shared" si="35"/>
        <v>0</v>
      </c>
      <c r="P172" s="233">
        <f t="shared" si="35"/>
        <v>0</v>
      </c>
      <c r="Q172" s="233">
        <f t="shared" si="35"/>
        <v>0</v>
      </c>
      <c r="R172" s="233">
        <f t="shared" si="35"/>
        <v>0</v>
      </c>
      <c r="S172" s="233">
        <f t="shared" si="35"/>
        <v>0</v>
      </c>
      <c r="T172" s="233">
        <f t="shared" si="35"/>
        <v>0</v>
      </c>
      <c r="U172" s="233">
        <f t="shared" si="35"/>
        <v>0</v>
      </c>
      <c r="V172" s="233">
        <f t="shared" si="35"/>
        <v>0</v>
      </c>
      <c r="W172" s="233">
        <f t="shared" si="35"/>
        <v>0</v>
      </c>
      <c r="X172" s="233">
        <f t="shared" si="35"/>
        <v>0</v>
      </c>
      <c r="Y172" s="233">
        <f t="shared" si="35"/>
        <v>0</v>
      </c>
      <c r="Z172" s="233">
        <f t="shared" si="35"/>
        <v>0</v>
      </c>
      <c r="AA172" s="233">
        <f t="shared" si="35"/>
        <v>0</v>
      </c>
      <c r="AB172" s="233">
        <f t="shared" si="35"/>
        <v>0</v>
      </c>
      <c r="AC172" s="233">
        <f t="shared" si="35"/>
        <v>0</v>
      </c>
      <c r="AD172" s="233">
        <f t="shared" si="35"/>
        <v>0</v>
      </c>
      <c r="AE172" s="233">
        <f t="shared" si="35"/>
        <v>0</v>
      </c>
      <c r="AF172" s="233">
        <f t="shared" si="35"/>
        <v>0</v>
      </c>
      <c r="AG172" s="233">
        <f t="shared" si="35"/>
        <v>0</v>
      </c>
    </row>
    <row r="173" spans="1:33" ht="16.5" customHeight="1" outlineLevel="2">
      <c r="A173" s="128"/>
      <c r="B173" s="434"/>
      <c r="C173" s="75" t="str">
        <f t="shared" si="25"/>
        <v xml:space="preserve">     Subtotal</v>
      </c>
      <c r="D173" s="8" t="str">
        <f>Currency_Label</f>
        <v>USD</v>
      </c>
      <c r="E173" s="36"/>
      <c r="F173" s="36"/>
      <c r="G173" s="36"/>
      <c r="H173" s="36"/>
      <c r="I173" s="71">
        <f>SUM(J173:AG173)</f>
        <v>6295.8333333333321</v>
      </c>
      <c r="J173" s="238">
        <f t="shared" ref="J173:AG173" si="36">SUM(J169:J172)</f>
        <v>0</v>
      </c>
      <c r="K173" s="238">
        <f t="shared" si="36"/>
        <v>0</v>
      </c>
      <c r="L173" s="238">
        <f t="shared" si="36"/>
        <v>0</v>
      </c>
      <c r="M173" s="238">
        <f t="shared" si="36"/>
        <v>0</v>
      </c>
      <c r="N173" s="238">
        <f t="shared" si="36"/>
        <v>0</v>
      </c>
      <c r="O173" s="238">
        <f t="shared" si="36"/>
        <v>0</v>
      </c>
      <c r="P173" s="238">
        <f t="shared" si="36"/>
        <v>416.66666666666669</v>
      </c>
      <c r="Q173" s="238">
        <f t="shared" si="36"/>
        <v>416.66666666666669</v>
      </c>
      <c r="R173" s="238">
        <f t="shared" si="36"/>
        <v>416.66666666666669</v>
      </c>
      <c r="S173" s="238">
        <f t="shared" si="36"/>
        <v>416.66666666666669</v>
      </c>
      <c r="T173" s="238">
        <f t="shared" si="36"/>
        <v>420.83333333333331</v>
      </c>
      <c r="U173" s="238">
        <f t="shared" si="36"/>
        <v>420.83333333333331</v>
      </c>
      <c r="V173" s="238">
        <f t="shared" si="36"/>
        <v>420.83333333333331</v>
      </c>
      <c r="W173" s="238">
        <f t="shared" si="36"/>
        <v>420.83333333333331</v>
      </c>
      <c r="X173" s="238">
        <f t="shared" si="36"/>
        <v>420.83333333333331</v>
      </c>
      <c r="Y173" s="238">
        <f t="shared" si="36"/>
        <v>420.83333333333331</v>
      </c>
      <c r="Z173" s="238">
        <f t="shared" si="36"/>
        <v>420.83333333333331</v>
      </c>
      <c r="AA173" s="238">
        <f t="shared" si="36"/>
        <v>420.83333333333331</v>
      </c>
      <c r="AB173" s="238">
        <f t="shared" si="36"/>
        <v>420.83333333333331</v>
      </c>
      <c r="AC173" s="238">
        <f t="shared" si="36"/>
        <v>420.83333333333331</v>
      </c>
      <c r="AD173" s="238">
        <f t="shared" si="36"/>
        <v>420.83333333333331</v>
      </c>
      <c r="AE173" s="238">
        <f t="shared" si="36"/>
        <v>0</v>
      </c>
      <c r="AF173" s="238">
        <f t="shared" si="36"/>
        <v>0</v>
      </c>
      <c r="AG173" s="238">
        <f t="shared" si="36"/>
        <v>0</v>
      </c>
    </row>
    <row r="174" spans="1:33" ht="16.5" customHeight="1" outlineLevel="2">
      <c r="A174" s="128"/>
      <c r="B174" s="708"/>
      <c r="C174" s="128"/>
      <c r="D174" s="275"/>
      <c r="E174" s="128"/>
      <c r="F174" s="128"/>
      <c r="G174" s="128"/>
      <c r="H174" s="128"/>
      <c r="I174" s="332"/>
      <c r="J174" s="332"/>
      <c r="K174" s="332"/>
      <c r="L174" s="332"/>
      <c r="M174" s="332"/>
      <c r="N174" s="332"/>
      <c r="O174" s="332"/>
      <c r="P174" s="332"/>
      <c r="Q174" s="332"/>
      <c r="R174" s="332"/>
      <c r="S174" s="332"/>
      <c r="T174" s="332"/>
      <c r="U174" s="332"/>
      <c r="V174" s="332"/>
      <c r="W174" s="332"/>
      <c r="X174" s="332"/>
      <c r="Y174" s="332"/>
      <c r="Z174" s="332"/>
      <c r="AA174" s="332"/>
      <c r="AB174" s="332"/>
      <c r="AC174" s="332"/>
      <c r="AD174" s="332"/>
      <c r="AE174" s="332"/>
      <c r="AF174" s="332"/>
      <c r="AG174" s="332"/>
    </row>
    <row r="175" spans="1:33" ht="16.5" customHeight="1" outlineLevel="2">
      <c r="A175" s="128"/>
      <c r="B175" s="708">
        <f>B27</f>
        <v>3</v>
      </c>
      <c r="C175" s="331" t="str">
        <f>C27</f>
        <v>Notebooks</v>
      </c>
      <c r="D175" s="275"/>
      <c r="E175" s="128"/>
      <c r="F175" s="287"/>
      <c r="G175" s="287"/>
      <c r="H175" s="128"/>
      <c r="I175" s="332"/>
      <c r="J175" s="332"/>
      <c r="K175" s="332"/>
      <c r="L175" s="332"/>
      <c r="M175" s="332"/>
      <c r="N175" s="332"/>
      <c r="O175" s="332"/>
      <c r="P175" s="332"/>
      <c r="Q175" s="332"/>
      <c r="R175" s="332"/>
      <c r="S175" s="332"/>
      <c r="T175" s="332"/>
      <c r="U175" s="332"/>
      <c r="V175" s="332"/>
      <c r="W175" s="332"/>
      <c r="X175" s="332"/>
      <c r="Y175" s="332"/>
      <c r="Z175" s="332"/>
      <c r="AA175" s="332"/>
      <c r="AB175" s="332"/>
      <c r="AC175" s="332"/>
      <c r="AD175" s="332"/>
      <c r="AE175" s="332"/>
      <c r="AF175" s="332"/>
      <c r="AG175" s="332"/>
    </row>
    <row r="176" spans="1:33" ht="16.5" customHeight="1" outlineLevel="2">
      <c r="A176" s="128"/>
      <c r="B176" s="434"/>
      <c r="C176" s="40" t="str">
        <f>C28</f>
        <v>Fill in name or positon here</v>
      </c>
      <c r="D176" s="8" t="str">
        <f>Currency_Label</f>
        <v>USD</v>
      </c>
      <c r="E176" s="760">
        <f>E28</f>
        <v>1</v>
      </c>
      <c r="F176" s="128"/>
      <c r="G176" s="128"/>
      <c r="H176" s="128"/>
      <c r="I176" s="71">
        <f>SUM(J176:AG176)</f>
        <v>0</v>
      </c>
      <c r="J176" s="233">
        <f t="shared" ref="J176:AG176" si="37">IFERROR(J28*(J102/J28)*AGSatz_Pausch,0)*$E176</f>
        <v>0</v>
      </c>
      <c r="K176" s="233">
        <f t="shared" si="37"/>
        <v>0</v>
      </c>
      <c r="L176" s="233">
        <f t="shared" si="37"/>
        <v>0</v>
      </c>
      <c r="M176" s="233">
        <f t="shared" si="37"/>
        <v>0</v>
      </c>
      <c r="N176" s="233">
        <f t="shared" si="37"/>
        <v>0</v>
      </c>
      <c r="O176" s="233">
        <f t="shared" si="37"/>
        <v>0</v>
      </c>
      <c r="P176" s="233">
        <f t="shared" si="37"/>
        <v>0</v>
      </c>
      <c r="Q176" s="233">
        <f t="shared" si="37"/>
        <v>0</v>
      </c>
      <c r="R176" s="233">
        <f t="shared" si="37"/>
        <v>0</v>
      </c>
      <c r="S176" s="233">
        <f t="shared" si="37"/>
        <v>0</v>
      </c>
      <c r="T176" s="233">
        <f t="shared" si="37"/>
        <v>0</v>
      </c>
      <c r="U176" s="233">
        <f t="shared" si="37"/>
        <v>0</v>
      </c>
      <c r="V176" s="233">
        <f t="shared" si="37"/>
        <v>0</v>
      </c>
      <c r="W176" s="233">
        <f t="shared" si="37"/>
        <v>0</v>
      </c>
      <c r="X176" s="233">
        <f t="shared" si="37"/>
        <v>0</v>
      </c>
      <c r="Y176" s="233">
        <f t="shared" si="37"/>
        <v>0</v>
      </c>
      <c r="Z176" s="233">
        <f t="shared" si="37"/>
        <v>0</v>
      </c>
      <c r="AA176" s="233">
        <f t="shared" si="37"/>
        <v>0</v>
      </c>
      <c r="AB176" s="233">
        <f t="shared" si="37"/>
        <v>0</v>
      </c>
      <c r="AC176" s="233">
        <f t="shared" si="37"/>
        <v>0</v>
      </c>
      <c r="AD176" s="233">
        <f t="shared" si="37"/>
        <v>0</v>
      </c>
      <c r="AE176" s="233">
        <f t="shared" si="37"/>
        <v>0</v>
      </c>
      <c r="AF176" s="233">
        <f t="shared" si="37"/>
        <v>0</v>
      </c>
      <c r="AG176" s="233">
        <f t="shared" si="37"/>
        <v>0</v>
      </c>
    </row>
    <row r="177" spans="1:33" ht="16.5" customHeight="1" outlineLevel="2">
      <c r="A177" s="128"/>
      <c r="B177" s="434"/>
      <c r="C177" s="40" t="str">
        <f>C29</f>
        <v>Fill in name or positon here</v>
      </c>
      <c r="D177" s="8" t="str">
        <f>Currency_Label</f>
        <v>USD</v>
      </c>
      <c r="E177" s="760">
        <f>E29</f>
        <v>1</v>
      </c>
      <c r="F177" s="128"/>
      <c r="G177" s="128"/>
      <c r="H177" s="128"/>
      <c r="I177" s="71">
        <f>SUM(J177:AG177)</f>
        <v>0</v>
      </c>
      <c r="J177" s="233">
        <f t="shared" ref="J177:AG177" si="38">IFERROR(J29*(J103/J29)*AGSatz_Pausch,0)*$E177</f>
        <v>0</v>
      </c>
      <c r="K177" s="233">
        <f t="shared" si="38"/>
        <v>0</v>
      </c>
      <c r="L177" s="233">
        <f t="shared" si="38"/>
        <v>0</v>
      </c>
      <c r="M177" s="233">
        <f t="shared" si="38"/>
        <v>0</v>
      </c>
      <c r="N177" s="233">
        <f t="shared" si="38"/>
        <v>0</v>
      </c>
      <c r="O177" s="233">
        <f t="shared" si="38"/>
        <v>0</v>
      </c>
      <c r="P177" s="233">
        <f t="shared" si="38"/>
        <v>0</v>
      </c>
      <c r="Q177" s="233">
        <f t="shared" si="38"/>
        <v>0</v>
      </c>
      <c r="R177" s="233">
        <f t="shared" si="38"/>
        <v>0</v>
      </c>
      <c r="S177" s="233">
        <f t="shared" si="38"/>
        <v>0</v>
      </c>
      <c r="T177" s="233">
        <f t="shared" si="38"/>
        <v>0</v>
      </c>
      <c r="U177" s="233">
        <f t="shared" si="38"/>
        <v>0</v>
      </c>
      <c r="V177" s="233">
        <f t="shared" si="38"/>
        <v>0</v>
      </c>
      <c r="W177" s="233">
        <f t="shared" si="38"/>
        <v>0</v>
      </c>
      <c r="X177" s="233">
        <f t="shared" si="38"/>
        <v>0</v>
      </c>
      <c r="Y177" s="233">
        <f t="shared" si="38"/>
        <v>0</v>
      </c>
      <c r="Z177" s="233">
        <f t="shared" si="38"/>
        <v>0</v>
      </c>
      <c r="AA177" s="233">
        <f t="shared" si="38"/>
        <v>0</v>
      </c>
      <c r="AB177" s="233">
        <f t="shared" si="38"/>
        <v>0</v>
      </c>
      <c r="AC177" s="233">
        <f t="shared" si="38"/>
        <v>0</v>
      </c>
      <c r="AD177" s="233">
        <f t="shared" si="38"/>
        <v>0</v>
      </c>
      <c r="AE177" s="233">
        <f t="shared" si="38"/>
        <v>0</v>
      </c>
      <c r="AF177" s="233">
        <f t="shared" si="38"/>
        <v>0</v>
      </c>
      <c r="AG177" s="233">
        <f t="shared" si="38"/>
        <v>0</v>
      </c>
    </row>
    <row r="178" spans="1:33" ht="16.5" customHeight="1" outlineLevel="2">
      <c r="A178" s="128"/>
      <c r="B178" s="434"/>
      <c r="C178" s="40" t="str">
        <f>C30</f>
        <v>Fill in name or positon here</v>
      </c>
      <c r="D178" s="8" t="str">
        <f>Currency_Label</f>
        <v>USD</v>
      </c>
      <c r="E178" s="760">
        <f>E30</f>
        <v>1</v>
      </c>
      <c r="F178" s="128"/>
      <c r="G178" s="128"/>
      <c r="H178" s="128"/>
      <c r="I178" s="71">
        <f>SUM(J178:AG178)</f>
        <v>0</v>
      </c>
      <c r="J178" s="233">
        <f t="shared" ref="J178:AG178" si="39">IFERROR(J30*(J104/J30)*AGSatz_Pausch,0)*$E178</f>
        <v>0</v>
      </c>
      <c r="K178" s="233">
        <f t="shared" si="39"/>
        <v>0</v>
      </c>
      <c r="L178" s="233">
        <f t="shared" si="39"/>
        <v>0</v>
      </c>
      <c r="M178" s="233">
        <f t="shared" si="39"/>
        <v>0</v>
      </c>
      <c r="N178" s="233">
        <f t="shared" si="39"/>
        <v>0</v>
      </c>
      <c r="O178" s="233">
        <f t="shared" si="39"/>
        <v>0</v>
      </c>
      <c r="P178" s="233">
        <f t="shared" si="39"/>
        <v>0</v>
      </c>
      <c r="Q178" s="233">
        <f t="shared" si="39"/>
        <v>0</v>
      </c>
      <c r="R178" s="233">
        <f t="shared" si="39"/>
        <v>0</v>
      </c>
      <c r="S178" s="233">
        <f t="shared" si="39"/>
        <v>0</v>
      </c>
      <c r="T178" s="233">
        <f t="shared" si="39"/>
        <v>0</v>
      </c>
      <c r="U178" s="233">
        <f t="shared" si="39"/>
        <v>0</v>
      </c>
      <c r="V178" s="233">
        <f t="shared" si="39"/>
        <v>0</v>
      </c>
      <c r="W178" s="233">
        <f t="shared" si="39"/>
        <v>0</v>
      </c>
      <c r="X178" s="233">
        <f t="shared" si="39"/>
        <v>0</v>
      </c>
      <c r="Y178" s="233">
        <f t="shared" si="39"/>
        <v>0</v>
      </c>
      <c r="Z178" s="233">
        <f t="shared" si="39"/>
        <v>0</v>
      </c>
      <c r="AA178" s="233">
        <f t="shared" si="39"/>
        <v>0</v>
      </c>
      <c r="AB178" s="233">
        <f t="shared" si="39"/>
        <v>0</v>
      </c>
      <c r="AC178" s="233">
        <f t="shared" si="39"/>
        <v>0</v>
      </c>
      <c r="AD178" s="233">
        <f t="shared" si="39"/>
        <v>0</v>
      </c>
      <c r="AE178" s="233">
        <f t="shared" si="39"/>
        <v>0</v>
      </c>
      <c r="AF178" s="233">
        <f t="shared" si="39"/>
        <v>0</v>
      </c>
      <c r="AG178" s="233">
        <f t="shared" si="39"/>
        <v>0</v>
      </c>
    </row>
    <row r="179" spans="1:33" ht="16.5" customHeight="1" outlineLevel="2">
      <c r="A179" s="128"/>
      <c r="B179" s="434"/>
      <c r="C179" s="40" t="str">
        <f>C31</f>
        <v>Fill in name or positon here</v>
      </c>
      <c r="D179" s="8" t="str">
        <f>Currency_Label</f>
        <v>USD</v>
      </c>
      <c r="E179" s="760">
        <f>E31</f>
        <v>1</v>
      </c>
      <c r="F179" s="128"/>
      <c r="G179" s="128"/>
      <c r="H179" s="128"/>
      <c r="I179" s="71">
        <f>SUM(J179:AG179)</f>
        <v>0</v>
      </c>
      <c r="J179" s="233">
        <f t="shared" ref="J179:AG179" si="40">IFERROR(J31*(J105/J31)*AGSatz_Pausch,0)*$E179</f>
        <v>0</v>
      </c>
      <c r="K179" s="233">
        <f t="shared" si="40"/>
        <v>0</v>
      </c>
      <c r="L179" s="233">
        <f t="shared" si="40"/>
        <v>0</v>
      </c>
      <c r="M179" s="233">
        <f t="shared" si="40"/>
        <v>0</v>
      </c>
      <c r="N179" s="233">
        <f t="shared" si="40"/>
        <v>0</v>
      </c>
      <c r="O179" s="233">
        <f t="shared" si="40"/>
        <v>0</v>
      </c>
      <c r="P179" s="233">
        <f t="shared" si="40"/>
        <v>0</v>
      </c>
      <c r="Q179" s="233">
        <f t="shared" si="40"/>
        <v>0</v>
      </c>
      <c r="R179" s="233">
        <f t="shared" si="40"/>
        <v>0</v>
      </c>
      <c r="S179" s="233">
        <f t="shared" si="40"/>
        <v>0</v>
      </c>
      <c r="T179" s="233">
        <f t="shared" si="40"/>
        <v>0</v>
      </c>
      <c r="U179" s="233">
        <f t="shared" si="40"/>
        <v>0</v>
      </c>
      <c r="V179" s="233">
        <f t="shared" si="40"/>
        <v>0</v>
      </c>
      <c r="W179" s="233">
        <f t="shared" si="40"/>
        <v>0</v>
      </c>
      <c r="X179" s="233">
        <f t="shared" si="40"/>
        <v>0</v>
      </c>
      <c r="Y179" s="233">
        <f t="shared" si="40"/>
        <v>0</v>
      </c>
      <c r="Z179" s="233">
        <f t="shared" si="40"/>
        <v>0</v>
      </c>
      <c r="AA179" s="233">
        <f t="shared" si="40"/>
        <v>0</v>
      </c>
      <c r="AB179" s="233">
        <f t="shared" si="40"/>
        <v>0</v>
      </c>
      <c r="AC179" s="233">
        <f t="shared" si="40"/>
        <v>0</v>
      </c>
      <c r="AD179" s="233">
        <f t="shared" si="40"/>
        <v>0</v>
      </c>
      <c r="AE179" s="233">
        <f t="shared" si="40"/>
        <v>0</v>
      </c>
      <c r="AF179" s="233">
        <f t="shared" si="40"/>
        <v>0</v>
      </c>
      <c r="AG179" s="233">
        <f t="shared" si="40"/>
        <v>0</v>
      </c>
    </row>
    <row r="180" spans="1:33" ht="16.5" customHeight="1" outlineLevel="2">
      <c r="A180" s="128"/>
      <c r="B180" s="708"/>
      <c r="C180" s="75" t="str">
        <f>C32</f>
        <v xml:space="preserve">     Subtotal</v>
      </c>
      <c r="D180" s="8" t="str">
        <f>Currency_Label</f>
        <v>USD</v>
      </c>
      <c r="E180" s="36"/>
      <c r="F180" s="36"/>
      <c r="G180" s="36"/>
      <c r="H180" s="36"/>
      <c r="I180" s="71">
        <f>SUM(J180:AG180)</f>
        <v>0</v>
      </c>
      <c r="J180" s="238">
        <f t="shared" ref="J180:AG180" si="41">SUM(J176:J179)</f>
        <v>0</v>
      </c>
      <c r="K180" s="238">
        <f t="shared" si="41"/>
        <v>0</v>
      </c>
      <c r="L180" s="238">
        <f t="shared" si="41"/>
        <v>0</v>
      </c>
      <c r="M180" s="238">
        <f t="shared" si="41"/>
        <v>0</v>
      </c>
      <c r="N180" s="238">
        <f t="shared" si="41"/>
        <v>0</v>
      </c>
      <c r="O180" s="238">
        <f t="shared" si="41"/>
        <v>0</v>
      </c>
      <c r="P180" s="238">
        <f t="shared" si="41"/>
        <v>0</v>
      </c>
      <c r="Q180" s="238">
        <f t="shared" si="41"/>
        <v>0</v>
      </c>
      <c r="R180" s="238">
        <f t="shared" si="41"/>
        <v>0</v>
      </c>
      <c r="S180" s="238">
        <f t="shared" si="41"/>
        <v>0</v>
      </c>
      <c r="T180" s="238">
        <f t="shared" si="41"/>
        <v>0</v>
      </c>
      <c r="U180" s="238">
        <f t="shared" si="41"/>
        <v>0</v>
      </c>
      <c r="V180" s="238">
        <f t="shared" si="41"/>
        <v>0</v>
      </c>
      <c r="W180" s="238">
        <f t="shared" si="41"/>
        <v>0</v>
      </c>
      <c r="X180" s="238">
        <f t="shared" si="41"/>
        <v>0</v>
      </c>
      <c r="Y180" s="238">
        <f t="shared" si="41"/>
        <v>0</v>
      </c>
      <c r="Z180" s="238">
        <f t="shared" si="41"/>
        <v>0</v>
      </c>
      <c r="AA180" s="238">
        <f t="shared" si="41"/>
        <v>0</v>
      </c>
      <c r="AB180" s="238">
        <f t="shared" si="41"/>
        <v>0</v>
      </c>
      <c r="AC180" s="238">
        <f t="shared" si="41"/>
        <v>0</v>
      </c>
      <c r="AD180" s="238">
        <f t="shared" si="41"/>
        <v>0</v>
      </c>
      <c r="AE180" s="238">
        <f t="shared" si="41"/>
        <v>0</v>
      </c>
      <c r="AF180" s="238">
        <f t="shared" si="41"/>
        <v>0</v>
      </c>
      <c r="AG180" s="238">
        <f t="shared" si="41"/>
        <v>0</v>
      </c>
    </row>
    <row r="181" spans="1:33" ht="16.5" customHeight="1" outlineLevel="2">
      <c r="A181" s="128"/>
      <c r="B181" s="434"/>
      <c r="C181" s="128"/>
      <c r="D181" s="275"/>
      <c r="E181" s="128"/>
      <c r="F181" s="128"/>
      <c r="G181" s="128"/>
      <c r="H181" s="128"/>
      <c r="I181" s="332"/>
      <c r="J181" s="332"/>
      <c r="K181" s="332"/>
      <c r="L181" s="332"/>
      <c r="M181" s="332"/>
      <c r="N181" s="332"/>
      <c r="O181" s="332"/>
      <c r="P181" s="332"/>
      <c r="Q181" s="332"/>
      <c r="R181" s="332"/>
      <c r="S181" s="332"/>
      <c r="T181" s="332"/>
      <c r="U181" s="332"/>
      <c r="V181" s="332"/>
      <c r="W181" s="332"/>
      <c r="X181" s="332"/>
      <c r="Y181" s="332"/>
      <c r="Z181" s="332"/>
      <c r="AA181" s="332"/>
      <c r="AB181" s="332"/>
      <c r="AC181" s="332"/>
      <c r="AD181" s="332"/>
      <c r="AE181" s="332"/>
      <c r="AF181" s="332"/>
      <c r="AG181" s="332"/>
    </row>
    <row r="182" spans="1:33" ht="16.5" customHeight="1" outlineLevel="2">
      <c r="A182" s="128"/>
      <c r="B182" s="708">
        <f>B34</f>
        <v>4</v>
      </c>
      <c r="C182" s="331" t="str">
        <f>C34</f>
        <v>Software Products</v>
      </c>
      <c r="D182" s="275"/>
      <c r="E182" s="128"/>
      <c r="F182" s="287"/>
      <c r="G182" s="287"/>
      <c r="H182" s="128"/>
      <c r="I182" s="332"/>
      <c r="J182" s="332"/>
      <c r="K182" s="332"/>
      <c r="L182" s="332"/>
      <c r="M182" s="332"/>
      <c r="N182" s="332"/>
      <c r="O182" s="332"/>
      <c r="P182" s="332"/>
      <c r="Q182" s="332"/>
      <c r="R182" s="332"/>
      <c r="S182" s="332"/>
      <c r="T182" s="332"/>
      <c r="U182" s="332"/>
      <c r="V182" s="332"/>
      <c r="W182" s="332"/>
      <c r="X182" s="332"/>
      <c r="Y182" s="332"/>
      <c r="Z182" s="332"/>
      <c r="AA182" s="332"/>
      <c r="AB182" s="332"/>
      <c r="AC182" s="332"/>
      <c r="AD182" s="332"/>
      <c r="AE182" s="332"/>
      <c r="AF182" s="332"/>
      <c r="AG182" s="332"/>
    </row>
    <row r="183" spans="1:33" ht="16.5" customHeight="1" outlineLevel="2">
      <c r="A183" s="128"/>
      <c r="B183" s="434"/>
      <c r="C183" s="40" t="str">
        <f>C35</f>
        <v>Fill in name or positon here</v>
      </c>
      <c r="D183" s="8" t="str">
        <f>Currency_Label</f>
        <v>USD</v>
      </c>
      <c r="E183" s="760">
        <f>E35</f>
        <v>1</v>
      </c>
      <c r="F183" s="128"/>
      <c r="G183" s="128"/>
      <c r="H183" s="128"/>
      <c r="I183" s="71">
        <f>SUM(J183:AG183)</f>
        <v>0</v>
      </c>
      <c r="J183" s="233">
        <f t="shared" ref="J183:AG183" si="42">IFERROR(J35*(J109/J35)*AGSatz_Pausch,0)*$E183</f>
        <v>0</v>
      </c>
      <c r="K183" s="233">
        <f t="shared" si="42"/>
        <v>0</v>
      </c>
      <c r="L183" s="233">
        <f t="shared" si="42"/>
        <v>0</v>
      </c>
      <c r="M183" s="233">
        <f t="shared" si="42"/>
        <v>0</v>
      </c>
      <c r="N183" s="233">
        <f t="shared" si="42"/>
        <v>0</v>
      </c>
      <c r="O183" s="233">
        <f t="shared" si="42"/>
        <v>0</v>
      </c>
      <c r="P183" s="233">
        <f t="shared" si="42"/>
        <v>0</v>
      </c>
      <c r="Q183" s="233">
        <f t="shared" si="42"/>
        <v>0</v>
      </c>
      <c r="R183" s="233">
        <f t="shared" si="42"/>
        <v>0</v>
      </c>
      <c r="S183" s="233">
        <f t="shared" si="42"/>
        <v>0</v>
      </c>
      <c r="T183" s="233">
        <f t="shared" si="42"/>
        <v>0</v>
      </c>
      <c r="U183" s="233">
        <f t="shared" si="42"/>
        <v>0</v>
      </c>
      <c r="V183" s="233">
        <f t="shared" si="42"/>
        <v>0</v>
      </c>
      <c r="W183" s="233">
        <f t="shared" si="42"/>
        <v>0</v>
      </c>
      <c r="X183" s="233">
        <f t="shared" si="42"/>
        <v>0</v>
      </c>
      <c r="Y183" s="233">
        <f t="shared" si="42"/>
        <v>0</v>
      </c>
      <c r="Z183" s="233">
        <f t="shared" si="42"/>
        <v>0</v>
      </c>
      <c r="AA183" s="233">
        <f t="shared" si="42"/>
        <v>0</v>
      </c>
      <c r="AB183" s="233">
        <f t="shared" si="42"/>
        <v>0</v>
      </c>
      <c r="AC183" s="233">
        <f t="shared" si="42"/>
        <v>0</v>
      </c>
      <c r="AD183" s="233">
        <f t="shared" si="42"/>
        <v>0</v>
      </c>
      <c r="AE183" s="233">
        <f t="shared" si="42"/>
        <v>0</v>
      </c>
      <c r="AF183" s="233">
        <f t="shared" si="42"/>
        <v>0</v>
      </c>
      <c r="AG183" s="233">
        <f t="shared" si="42"/>
        <v>0</v>
      </c>
    </row>
    <row r="184" spans="1:33" ht="16.5" customHeight="1" outlineLevel="2">
      <c r="A184" s="128"/>
      <c r="B184" s="434"/>
      <c r="C184" s="40" t="str">
        <f>C36</f>
        <v>Fill in name or positon here</v>
      </c>
      <c r="D184" s="8" t="str">
        <f>Currency_Label</f>
        <v>USD</v>
      </c>
      <c r="E184" s="760">
        <f>E36</f>
        <v>1</v>
      </c>
      <c r="F184" s="128"/>
      <c r="G184" s="128"/>
      <c r="H184" s="128"/>
      <c r="I184" s="71">
        <f>SUM(J184:AG184)</f>
        <v>0</v>
      </c>
      <c r="J184" s="233">
        <f t="shared" ref="J184:AG184" si="43">IFERROR(J36*(J110/J36)*AGSatz_Pausch,0)*$E184</f>
        <v>0</v>
      </c>
      <c r="K184" s="233">
        <f t="shared" si="43"/>
        <v>0</v>
      </c>
      <c r="L184" s="233">
        <f t="shared" si="43"/>
        <v>0</v>
      </c>
      <c r="M184" s="233">
        <f t="shared" si="43"/>
        <v>0</v>
      </c>
      <c r="N184" s="233">
        <f t="shared" si="43"/>
        <v>0</v>
      </c>
      <c r="O184" s="233">
        <f t="shared" si="43"/>
        <v>0</v>
      </c>
      <c r="P184" s="233">
        <f t="shared" si="43"/>
        <v>0</v>
      </c>
      <c r="Q184" s="233">
        <f t="shared" si="43"/>
        <v>0</v>
      </c>
      <c r="R184" s="233">
        <f t="shared" si="43"/>
        <v>0</v>
      </c>
      <c r="S184" s="233">
        <f t="shared" si="43"/>
        <v>0</v>
      </c>
      <c r="T184" s="233">
        <f t="shared" si="43"/>
        <v>0</v>
      </c>
      <c r="U184" s="233">
        <f t="shared" si="43"/>
        <v>0</v>
      </c>
      <c r="V184" s="233">
        <f t="shared" si="43"/>
        <v>0</v>
      </c>
      <c r="W184" s="233">
        <f t="shared" si="43"/>
        <v>0</v>
      </c>
      <c r="X184" s="233">
        <f t="shared" si="43"/>
        <v>0</v>
      </c>
      <c r="Y184" s="233">
        <f t="shared" si="43"/>
        <v>0</v>
      </c>
      <c r="Z184" s="233">
        <f t="shared" si="43"/>
        <v>0</v>
      </c>
      <c r="AA184" s="233">
        <f t="shared" si="43"/>
        <v>0</v>
      </c>
      <c r="AB184" s="233">
        <f t="shared" si="43"/>
        <v>0</v>
      </c>
      <c r="AC184" s="233">
        <f t="shared" si="43"/>
        <v>0</v>
      </c>
      <c r="AD184" s="233">
        <f t="shared" si="43"/>
        <v>0</v>
      </c>
      <c r="AE184" s="233">
        <f t="shared" si="43"/>
        <v>0</v>
      </c>
      <c r="AF184" s="233">
        <f t="shared" si="43"/>
        <v>0</v>
      </c>
      <c r="AG184" s="233">
        <f t="shared" si="43"/>
        <v>0</v>
      </c>
    </row>
    <row r="185" spans="1:33" ht="16.5" customHeight="1" outlineLevel="2">
      <c r="A185" s="128"/>
      <c r="B185" s="434"/>
      <c r="C185" s="40" t="str">
        <f>C37</f>
        <v>Fill in name or positon here</v>
      </c>
      <c r="D185" s="8" t="str">
        <f>Currency_Label</f>
        <v>USD</v>
      </c>
      <c r="E185" s="760">
        <f>E37</f>
        <v>0</v>
      </c>
      <c r="F185" s="128"/>
      <c r="G185" s="128"/>
      <c r="H185" s="128"/>
      <c r="I185" s="71">
        <f>SUM(J185:AG185)</f>
        <v>0</v>
      </c>
      <c r="J185" s="233">
        <f t="shared" ref="J185:AG185" si="44">IFERROR(J37*(J111/J37)*AGSatz_Pausch,0)*$E185</f>
        <v>0</v>
      </c>
      <c r="K185" s="233">
        <f t="shared" si="44"/>
        <v>0</v>
      </c>
      <c r="L185" s="233">
        <f t="shared" si="44"/>
        <v>0</v>
      </c>
      <c r="M185" s="233">
        <f t="shared" si="44"/>
        <v>0</v>
      </c>
      <c r="N185" s="233">
        <f t="shared" si="44"/>
        <v>0</v>
      </c>
      <c r="O185" s="233">
        <f t="shared" si="44"/>
        <v>0</v>
      </c>
      <c r="P185" s="233">
        <f t="shared" si="44"/>
        <v>0</v>
      </c>
      <c r="Q185" s="233">
        <f t="shared" si="44"/>
        <v>0</v>
      </c>
      <c r="R185" s="233">
        <f t="shared" si="44"/>
        <v>0</v>
      </c>
      <c r="S185" s="233">
        <f t="shared" si="44"/>
        <v>0</v>
      </c>
      <c r="T185" s="233">
        <f t="shared" si="44"/>
        <v>0</v>
      </c>
      <c r="U185" s="233">
        <f t="shared" si="44"/>
        <v>0</v>
      </c>
      <c r="V185" s="233">
        <f t="shared" si="44"/>
        <v>0</v>
      </c>
      <c r="W185" s="233">
        <f t="shared" si="44"/>
        <v>0</v>
      </c>
      <c r="X185" s="233">
        <f t="shared" si="44"/>
        <v>0</v>
      </c>
      <c r="Y185" s="233">
        <f t="shared" si="44"/>
        <v>0</v>
      </c>
      <c r="Z185" s="233">
        <f t="shared" si="44"/>
        <v>0</v>
      </c>
      <c r="AA185" s="233">
        <f t="shared" si="44"/>
        <v>0</v>
      </c>
      <c r="AB185" s="233">
        <f t="shared" si="44"/>
        <v>0</v>
      </c>
      <c r="AC185" s="233">
        <f t="shared" si="44"/>
        <v>0</v>
      </c>
      <c r="AD185" s="233">
        <f t="shared" si="44"/>
        <v>0</v>
      </c>
      <c r="AE185" s="233">
        <f t="shared" si="44"/>
        <v>0</v>
      </c>
      <c r="AF185" s="233">
        <f t="shared" si="44"/>
        <v>0</v>
      </c>
      <c r="AG185" s="233">
        <f t="shared" si="44"/>
        <v>0</v>
      </c>
    </row>
    <row r="186" spans="1:33" ht="16.5" customHeight="1" outlineLevel="2">
      <c r="A186" s="128"/>
      <c r="B186" s="434"/>
      <c r="C186" s="40" t="str">
        <f>C38</f>
        <v>Fill in name or positon here</v>
      </c>
      <c r="D186" s="8" t="str">
        <f>Currency_Label</f>
        <v>USD</v>
      </c>
      <c r="E186" s="760">
        <f>E38</f>
        <v>1</v>
      </c>
      <c r="F186" s="128"/>
      <c r="G186" s="128"/>
      <c r="H186" s="128"/>
      <c r="I186" s="71">
        <f>SUM(J186:AG186)</f>
        <v>0</v>
      </c>
      <c r="J186" s="233">
        <f t="shared" ref="J186:AG186" si="45">IFERROR(J38*(J112/J38)*AGSatz_Pausch,0)*$E186</f>
        <v>0</v>
      </c>
      <c r="K186" s="233">
        <f t="shared" si="45"/>
        <v>0</v>
      </c>
      <c r="L186" s="233">
        <f t="shared" si="45"/>
        <v>0</v>
      </c>
      <c r="M186" s="233">
        <f t="shared" si="45"/>
        <v>0</v>
      </c>
      <c r="N186" s="233">
        <f t="shared" si="45"/>
        <v>0</v>
      </c>
      <c r="O186" s="233">
        <f t="shared" si="45"/>
        <v>0</v>
      </c>
      <c r="P186" s="233">
        <f t="shared" si="45"/>
        <v>0</v>
      </c>
      <c r="Q186" s="233">
        <f t="shared" si="45"/>
        <v>0</v>
      </c>
      <c r="R186" s="233">
        <f t="shared" si="45"/>
        <v>0</v>
      </c>
      <c r="S186" s="233">
        <f t="shared" si="45"/>
        <v>0</v>
      </c>
      <c r="T186" s="233">
        <f t="shared" si="45"/>
        <v>0</v>
      </c>
      <c r="U186" s="233">
        <f t="shared" si="45"/>
        <v>0</v>
      </c>
      <c r="V186" s="233">
        <f t="shared" si="45"/>
        <v>0</v>
      </c>
      <c r="W186" s="233">
        <f t="shared" si="45"/>
        <v>0</v>
      </c>
      <c r="X186" s="233">
        <f t="shared" si="45"/>
        <v>0</v>
      </c>
      <c r="Y186" s="233">
        <f t="shared" si="45"/>
        <v>0</v>
      </c>
      <c r="Z186" s="233">
        <f t="shared" si="45"/>
        <v>0</v>
      </c>
      <c r="AA186" s="233">
        <f t="shared" si="45"/>
        <v>0</v>
      </c>
      <c r="AB186" s="233">
        <f t="shared" si="45"/>
        <v>0</v>
      </c>
      <c r="AC186" s="233">
        <f t="shared" si="45"/>
        <v>0</v>
      </c>
      <c r="AD186" s="233">
        <f t="shared" si="45"/>
        <v>0</v>
      </c>
      <c r="AE186" s="233">
        <f t="shared" si="45"/>
        <v>0</v>
      </c>
      <c r="AF186" s="233">
        <f t="shared" si="45"/>
        <v>0</v>
      </c>
      <c r="AG186" s="233">
        <f t="shared" si="45"/>
        <v>0</v>
      </c>
    </row>
    <row r="187" spans="1:33" ht="16.5" customHeight="1" outlineLevel="2">
      <c r="A187" s="128"/>
      <c r="B187" s="434"/>
      <c r="C187" s="75" t="str">
        <f>C39</f>
        <v xml:space="preserve">     Subtotal</v>
      </c>
      <c r="D187" s="8" t="str">
        <f>Currency_Label</f>
        <v>USD</v>
      </c>
      <c r="E187" s="36"/>
      <c r="F187" s="36"/>
      <c r="G187" s="36"/>
      <c r="H187" s="36"/>
      <c r="I187" s="71">
        <f>SUM(J187:AG187)</f>
        <v>0</v>
      </c>
      <c r="J187" s="238">
        <f t="shared" ref="J187:AG187" si="46">SUM(J183:J186)</f>
        <v>0</v>
      </c>
      <c r="K187" s="238">
        <f t="shared" si="46"/>
        <v>0</v>
      </c>
      <c r="L187" s="238">
        <f t="shared" si="46"/>
        <v>0</v>
      </c>
      <c r="M187" s="238">
        <f t="shared" si="46"/>
        <v>0</v>
      </c>
      <c r="N187" s="238">
        <f t="shared" si="46"/>
        <v>0</v>
      </c>
      <c r="O187" s="238">
        <f t="shared" si="46"/>
        <v>0</v>
      </c>
      <c r="P187" s="238">
        <f t="shared" si="46"/>
        <v>0</v>
      </c>
      <c r="Q187" s="238">
        <f t="shared" si="46"/>
        <v>0</v>
      </c>
      <c r="R187" s="238">
        <f t="shared" si="46"/>
        <v>0</v>
      </c>
      <c r="S187" s="238">
        <f t="shared" si="46"/>
        <v>0</v>
      </c>
      <c r="T187" s="238">
        <f t="shared" si="46"/>
        <v>0</v>
      </c>
      <c r="U187" s="238">
        <f t="shared" si="46"/>
        <v>0</v>
      </c>
      <c r="V187" s="238">
        <f t="shared" si="46"/>
        <v>0</v>
      </c>
      <c r="W187" s="238">
        <f t="shared" si="46"/>
        <v>0</v>
      </c>
      <c r="X187" s="238">
        <f t="shared" si="46"/>
        <v>0</v>
      </c>
      <c r="Y187" s="238">
        <f t="shared" si="46"/>
        <v>0</v>
      </c>
      <c r="Z187" s="238">
        <f t="shared" si="46"/>
        <v>0</v>
      </c>
      <c r="AA187" s="238">
        <f t="shared" si="46"/>
        <v>0</v>
      </c>
      <c r="AB187" s="238">
        <f t="shared" si="46"/>
        <v>0</v>
      </c>
      <c r="AC187" s="238">
        <f t="shared" si="46"/>
        <v>0</v>
      </c>
      <c r="AD187" s="238">
        <f t="shared" si="46"/>
        <v>0</v>
      </c>
      <c r="AE187" s="238">
        <f t="shared" si="46"/>
        <v>0</v>
      </c>
      <c r="AF187" s="238">
        <f t="shared" si="46"/>
        <v>0</v>
      </c>
      <c r="AG187" s="238">
        <f t="shared" si="46"/>
        <v>0</v>
      </c>
    </row>
    <row r="188" spans="1:33" ht="16.5" customHeight="1" outlineLevel="2">
      <c r="A188" s="128"/>
      <c r="B188" s="434"/>
      <c r="C188" s="128"/>
      <c r="D188" s="275"/>
      <c r="E188" s="128"/>
      <c r="F188" s="128"/>
      <c r="G188" s="128"/>
      <c r="H188" s="128"/>
      <c r="I188" s="332"/>
      <c r="J188" s="332"/>
      <c r="K188" s="332"/>
      <c r="L188" s="332"/>
      <c r="M188" s="332"/>
      <c r="N188" s="332"/>
      <c r="O188" s="332"/>
      <c r="P188" s="332"/>
      <c r="Q188" s="332"/>
      <c r="R188" s="332"/>
      <c r="S188" s="332"/>
      <c r="T188" s="332"/>
      <c r="U188" s="332"/>
      <c r="V188" s="332"/>
      <c r="W188" s="332"/>
      <c r="X188" s="332"/>
      <c r="Y188" s="332"/>
      <c r="Z188" s="332"/>
      <c r="AA188" s="332"/>
      <c r="AB188" s="332"/>
      <c r="AC188" s="332"/>
      <c r="AD188" s="332"/>
      <c r="AE188" s="332"/>
      <c r="AF188" s="332"/>
      <c r="AG188" s="332"/>
    </row>
    <row r="189" spans="1:33" ht="16.5" customHeight="1" outlineLevel="2">
      <c r="A189" s="128"/>
      <c r="B189" s="708">
        <f>B41</f>
        <v>5</v>
      </c>
      <c r="C189" s="331" t="str">
        <f>C41</f>
        <v>Net work infrastructure solutions</v>
      </c>
      <c r="D189" s="275"/>
      <c r="E189" s="128"/>
      <c r="F189" s="287"/>
      <c r="G189" s="287"/>
      <c r="H189" s="128"/>
      <c r="I189" s="332"/>
      <c r="J189" s="332"/>
      <c r="K189" s="332"/>
      <c r="L189" s="332"/>
      <c r="M189" s="332"/>
      <c r="N189" s="332"/>
      <c r="O189" s="332"/>
      <c r="P189" s="332"/>
      <c r="Q189" s="332"/>
      <c r="R189" s="332"/>
      <c r="S189" s="332"/>
      <c r="T189" s="332"/>
      <c r="U189" s="332"/>
      <c r="V189" s="332"/>
      <c r="W189" s="332"/>
      <c r="X189" s="332"/>
      <c r="Y189" s="332"/>
      <c r="Z189" s="332"/>
      <c r="AA189" s="332"/>
      <c r="AB189" s="332"/>
      <c r="AC189" s="332"/>
      <c r="AD189" s="332"/>
      <c r="AE189" s="332"/>
      <c r="AF189" s="332"/>
      <c r="AG189" s="332"/>
    </row>
    <row r="190" spans="1:33" ht="16.5" customHeight="1" outlineLevel="2">
      <c r="A190" s="128"/>
      <c r="B190" s="434"/>
      <c r="C190" s="40" t="str">
        <f>C42</f>
        <v>Fill in name or positon here</v>
      </c>
      <c r="D190" s="8" t="str">
        <f>Currency_Label</f>
        <v>USD</v>
      </c>
      <c r="E190" s="760">
        <f>E42</f>
        <v>1</v>
      </c>
      <c r="F190" s="128"/>
      <c r="G190" s="128"/>
      <c r="H190" s="128"/>
      <c r="I190" s="71">
        <f>SUM(J190:AG190)</f>
        <v>0</v>
      </c>
      <c r="J190" s="233">
        <f t="shared" ref="J190:AG190" si="47">IFERROR(J42*(J116/J42)*AGSatz_Pausch,0)*$E190</f>
        <v>0</v>
      </c>
      <c r="K190" s="233">
        <f t="shared" si="47"/>
        <v>0</v>
      </c>
      <c r="L190" s="233">
        <f t="shared" si="47"/>
        <v>0</v>
      </c>
      <c r="M190" s="233">
        <f t="shared" si="47"/>
        <v>0</v>
      </c>
      <c r="N190" s="233">
        <f t="shared" si="47"/>
        <v>0</v>
      </c>
      <c r="O190" s="233">
        <f t="shared" si="47"/>
        <v>0</v>
      </c>
      <c r="P190" s="233">
        <f t="shared" si="47"/>
        <v>0</v>
      </c>
      <c r="Q190" s="233">
        <f t="shared" si="47"/>
        <v>0</v>
      </c>
      <c r="R190" s="233">
        <f t="shared" si="47"/>
        <v>0</v>
      </c>
      <c r="S190" s="233">
        <f t="shared" si="47"/>
        <v>0</v>
      </c>
      <c r="T190" s="233">
        <f t="shared" si="47"/>
        <v>0</v>
      </c>
      <c r="U190" s="233">
        <f t="shared" si="47"/>
        <v>0</v>
      </c>
      <c r="V190" s="233">
        <f t="shared" si="47"/>
        <v>0</v>
      </c>
      <c r="W190" s="233">
        <f t="shared" si="47"/>
        <v>0</v>
      </c>
      <c r="X190" s="233">
        <f t="shared" si="47"/>
        <v>0</v>
      </c>
      <c r="Y190" s="233">
        <f t="shared" si="47"/>
        <v>0</v>
      </c>
      <c r="Z190" s="233">
        <f t="shared" si="47"/>
        <v>0</v>
      </c>
      <c r="AA190" s="233">
        <f t="shared" si="47"/>
        <v>0</v>
      </c>
      <c r="AB190" s="233">
        <f t="shared" si="47"/>
        <v>0</v>
      </c>
      <c r="AC190" s="233">
        <f t="shared" si="47"/>
        <v>0</v>
      </c>
      <c r="AD190" s="233">
        <f t="shared" si="47"/>
        <v>0</v>
      </c>
      <c r="AE190" s="233">
        <f t="shared" si="47"/>
        <v>0</v>
      </c>
      <c r="AF190" s="233">
        <f t="shared" si="47"/>
        <v>0</v>
      </c>
      <c r="AG190" s="233">
        <f t="shared" si="47"/>
        <v>0</v>
      </c>
    </row>
    <row r="191" spans="1:33" ht="16.5" customHeight="1" outlineLevel="2">
      <c r="A191" s="128"/>
      <c r="B191" s="434"/>
      <c r="C191" s="40" t="str">
        <f>C43</f>
        <v>Fill in name or positon here</v>
      </c>
      <c r="D191" s="8" t="str">
        <f>Currency_Label</f>
        <v>USD</v>
      </c>
      <c r="E191" s="760">
        <f>E43</f>
        <v>1</v>
      </c>
      <c r="F191" s="128"/>
      <c r="G191" s="128"/>
      <c r="H191" s="128"/>
      <c r="I191" s="71">
        <f>SUM(J191:AG191)</f>
        <v>0</v>
      </c>
      <c r="J191" s="233">
        <f t="shared" ref="J191:AG191" si="48">IFERROR(J43*(J117/J43)*AGSatz_Pausch,0)*$E191</f>
        <v>0</v>
      </c>
      <c r="K191" s="233">
        <f t="shared" si="48"/>
        <v>0</v>
      </c>
      <c r="L191" s="233">
        <f t="shared" si="48"/>
        <v>0</v>
      </c>
      <c r="M191" s="233">
        <f t="shared" si="48"/>
        <v>0</v>
      </c>
      <c r="N191" s="233">
        <f t="shared" si="48"/>
        <v>0</v>
      </c>
      <c r="O191" s="233">
        <f t="shared" si="48"/>
        <v>0</v>
      </c>
      <c r="P191" s="233">
        <f t="shared" si="48"/>
        <v>0</v>
      </c>
      <c r="Q191" s="233">
        <f t="shared" si="48"/>
        <v>0</v>
      </c>
      <c r="R191" s="233">
        <f t="shared" si="48"/>
        <v>0</v>
      </c>
      <c r="S191" s="233">
        <f t="shared" si="48"/>
        <v>0</v>
      </c>
      <c r="T191" s="233">
        <f t="shared" si="48"/>
        <v>0</v>
      </c>
      <c r="U191" s="233">
        <f t="shared" si="48"/>
        <v>0</v>
      </c>
      <c r="V191" s="233">
        <f t="shared" si="48"/>
        <v>0</v>
      </c>
      <c r="W191" s="233">
        <f t="shared" si="48"/>
        <v>0</v>
      </c>
      <c r="X191" s="233">
        <f t="shared" si="48"/>
        <v>0</v>
      </c>
      <c r="Y191" s="233">
        <f t="shared" si="48"/>
        <v>0</v>
      </c>
      <c r="Z191" s="233">
        <f t="shared" si="48"/>
        <v>0</v>
      </c>
      <c r="AA191" s="233">
        <f t="shared" si="48"/>
        <v>0</v>
      </c>
      <c r="AB191" s="233">
        <f t="shared" si="48"/>
        <v>0</v>
      </c>
      <c r="AC191" s="233">
        <f t="shared" si="48"/>
        <v>0</v>
      </c>
      <c r="AD191" s="233">
        <f t="shared" si="48"/>
        <v>0</v>
      </c>
      <c r="AE191" s="233">
        <f t="shared" si="48"/>
        <v>0</v>
      </c>
      <c r="AF191" s="233">
        <f t="shared" si="48"/>
        <v>0</v>
      </c>
      <c r="AG191" s="233">
        <f t="shared" si="48"/>
        <v>0</v>
      </c>
    </row>
    <row r="192" spans="1:33" ht="16.5" customHeight="1" outlineLevel="2">
      <c r="A192" s="128"/>
      <c r="B192" s="434"/>
      <c r="C192" s="40" t="str">
        <f>C44</f>
        <v>Fill in name or positon here</v>
      </c>
      <c r="D192" s="8" t="str">
        <f>Currency_Label</f>
        <v>USD</v>
      </c>
      <c r="E192" s="760">
        <f>E44</f>
        <v>1</v>
      </c>
      <c r="F192" s="128"/>
      <c r="G192" s="128"/>
      <c r="H192" s="128"/>
      <c r="I192" s="71">
        <f>SUM(J192:AG192)</f>
        <v>0</v>
      </c>
      <c r="J192" s="233">
        <f t="shared" ref="J192:AG192" si="49">IFERROR(J44*(J118/J44)*AGSatz_Pausch,0)*$E192</f>
        <v>0</v>
      </c>
      <c r="K192" s="233">
        <f t="shared" si="49"/>
        <v>0</v>
      </c>
      <c r="L192" s="233">
        <f t="shared" si="49"/>
        <v>0</v>
      </c>
      <c r="M192" s="233">
        <f t="shared" si="49"/>
        <v>0</v>
      </c>
      <c r="N192" s="233">
        <f t="shared" si="49"/>
        <v>0</v>
      </c>
      <c r="O192" s="233">
        <f t="shared" si="49"/>
        <v>0</v>
      </c>
      <c r="P192" s="233">
        <f t="shared" si="49"/>
        <v>0</v>
      </c>
      <c r="Q192" s="233">
        <f t="shared" si="49"/>
        <v>0</v>
      </c>
      <c r="R192" s="233">
        <f t="shared" si="49"/>
        <v>0</v>
      </c>
      <c r="S192" s="233">
        <f t="shared" si="49"/>
        <v>0</v>
      </c>
      <c r="T192" s="233">
        <f t="shared" si="49"/>
        <v>0</v>
      </c>
      <c r="U192" s="233">
        <f t="shared" si="49"/>
        <v>0</v>
      </c>
      <c r="V192" s="233">
        <f t="shared" si="49"/>
        <v>0</v>
      </c>
      <c r="W192" s="233">
        <f t="shared" si="49"/>
        <v>0</v>
      </c>
      <c r="X192" s="233">
        <f t="shared" si="49"/>
        <v>0</v>
      </c>
      <c r="Y192" s="233">
        <f t="shared" si="49"/>
        <v>0</v>
      </c>
      <c r="Z192" s="233">
        <f t="shared" si="49"/>
        <v>0</v>
      </c>
      <c r="AA192" s="233">
        <f t="shared" si="49"/>
        <v>0</v>
      </c>
      <c r="AB192" s="233">
        <f t="shared" si="49"/>
        <v>0</v>
      </c>
      <c r="AC192" s="233">
        <f t="shared" si="49"/>
        <v>0</v>
      </c>
      <c r="AD192" s="233">
        <f t="shared" si="49"/>
        <v>0</v>
      </c>
      <c r="AE192" s="233">
        <f t="shared" si="49"/>
        <v>0</v>
      </c>
      <c r="AF192" s="233">
        <f t="shared" si="49"/>
        <v>0</v>
      </c>
      <c r="AG192" s="233">
        <f t="shared" si="49"/>
        <v>0</v>
      </c>
    </row>
    <row r="193" spans="1:33" ht="16.5" customHeight="1" outlineLevel="2">
      <c r="A193" s="128"/>
      <c r="B193" s="434"/>
      <c r="C193" s="40" t="str">
        <f>C45</f>
        <v>Fill in name or positon here</v>
      </c>
      <c r="D193" s="8" t="str">
        <f>Currency_Label</f>
        <v>USD</v>
      </c>
      <c r="E193" s="760">
        <f>E45</f>
        <v>1</v>
      </c>
      <c r="F193" s="128"/>
      <c r="G193" s="128"/>
      <c r="H193" s="128"/>
      <c r="I193" s="71">
        <f>SUM(J193:AG193)</f>
        <v>0</v>
      </c>
      <c r="J193" s="233">
        <f t="shared" ref="J193:AG193" si="50">IFERROR(J45*(J119/J45)*AGSatz_Pausch,0)*$E193</f>
        <v>0</v>
      </c>
      <c r="K193" s="233">
        <f t="shared" si="50"/>
        <v>0</v>
      </c>
      <c r="L193" s="233">
        <f t="shared" si="50"/>
        <v>0</v>
      </c>
      <c r="M193" s="233">
        <f t="shared" si="50"/>
        <v>0</v>
      </c>
      <c r="N193" s="233">
        <f t="shared" si="50"/>
        <v>0</v>
      </c>
      <c r="O193" s="233">
        <f t="shared" si="50"/>
        <v>0</v>
      </c>
      <c r="P193" s="233">
        <f t="shared" si="50"/>
        <v>0</v>
      </c>
      <c r="Q193" s="233">
        <f t="shared" si="50"/>
        <v>0</v>
      </c>
      <c r="R193" s="233">
        <f t="shared" si="50"/>
        <v>0</v>
      </c>
      <c r="S193" s="233">
        <f t="shared" si="50"/>
        <v>0</v>
      </c>
      <c r="T193" s="233">
        <f t="shared" si="50"/>
        <v>0</v>
      </c>
      <c r="U193" s="233">
        <f t="shared" si="50"/>
        <v>0</v>
      </c>
      <c r="V193" s="233">
        <f t="shared" si="50"/>
        <v>0</v>
      </c>
      <c r="W193" s="233">
        <f t="shared" si="50"/>
        <v>0</v>
      </c>
      <c r="X193" s="233">
        <f t="shared" si="50"/>
        <v>0</v>
      </c>
      <c r="Y193" s="233">
        <f t="shared" si="50"/>
        <v>0</v>
      </c>
      <c r="Z193" s="233">
        <f t="shared" si="50"/>
        <v>0</v>
      </c>
      <c r="AA193" s="233">
        <f t="shared" si="50"/>
        <v>0</v>
      </c>
      <c r="AB193" s="233">
        <f t="shared" si="50"/>
        <v>0</v>
      </c>
      <c r="AC193" s="233">
        <f t="shared" si="50"/>
        <v>0</v>
      </c>
      <c r="AD193" s="233">
        <f t="shared" si="50"/>
        <v>0</v>
      </c>
      <c r="AE193" s="233">
        <f t="shared" si="50"/>
        <v>0</v>
      </c>
      <c r="AF193" s="233">
        <f t="shared" si="50"/>
        <v>0</v>
      </c>
      <c r="AG193" s="233">
        <f t="shared" si="50"/>
        <v>0</v>
      </c>
    </row>
    <row r="194" spans="1:33" ht="16.5" customHeight="1" outlineLevel="2">
      <c r="A194" s="128"/>
      <c r="B194" s="434"/>
      <c r="C194" s="75" t="str">
        <f>C46</f>
        <v xml:space="preserve">     Subtotal</v>
      </c>
      <c r="D194" s="8" t="str">
        <f>Currency_Label</f>
        <v>USD</v>
      </c>
      <c r="E194" s="36"/>
      <c r="F194" s="36"/>
      <c r="G194" s="36"/>
      <c r="H194" s="36"/>
      <c r="I194" s="71">
        <f>SUM(J194:AG194)</f>
        <v>0</v>
      </c>
      <c r="J194" s="238">
        <f t="shared" ref="J194:AG194" si="51">SUM(J190:J193)</f>
        <v>0</v>
      </c>
      <c r="K194" s="238">
        <f t="shared" si="51"/>
        <v>0</v>
      </c>
      <c r="L194" s="238">
        <f t="shared" si="51"/>
        <v>0</v>
      </c>
      <c r="M194" s="238">
        <f t="shared" si="51"/>
        <v>0</v>
      </c>
      <c r="N194" s="238">
        <f t="shared" si="51"/>
        <v>0</v>
      </c>
      <c r="O194" s="238">
        <f t="shared" si="51"/>
        <v>0</v>
      </c>
      <c r="P194" s="238">
        <f t="shared" si="51"/>
        <v>0</v>
      </c>
      <c r="Q194" s="238">
        <f t="shared" si="51"/>
        <v>0</v>
      </c>
      <c r="R194" s="238">
        <f t="shared" si="51"/>
        <v>0</v>
      </c>
      <c r="S194" s="238">
        <f t="shared" si="51"/>
        <v>0</v>
      </c>
      <c r="T194" s="238">
        <f t="shared" si="51"/>
        <v>0</v>
      </c>
      <c r="U194" s="238">
        <f t="shared" si="51"/>
        <v>0</v>
      </c>
      <c r="V194" s="238">
        <f t="shared" si="51"/>
        <v>0</v>
      </c>
      <c r="W194" s="238">
        <f t="shared" si="51"/>
        <v>0</v>
      </c>
      <c r="X194" s="238">
        <f t="shared" si="51"/>
        <v>0</v>
      </c>
      <c r="Y194" s="238">
        <f t="shared" si="51"/>
        <v>0</v>
      </c>
      <c r="Z194" s="238">
        <f t="shared" si="51"/>
        <v>0</v>
      </c>
      <c r="AA194" s="238">
        <f t="shared" si="51"/>
        <v>0</v>
      </c>
      <c r="AB194" s="238">
        <f t="shared" si="51"/>
        <v>0</v>
      </c>
      <c r="AC194" s="238">
        <f t="shared" si="51"/>
        <v>0</v>
      </c>
      <c r="AD194" s="238">
        <f t="shared" si="51"/>
        <v>0</v>
      </c>
      <c r="AE194" s="238">
        <f t="shared" si="51"/>
        <v>0</v>
      </c>
      <c r="AF194" s="238">
        <f t="shared" si="51"/>
        <v>0</v>
      </c>
      <c r="AG194" s="238">
        <f t="shared" si="51"/>
        <v>0</v>
      </c>
    </row>
    <row r="195" spans="1:33" ht="16.5" customHeight="1" outlineLevel="2">
      <c r="A195" s="128"/>
      <c r="B195" s="128"/>
      <c r="C195" s="128"/>
      <c r="D195" s="275"/>
      <c r="E195" s="128"/>
      <c r="F195" s="128"/>
      <c r="G195" s="128"/>
      <c r="H195" s="128"/>
      <c r="I195" s="332"/>
      <c r="J195" s="332"/>
      <c r="K195" s="332"/>
      <c r="L195" s="332"/>
      <c r="M195" s="332"/>
      <c r="N195" s="332"/>
      <c r="O195" s="332"/>
      <c r="P195" s="332"/>
      <c r="Q195" s="332"/>
      <c r="R195" s="332"/>
      <c r="S195" s="332"/>
      <c r="T195" s="332"/>
      <c r="U195" s="332"/>
      <c r="V195" s="332"/>
      <c r="W195" s="332"/>
      <c r="X195" s="332"/>
      <c r="Y195" s="332"/>
      <c r="Z195" s="332"/>
      <c r="AA195" s="332"/>
      <c r="AB195" s="332"/>
      <c r="AC195" s="332"/>
      <c r="AD195" s="332"/>
      <c r="AE195" s="332"/>
      <c r="AF195" s="332"/>
      <c r="AG195" s="332"/>
    </row>
    <row r="196" spans="1:33" ht="16.5" customHeight="1" outlineLevel="2">
      <c r="A196" s="128"/>
      <c r="B196" s="708">
        <f>B48</f>
        <v>6</v>
      </c>
      <c r="C196" s="331" t="str">
        <f>C48</f>
        <v>Repair Services</v>
      </c>
      <c r="D196" s="275"/>
      <c r="E196" s="128"/>
      <c r="F196" s="287"/>
      <c r="G196" s="287"/>
      <c r="H196" s="128"/>
      <c r="I196" s="332"/>
      <c r="J196" s="332"/>
      <c r="K196" s="332"/>
      <c r="L196" s="332"/>
      <c r="M196" s="332"/>
      <c r="N196" s="332"/>
      <c r="O196" s="332"/>
      <c r="P196" s="332"/>
      <c r="Q196" s="332"/>
      <c r="R196" s="332"/>
      <c r="S196" s="332"/>
      <c r="T196" s="332"/>
      <c r="U196" s="332"/>
      <c r="V196" s="332"/>
      <c r="W196" s="332"/>
      <c r="X196" s="332"/>
      <c r="Y196" s="332"/>
      <c r="Z196" s="332"/>
      <c r="AA196" s="332"/>
      <c r="AB196" s="332"/>
      <c r="AC196" s="332"/>
      <c r="AD196" s="332"/>
      <c r="AE196" s="332"/>
      <c r="AF196" s="332"/>
      <c r="AG196" s="332"/>
    </row>
    <row r="197" spans="1:33" ht="16.5" customHeight="1" outlineLevel="2">
      <c r="A197" s="128"/>
      <c r="B197" s="434"/>
      <c r="C197" s="40" t="str">
        <f>C49</f>
        <v>Fill in name or positon here</v>
      </c>
      <c r="D197" s="8" t="str">
        <f>Currency_Label</f>
        <v>USD</v>
      </c>
      <c r="E197" s="760">
        <f>E49</f>
        <v>1</v>
      </c>
      <c r="F197" s="128"/>
      <c r="G197" s="128"/>
      <c r="H197" s="128"/>
      <c r="I197" s="71">
        <f>SUM(J197:AG197)</f>
        <v>14674.999999999996</v>
      </c>
      <c r="J197" s="233">
        <f t="shared" ref="J197:AG197" si="52">IFERROR(J49*(J123/J49)*AGSatz_Pausch,0)*$E197</f>
        <v>416.66666666666669</v>
      </c>
      <c r="K197" s="233">
        <f t="shared" si="52"/>
        <v>416.66666666666669</v>
      </c>
      <c r="L197" s="233">
        <f t="shared" si="52"/>
        <v>416.66666666666669</v>
      </c>
      <c r="M197" s="233">
        <f t="shared" si="52"/>
        <v>416.66666666666669</v>
      </c>
      <c r="N197" s="233">
        <f t="shared" si="52"/>
        <v>416.66666666666669</v>
      </c>
      <c r="O197" s="233">
        <f t="shared" si="52"/>
        <v>416.66666666666669</v>
      </c>
      <c r="P197" s="233">
        <f t="shared" si="52"/>
        <v>416.66666666666669</v>
      </c>
      <c r="Q197" s="233">
        <f t="shared" si="52"/>
        <v>833.33333333333337</v>
      </c>
      <c r="R197" s="233">
        <f t="shared" si="52"/>
        <v>833.33333333333337</v>
      </c>
      <c r="S197" s="233">
        <f t="shared" si="52"/>
        <v>833.33333333333337</v>
      </c>
      <c r="T197" s="233">
        <f t="shared" si="52"/>
        <v>841.66666666666663</v>
      </c>
      <c r="U197" s="233">
        <f t="shared" si="52"/>
        <v>841.66666666666663</v>
      </c>
      <c r="V197" s="233">
        <f t="shared" si="52"/>
        <v>841.66666666666663</v>
      </c>
      <c r="W197" s="233">
        <f t="shared" si="52"/>
        <v>841.66666666666663</v>
      </c>
      <c r="X197" s="233">
        <f t="shared" si="52"/>
        <v>841.66666666666663</v>
      </c>
      <c r="Y197" s="233">
        <f t="shared" si="52"/>
        <v>841.66666666666663</v>
      </c>
      <c r="Z197" s="233">
        <f t="shared" si="52"/>
        <v>841.66666666666663</v>
      </c>
      <c r="AA197" s="233">
        <f t="shared" si="52"/>
        <v>841.66666666666663</v>
      </c>
      <c r="AB197" s="233">
        <f t="shared" si="52"/>
        <v>841.66666666666663</v>
      </c>
      <c r="AC197" s="233">
        <f t="shared" si="52"/>
        <v>841.66666666666663</v>
      </c>
      <c r="AD197" s="233">
        <f t="shared" si="52"/>
        <v>841.66666666666663</v>
      </c>
      <c r="AE197" s="233">
        <f t="shared" si="52"/>
        <v>0</v>
      </c>
      <c r="AF197" s="233">
        <f t="shared" si="52"/>
        <v>0</v>
      </c>
      <c r="AG197" s="233">
        <f t="shared" si="52"/>
        <v>0</v>
      </c>
    </row>
    <row r="198" spans="1:33" ht="16.5" customHeight="1" outlineLevel="2">
      <c r="A198" s="128"/>
      <c r="B198" s="434"/>
      <c r="C198" s="40" t="str">
        <f>C50</f>
        <v>Fill in name or positon here</v>
      </c>
      <c r="D198" s="8" t="str">
        <f>Currency_Label</f>
        <v>USD</v>
      </c>
      <c r="E198" s="760">
        <f>E50</f>
        <v>1</v>
      </c>
      <c r="F198" s="128"/>
      <c r="G198" s="128"/>
      <c r="H198" s="128"/>
      <c r="I198" s="71">
        <f>SUM(J198:AG198)</f>
        <v>0</v>
      </c>
      <c r="J198" s="233">
        <f t="shared" ref="J198:AG198" si="53">IFERROR(J50*(J124/J50)*AGSatz_Pausch,0)*$E198</f>
        <v>0</v>
      </c>
      <c r="K198" s="233">
        <f t="shared" si="53"/>
        <v>0</v>
      </c>
      <c r="L198" s="233">
        <f t="shared" si="53"/>
        <v>0</v>
      </c>
      <c r="M198" s="233">
        <f t="shared" si="53"/>
        <v>0</v>
      </c>
      <c r="N198" s="233">
        <f t="shared" si="53"/>
        <v>0</v>
      </c>
      <c r="O198" s="233">
        <f t="shared" si="53"/>
        <v>0</v>
      </c>
      <c r="P198" s="233">
        <f t="shared" si="53"/>
        <v>0</v>
      </c>
      <c r="Q198" s="233">
        <f t="shared" si="53"/>
        <v>0</v>
      </c>
      <c r="R198" s="233">
        <f t="shared" si="53"/>
        <v>0</v>
      </c>
      <c r="S198" s="233">
        <f t="shared" si="53"/>
        <v>0</v>
      </c>
      <c r="T198" s="233">
        <f t="shared" si="53"/>
        <v>0</v>
      </c>
      <c r="U198" s="233">
        <f t="shared" si="53"/>
        <v>0</v>
      </c>
      <c r="V198" s="233">
        <f t="shared" si="53"/>
        <v>0</v>
      </c>
      <c r="W198" s="233">
        <f t="shared" si="53"/>
        <v>0</v>
      </c>
      <c r="X198" s="233">
        <f t="shared" si="53"/>
        <v>0</v>
      </c>
      <c r="Y198" s="233">
        <f t="shared" si="53"/>
        <v>0</v>
      </c>
      <c r="Z198" s="233">
        <f t="shared" si="53"/>
        <v>0</v>
      </c>
      <c r="AA198" s="233">
        <f t="shared" si="53"/>
        <v>0</v>
      </c>
      <c r="AB198" s="233">
        <f t="shared" si="53"/>
        <v>0</v>
      </c>
      <c r="AC198" s="233">
        <f t="shared" si="53"/>
        <v>0</v>
      </c>
      <c r="AD198" s="233">
        <f t="shared" si="53"/>
        <v>0</v>
      </c>
      <c r="AE198" s="233">
        <f t="shared" si="53"/>
        <v>0</v>
      </c>
      <c r="AF198" s="233">
        <f t="shared" si="53"/>
        <v>0</v>
      </c>
      <c r="AG198" s="233">
        <f t="shared" si="53"/>
        <v>0</v>
      </c>
    </row>
    <row r="199" spans="1:33" ht="16.5" customHeight="1" outlineLevel="2">
      <c r="A199" s="128"/>
      <c r="B199" s="434"/>
      <c r="C199" s="40" t="str">
        <f>C51</f>
        <v>Fill in name or positon here</v>
      </c>
      <c r="D199" s="8" t="str">
        <f>Currency_Label</f>
        <v>USD</v>
      </c>
      <c r="E199" s="760">
        <f>E51</f>
        <v>1</v>
      </c>
      <c r="F199" s="128"/>
      <c r="G199" s="128"/>
      <c r="H199" s="128"/>
      <c r="I199" s="71">
        <f>SUM(J199:AG199)</f>
        <v>0</v>
      </c>
      <c r="J199" s="233">
        <f t="shared" ref="J199:AG199" si="54">IFERROR(J51*(J125/J51)*AGSatz_Pausch,0)*$E199</f>
        <v>0</v>
      </c>
      <c r="K199" s="233">
        <f t="shared" si="54"/>
        <v>0</v>
      </c>
      <c r="L199" s="233">
        <f t="shared" si="54"/>
        <v>0</v>
      </c>
      <c r="M199" s="233">
        <f t="shared" si="54"/>
        <v>0</v>
      </c>
      <c r="N199" s="233">
        <f t="shared" si="54"/>
        <v>0</v>
      </c>
      <c r="O199" s="233">
        <f t="shared" si="54"/>
        <v>0</v>
      </c>
      <c r="P199" s="233">
        <f t="shared" si="54"/>
        <v>0</v>
      </c>
      <c r="Q199" s="233">
        <f t="shared" si="54"/>
        <v>0</v>
      </c>
      <c r="R199" s="233">
        <f t="shared" si="54"/>
        <v>0</v>
      </c>
      <c r="S199" s="233">
        <f t="shared" si="54"/>
        <v>0</v>
      </c>
      <c r="T199" s="233">
        <f t="shared" si="54"/>
        <v>0</v>
      </c>
      <c r="U199" s="233">
        <f t="shared" si="54"/>
        <v>0</v>
      </c>
      <c r="V199" s="233">
        <f t="shared" si="54"/>
        <v>0</v>
      </c>
      <c r="W199" s="233">
        <f t="shared" si="54"/>
        <v>0</v>
      </c>
      <c r="X199" s="233">
        <f t="shared" si="54"/>
        <v>0</v>
      </c>
      <c r="Y199" s="233">
        <f t="shared" si="54"/>
        <v>0</v>
      </c>
      <c r="Z199" s="233">
        <f t="shared" si="54"/>
        <v>0</v>
      </c>
      <c r="AA199" s="233">
        <f t="shared" si="54"/>
        <v>0</v>
      </c>
      <c r="AB199" s="233">
        <f t="shared" si="54"/>
        <v>0</v>
      </c>
      <c r="AC199" s="233">
        <f t="shared" si="54"/>
        <v>0</v>
      </c>
      <c r="AD199" s="233">
        <f t="shared" si="54"/>
        <v>0</v>
      </c>
      <c r="AE199" s="233">
        <f t="shared" si="54"/>
        <v>0</v>
      </c>
      <c r="AF199" s="233">
        <f t="shared" si="54"/>
        <v>0</v>
      </c>
      <c r="AG199" s="233">
        <f t="shared" si="54"/>
        <v>0</v>
      </c>
    </row>
    <row r="200" spans="1:33" ht="16.5" customHeight="1" outlineLevel="2">
      <c r="A200" s="128"/>
      <c r="B200" s="434"/>
      <c r="C200" s="40" t="str">
        <f>C52</f>
        <v>Fill in name or positon here</v>
      </c>
      <c r="D200" s="8" t="str">
        <f>Currency_Label</f>
        <v>USD</v>
      </c>
      <c r="E200" s="760">
        <f>E52</f>
        <v>1</v>
      </c>
      <c r="F200" s="128"/>
      <c r="G200" s="128"/>
      <c r="H200" s="128"/>
      <c r="I200" s="71">
        <f>SUM(J200:AG200)</f>
        <v>0</v>
      </c>
      <c r="J200" s="233">
        <f t="shared" ref="J200:AG200" si="55">IFERROR(J52*(J126/J52)*AGSatz_Pausch,0)*$E200</f>
        <v>0</v>
      </c>
      <c r="K200" s="233">
        <f t="shared" si="55"/>
        <v>0</v>
      </c>
      <c r="L200" s="233">
        <f t="shared" si="55"/>
        <v>0</v>
      </c>
      <c r="M200" s="233">
        <f t="shared" si="55"/>
        <v>0</v>
      </c>
      <c r="N200" s="233">
        <f t="shared" si="55"/>
        <v>0</v>
      </c>
      <c r="O200" s="233">
        <f t="shared" si="55"/>
        <v>0</v>
      </c>
      <c r="P200" s="233">
        <f t="shared" si="55"/>
        <v>0</v>
      </c>
      <c r="Q200" s="233">
        <f t="shared" si="55"/>
        <v>0</v>
      </c>
      <c r="R200" s="233">
        <f t="shared" si="55"/>
        <v>0</v>
      </c>
      <c r="S200" s="233">
        <f t="shared" si="55"/>
        <v>0</v>
      </c>
      <c r="T200" s="233">
        <f t="shared" si="55"/>
        <v>0</v>
      </c>
      <c r="U200" s="233">
        <f t="shared" si="55"/>
        <v>0</v>
      </c>
      <c r="V200" s="233">
        <f t="shared" si="55"/>
        <v>0</v>
      </c>
      <c r="W200" s="233">
        <f t="shared" si="55"/>
        <v>0</v>
      </c>
      <c r="X200" s="233">
        <f t="shared" si="55"/>
        <v>0</v>
      </c>
      <c r="Y200" s="233">
        <f t="shared" si="55"/>
        <v>0</v>
      </c>
      <c r="Z200" s="233">
        <f t="shared" si="55"/>
        <v>0</v>
      </c>
      <c r="AA200" s="233">
        <f t="shared" si="55"/>
        <v>0</v>
      </c>
      <c r="AB200" s="233">
        <f t="shared" si="55"/>
        <v>0</v>
      </c>
      <c r="AC200" s="233">
        <f t="shared" si="55"/>
        <v>0</v>
      </c>
      <c r="AD200" s="233">
        <f t="shared" si="55"/>
        <v>0</v>
      </c>
      <c r="AE200" s="233">
        <f t="shared" si="55"/>
        <v>0</v>
      </c>
      <c r="AF200" s="233">
        <f t="shared" si="55"/>
        <v>0</v>
      </c>
      <c r="AG200" s="233">
        <f t="shared" si="55"/>
        <v>0</v>
      </c>
    </row>
    <row r="201" spans="1:33" ht="16.5" customHeight="1" outlineLevel="2">
      <c r="A201" s="128"/>
      <c r="B201" s="434"/>
      <c r="C201" s="75" t="str">
        <f>C53</f>
        <v xml:space="preserve">     Subtotal</v>
      </c>
      <c r="D201" s="8" t="str">
        <f>Currency_Label</f>
        <v>USD</v>
      </c>
      <c r="E201" s="36"/>
      <c r="F201" s="36"/>
      <c r="G201" s="36"/>
      <c r="H201" s="36"/>
      <c r="I201" s="71">
        <f>SUM(J201:AG201)</f>
        <v>14674.999999999996</v>
      </c>
      <c r="J201" s="238">
        <f t="shared" ref="J201:AG201" si="56">SUM(J197:J200)</f>
        <v>416.66666666666669</v>
      </c>
      <c r="K201" s="238">
        <f t="shared" si="56"/>
        <v>416.66666666666669</v>
      </c>
      <c r="L201" s="238">
        <f t="shared" si="56"/>
        <v>416.66666666666669</v>
      </c>
      <c r="M201" s="238">
        <f t="shared" si="56"/>
        <v>416.66666666666669</v>
      </c>
      <c r="N201" s="238">
        <f t="shared" si="56"/>
        <v>416.66666666666669</v>
      </c>
      <c r="O201" s="238">
        <f t="shared" si="56"/>
        <v>416.66666666666669</v>
      </c>
      <c r="P201" s="238">
        <f t="shared" si="56"/>
        <v>416.66666666666669</v>
      </c>
      <c r="Q201" s="238">
        <f t="shared" si="56"/>
        <v>833.33333333333337</v>
      </c>
      <c r="R201" s="238">
        <f t="shared" si="56"/>
        <v>833.33333333333337</v>
      </c>
      <c r="S201" s="238">
        <f t="shared" si="56"/>
        <v>833.33333333333337</v>
      </c>
      <c r="T201" s="238">
        <f t="shared" si="56"/>
        <v>841.66666666666663</v>
      </c>
      <c r="U201" s="238">
        <f t="shared" si="56"/>
        <v>841.66666666666663</v>
      </c>
      <c r="V201" s="238">
        <f t="shared" si="56"/>
        <v>841.66666666666663</v>
      </c>
      <c r="W201" s="238">
        <f t="shared" si="56"/>
        <v>841.66666666666663</v>
      </c>
      <c r="X201" s="238">
        <f t="shared" si="56"/>
        <v>841.66666666666663</v>
      </c>
      <c r="Y201" s="238">
        <f t="shared" si="56"/>
        <v>841.66666666666663</v>
      </c>
      <c r="Z201" s="238">
        <f t="shared" si="56"/>
        <v>841.66666666666663</v>
      </c>
      <c r="AA201" s="238">
        <f t="shared" si="56"/>
        <v>841.66666666666663</v>
      </c>
      <c r="AB201" s="238">
        <f t="shared" si="56"/>
        <v>841.66666666666663</v>
      </c>
      <c r="AC201" s="238">
        <f t="shared" si="56"/>
        <v>841.66666666666663</v>
      </c>
      <c r="AD201" s="238">
        <f t="shared" si="56"/>
        <v>841.66666666666663</v>
      </c>
      <c r="AE201" s="238">
        <f t="shared" si="56"/>
        <v>0</v>
      </c>
      <c r="AF201" s="238">
        <f t="shared" si="56"/>
        <v>0</v>
      </c>
      <c r="AG201" s="238">
        <f t="shared" si="56"/>
        <v>0</v>
      </c>
    </row>
    <row r="202" spans="1:33" ht="16.5" customHeight="1" outlineLevel="2">
      <c r="A202" s="128"/>
      <c r="B202" s="128"/>
      <c r="C202" s="128"/>
      <c r="D202" s="275"/>
      <c r="E202" s="128"/>
      <c r="F202" s="128"/>
      <c r="G202" s="128"/>
      <c r="H202" s="128"/>
      <c r="I202" s="332"/>
      <c r="J202" s="332"/>
      <c r="K202" s="332"/>
      <c r="L202" s="332"/>
      <c r="M202" s="332"/>
      <c r="N202" s="332"/>
      <c r="O202" s="332"/>
      <c r="P202" s="332"/>
      <c r="Q202" s="332"/>
      <c r="R202" s="332"/>
      <c r="S202" s="332"/>
      <c r="T202" s="332"/>
      <c r="U202" s="332"/>
      <c r="V202" s="332"/>
      <c r="W202" s="332"/>
      <c r="X202" s="332"/>
      <c r="Y202" s="332"/>
      <c r="Z202" s="332"/>
      <c r="AA202" s="332"/>
      <c r="AB202" s="332"/>
      <c r="AC202" s="332"/>
      <c r="AD202" s="332"/>
      <c r="AE202" s="332"/>
      <c r="AF202" s="332"/>
      <c r="AG202" s="332"/>
    </row>
    <row r="203" spans="1:33" ht="16.5" customHeight="1" outlineLevel="2">
      <c r="A203" s="128"/>
      <c r="B203" s="708">
        <f>B55</f>
        <v>7</v>
      </c>
      <c r="C203" s="331" t="str">
        <f>C55</f>
        <v>Integration Services</v>
      </c>
      <c r="D203" s="275"/>
      <c r="E203" s="128"/>
      <c r="F203" s="287"/>
      <c r="G203" s="287"/>
      <c r="H203" s="128"/>
      <c r="I203" s="332"/>
      <c r="J203" s="332"/>
      <c r="K203" s="332"/>
      <c r="L203" s="332"/>
      <c r="M203" s="332"/>
      <c r="N203" s="332"/>
      <c r="O203" s="332"/>
      <c r="P203" s="332"/>
      <c r="Q203" s="332"/>
      <c r="R203" s="332"/>
      <c r="S203" s="332"/>
      <c r="T203" s="332"/>
      <c r="U203" s="332"/>
      <c r="V203" s="332"/>
      <c r="W203" s="332"/>
      <c r="X203" s="332"/>
      <c r="Y203" s="332"/>
      <c r="Z203" s="332"/>
      <c r="AA203" s="332"/>
      <c r="AB203" s="332"/>
      <c r="AC203" s="332"/>
      <c r="AD203" s="332"/>
      <c r="AE203" s="332"/>
      <c r="AF203" s="332"/>
      <c r="AG203" s="332"/>
    </row>
    <row r="204" spans="1:33" ht="16.5" customHeight="1" outlineLevel="2">
      <c r="A204" s="128"/>
      <c r="B204" s="434"/>
      <c r="C204" s="40" t="str">
        <f>C56</f>
        <v>Fill in name or positon here</v>
      </c>
      <c r="D204" s="8" t="str">
        <f>Currency_Label</f>
        <v>USD</v>
      </c>
      <c r="E204" s="760">
        <f>E56</f>
        <v>1</v>
      </c>
      <c r="F204" s="128"/>
      <c r="G204" s="128"/>
      <c r="H204" s="128"/>
      <c r="I204" s="71">
        <f>SUM(J204:AG204)</f>
        <v>0</v>
      </c>
      <c r="J204" s="233">
        <f t="shared" ref="J204:AG204" si="57">IFERROR(J56*(J130/J56)*AGSatz_Pausch,0)*$E204</f>
        <v>0</v>
      </c>
      <c r="K204" s="233">
        <f t="shared" si="57"/>
        <v>0</v>
      </c>
      <c r="L204" s="233">
        <f t="shared" si="57"/>
        <v>0</v>
      </c>
      <c r="M204" s="233">
        <f t="shared" si="57"/>
        <v>0</v>
      </c>
      <c r="N204" s="233">
        <f t="shared" si="57"/>
        <v>0</v>
      </c>
      <c r="O204" s="233">
        <f t="shared" si="57"/>
        <v>0</v>
      </c>
      <c r="P204" s="233">
        <f t="shared" si="57"/>
        <v>0</v>
      </c>
      <c r="Q204" s="233">
        <f t="shared" si="57"/>
        <v>0</v>
      </c>
      <c r="R204" s="233">
        <f t="shared" si="57"/>
        <v>0</v>
      </c>
      <c r="S204" s="233">
        <f t="shared" si="57"/>
        <v>0</v>
      </c>
      <c r="T204" s="233">
        <f t="shared" si="57"/>
        <v>0</v>
      </c>
      <c r="U204" s="233">
        <f t="shared" si="57"/>
        <v>0</v>
      </c>
      <c r="V204" s="233">
        <f t="shared" si="57"/>
        <v>0</v>
      </c>
      <c r="W204" s="233">
        <f t="shared" si="57"/>
        <v>0</v>
      </c>
      <c r="X204" s="233">
        <f t="shared" si="57"/>
        <v>0</v>
      </c>
      <c r="Y204" s="233">
        <f t="shared" si="57"/>
        <v>0</v>
      </c>
      <c r="Z204" s="233">
        <f t="shared" si="57"/>
        <v>0</v>
      </c>
      <c r="AA204" s="233">
        <f t="shared" si="57"/>
        <v>0</v>
      </c>
      <c r="AB204" s="233">
        <f t="shared" si="57"/>
        <v>0</v>
      </c>
      <c r="AC204" s="233">
        <f t="shared" si="57"/>
        <v>0</v>
      </c>
      <c r="AD204" s="233">
        <f t="shared" si="57"/>
        <v>0</v>
      </c>
      <c r="AE204" s="233">
        <f t="shared" si="57"/>
        <v>0</v>
      </c>
      <c r="AF204" s="233">
        <f t="shared" si="57"/>
        <v>0</v>
      </c>
      <c r="AG204" s="233">
        <f t="shared" si="57"/>
        <v>0</v>
      </c>
    </row>
    <row r="205" spans="1:33" ht="16.5" customHeight="1" outlineLevel="2">
      <c r="A205" s="128"/>
      <c r="B205" s="434"/>
      <c r="C205" s="40" t="str">
        <f>C57</f>
        <v>Fill in name or positon here</v>
      </c>
      <c r="D205" s="8" t="str">
        <f>Currency_Label</f>
        <v>USD</v>
      </c>
      <c r="E205" s="760">
        <f>E57</f>
        <v>1</v>
      </c>
      <c r="F205" s="128"/>
      <c r="G205" s="128"/>
      <c r="H205" s="128"/>
      <c r="I205" s="71">
        <f>SUM(J205:AG205)</f>
        <v>0</v>
      </c>
      <c r="J205" s="233">
        <f t="shared" ref="J205:AG205" si="58">IFERROR(J57*(J131/J57)*AGSatz_Pausch,0)*$E205</f>
        <v>0</v>
      </c>
      <c r="K205" s="233">
        <f t="shared" si="58"/>
        <v>0</v>
      </c>
      <c r="L205" s="233">
        <f t="shared" si="58"/>
        <v>0</v>
      </c>
      <c r="M205" s="233">
        <f t="shared" si="58"/>
        <v>0</v>
      </c>
      <c r="N205" s="233">
        <f t="shared" si="58"/>
        <v>0</v>
      </c>
      <c r="O205" s="233">
        <f t="shared" si="58"/>
        <v>0</v>
      </c>
      <c r="P205" s="233">
        <f t="shared" si="58"/>
        <v>0</v>
      </c>
      <c r="Q205" s="233">
        <f t="shared" si="58"/>
        <v>0</v>
      </c>
      <c r="R205" s="233">
        <f t="shared" si="58"/>
        <v>0</v>
      </c>
      <c r="S205" s="233">
        <f t="shared" si="58"/>
        <v>0</v>
      </c>
      <c r="T205" s="233">
        <f t="shared" si="58"/>
        <v>0</v>
      </c>
      <c r="U205" s="233">
        <f t="shared" si="58"/>
        <v>0</v>
      </c>
      <c r="V205" s="233">
        <f t="shared" si="58"/>
        <v>0</v>
      </c>
      <c r="W205" s="233">
        <f t="shared" si="58"/>
        <v>0</v>
      </c>
      <c r="X205" s="233">
        <f t="shared" si="58"/>
        <v>0</v>
      </c>
      <c r="Y205" s="233">
        <f t="shared" si="58"/>
        <v>0</v>
      </c>
      <c r="Z205" s="233">
        <f t="shared" si="58"/>
        <v>0</v>
      </c>
      <c r="AA205" s="233">
        <f t="shared" si="58"/>
        <v>0</v>
      </c>
      <c r="AB205" s="233">
        <f t="shared" si="58"/>
        <v>0</v>
      </c>
      <c r="AC205" s="233">
        <f t="shared" si="58"/>
        <v>0</v>
      </c>
      <c r="AD205" s="233">
        <f t="shared" si="58"/>
        <v>0</v>
      </c>
      <c r="AE205" s="233">
        <f t="shared" si="58"/>
        <v>0</v>
      </c>
      <c r="AF205" s="233">
        <f t="shared" si="58"/>
        <v>0</v>
      </c>
      <c r="AG205" s="233">
        <f t="shared" si="58"/>
        <v>0</v>
      </c>
    </row>
    <row r="206" spans="1:33" ht="16.5" customHeight="1" outlineLevel="2">
      <c r="A206" s="128"/>
      <c r="B206" s="434"/>
      <c r="C206" s="40" t="str">
        <f>C58</f>
        <v>Fill in name or positon here</v>
      </c>
      <c r="D206" s="8" t="str">
        <f>Currency_Label</f>
        <v>USD</v>
      </c>
      <c r="E206" s="760">
        <f>E58</f>
        <v>1</v>
      </c>
      <c r="F206" s="128"/>
      <c r="G206" s="128"/>
      <c r="H206" s="128"/>
      <c r="I206" s="71">
        <f>SUM(J206:AG206)</f>
        <v>0</v>
      </c>
      <c r="J206" s="233">
        <f t="shared" ref="J206:AG206" si="59">IFERROR(J58*(J132/J58)*AGSatz_Pausch,0)*$E206</f>
        <v>0</v>
      </c>
      <c r="K206" s="233">
        <f t="shared" si="59"/>
        <v>0</v>
      </c>
      <c r="L206" s="233">
        <f t="shared" si="59"/>
        <v>0</v>
      </c>
      <c r="M206" s="233">
        <f t="shared" si="59"/>
        <v>0</v>
      </c>
      <c r="N206" s="233">
        <f t="shared" si="59"/>
        <v>0</v>
      </c>
      <c r="O206" s="233">
        <f t="shared" si="59"/>
        <v>0</v>
      </c>
      <c r="P206" s="233">
        <f t="shared" si="59"/>
        <v>0</v>
      </c>
      <c r="Q206" s="233">
        <f t="shared" si="59"/>
        <v>0</v>
      </c>
      <c r="R206" s="233">
        <f t="shared" si="59"/>
        <v>0</v>
      </c>
      <c r="S206" s="233">
        <f t="shared" si="59"/>
        <v>0</v>
      </c>
      <c r="T206" s="233">
        <f t="shared" si="59"/>
        <v>0</v>
      </c>
      <c r="U206" s="233">
        <f t="shared" si="59"/>
        <v>0</v>
      </c>
      <c r="V206" s="233">
        <f t="shared" si="59"/>
        <v>0</v>
      </c>
      <c r="W206" s="233">
        <f t="shared" si="59"/>
        <v>0</v>
      </c>
      <c r="X206" s="233">
        <f t="shared" si="59"/>
        <v>0</v>
      </c>
      <c r="Y206" s="233">
        <f t="shared" si="59"/>
        <v>0</v>
      </c>
      <c r="Z206" s="233">
        <f t="shared" si="59"/>
        <v>0</v>
      </c>
      <c r="AA206" s="233">
        <f t="shared" si="59"/>
        <v>0</v>
      </c>
      <c r="AB206" s="233">
        <f t="shared" si="59"/>
        <v>0</v>
      </c>
      <c r="AC206" s="233">
        <f t="shared" si="59"/>
        <v>0</v>
      </c>
      <c r="AD206" s="233">
        <f t="shared" si="59"/>
        <v>0</v>
      </c>
      <c r="AE206" s="233">
        <f t="shared" si="59"/>
        <v>0</v>
      </c>
      <c r="AF206" s="233">
        <f t="shared" si="59"/>
        <v>0</v>
      </c>
      <c r="AG206" s="233">
        <f t="shared" si="59"/>
        <v>0</v>
      </c>
    </row>
    <row r="207" spans="1:33" ht="16.5" customHeight="1" outlineLevel="2">
      <c r="A207" s="128"/>
      <c r="B207" s="434"/>
      <c r="C207" s="40" t="str">
        <f>C59</f>
        <v>Fill in name or positon here</v>
      </c>
      <c r="D207" s="8" t="str">
        <f>Currency_Label</f>
        <v>USD</v>
      </c>
      <c r="E207" s="760">
        <f>E59</f>
        <v>1</v>
      </c>
      <c r="F207" s="128"/>
      <c r="G207" s="128"/>
      <c r="H207" s="128"/>
      <c r="I207" s="71">
        <f>SUM(J207:AG207)</f>
        <v>0</v>
      </c>
      <c r="J207" s="233">
        <f t="shared" ref="J207:AG207" si="60">IFERROR(J59*(J133/J59)*AGSatz_Pausch,0)*$E207</f>
        <v>0</v>
      </c>
      <c r="K207" s="233">
        <f t="shared" si="60"/>
        <v>0</v>
      </c>
      <c r="L207" s="233">
        <f t="shared" si="60"/>
        <v>0</v>
      </c>
      <c r="M207" s="233">
        <f t="shared" si="60"/>
        <v>0</v>
      </c>
      <c r="N207" s="233">
        <f t="shared" si="60"/>
        <v>0</v>
      </c>
      <c r="O207" s="233">
        <f t="shared" si="60"/>
        <v>0</v>
      </c>
      <c r="P207" s="233">
        <f t="shared" si="60"/>
        <v>0</v>
      </c>
      <c r="Q207" s="233">
        <f t="shared" si="60"/>
        <v>0</v>
      </c>
      <c r="R207" s="233">
        <f t="shared" si="60"/>
        <v>0</v>
      </c>
      <c r="S207" s="233">
        <f t="shared" si="60"/>
        <v>0</v>
      </c>
      <c r="T207" s="233">
        <f t="shared" si="60"/>
        <v>0</v>
      </c>
      <c r="U207" s="233">
        <f t="shared" si="60"/>
        <v>0</v>
      </c>
      <c r="V207" s="233">
        <f t="shared" si="60"/>
        <v>0</v>
      </c>
      <c r="W207" s="233">
        <f t="shared" si="60"/>
        <v>0</v>
      </c>
      <c r="X207" s="233">
        <f t="shared" si="60"/>
        <v>0</v>
      </c>
      <c r="Y207" s="233">
        <f t="shared" si="60"/>
        <v>0</v>
      </c>
      <c r="Z207" s="233">
        <f t="shared" si="60"/>
        <v>0</v>
      </c>
      <c r="AA207" s="233">
        <f t="shared" si="60"/>
        <v>0</v>
      </c>
      <c r="AB207" s="233">
        <f t="shared" si="60"/>
        <v>0</v>
      </c>
      <c r="AC207" s="233">
        <f t="shared" si="60"/>
        <v>0</v>
      </c>
      <c r="AD207" s="233">
        <f t="shared" si="60"/>
        <v>0</v>
      </c>
      <c r="AE207" s="233">
        <f t="shared" si="60"/>
        <v>0</v>
      </c>
      <c r="AF207" s="233">
        <f t="shared" si="60"/>
        <v>0</v>
      </c>
      <c r="AG207" s="233">
        <f t="shared" si="60"/>
        <v>0</v>
      </c>
    </row>
    <row r="208" spans="1:33" ht="16.5" customHeight="1" outlineLevel="2">
      <c r="A208" s="128"/>
      <c r="B208" s="434"/>
      <c r="C208" s="75" t="str">
        <f>C60</f>
        <v xml:space="preserve">     Subtotal</v>
      </c>
      <c r="D208" s="8" t="str">
        <f>Currency_Label</f>
        <v>USD</v>
      </c>
      <c r="E208" s="36"/>
      <c r="F208" s="36"/>
      <c r="G208" s="36"/>
      <c r="H208" s="36"/>
      <c r="I208" s="71">
        <f>SUM(J208:AG208)</f>
        <v>0</v>
      </c>
      <c r="J208" s="238">
        <f t="shared" ref="J208:AG208" si="61">SUM(J204:J207)</f>
        <v>0</v>
      </c>
      <c r="K208" s="238">
        <f t="shared" si="61"/>
        <v>0</v>
      </c>
      <c r="L208" s="238">
        <f t="shared" si="61"/>
        <v>0</v>
      </c>
      <c r="M208" s="238">
        <f t="shared" si="61"/>
        <v>0</v>
      </c>
      <c r="N208" s="238">
        <f t="shared" si="61"/>
        <v>0</v>
      </c>
      <c r="O208" s="238">
        <f t="shared" si="61"/>
        <v>0</v>
      </c>
      <c r="P208" s="238">
        <f t="shared" si="61"/>
        <v>0</v>
      </c>
      <c r="Q208" s="238">
        <f t="shared" si="61"/>
        <v>0</v>
      </c>
      <c r="R208" s="238">
        <f t="shared" si="61"/>
        <v>0</v>
      </c>
      <c r="S208" s="238">
        <f t="shared" si="61"/>
        <v>0</v>
      </c>
      <c r="T208" s="238">
        <f t="shared" si="61"/>
        <v>0</v>
      </c>
      <c r="U208" s="238">
        <f t="shared" si="61"/>
        <v>0</v>
      </c>
      <c r="V208" s="238">
        <f t="shared" si="61"/>
        <v>0</v>
      </c>
      <c r="W208" s="238">
        <f t="shared" si="61"/>
        <v>0</v>
      </c>
      <c r="X208" s="238">
        <f t="shared" si="61"/>
        <v>0</v>
      </c>
      <c r="Y208" s="238">
        <f t="shared" si="61"/>
        <v>0</v>
      </c>
      <c r="Z208" s="238">
        <f t="shared" si="61"/>
        <v>0</v>
      </c>
      <c r="AA208" s="238">
        <f t="shared" si="61"/>
        <v>0</v>
      </c>
      <c r="AB208" s="238">
        <f t="shared" si="61"/>
        <v>0</v>
      </c>
      <c r="AC208" s="238">
        <f t="shared" si="61"/>
        <v>0</v>
      </c>
      <c r="AD208" s="238">
        <f t="shared" si="61"/>
        <v>0</v>
      </c>
      <c r="AE208" s="238">
        <f t="shared" si="61"/>
        <v>0</v>
      </c>
      <c r="AF208" s="238">
        <f t="shared" si="61"/>
        <v>0</v>
      </c>
      <c r="AG208" s="238">
        <f t="shared" si="61"/>
        <v>0</v>
      </c>
    </row>
    <row r="209" spans="1:33" ht="16.5" customHeight="1" outlineLevel="2">
      <c r="A209" s="128"/>
      <c r="B209" s="128"/>
      <c r="C209" s="128"/>
      <c r="D209" s="275"/>
      <c r="E209" s="128"/>
      <c r="F209" s="128"/>
      <c r="G209" s="128"/>
      <c r="H209" s="128"/>
      <c r="I209" s="332"/>
      <c r="J209" s="332"/>
      <c r="K209" s="332"/>
      <c r="L209" s="332"/>
      <c r="M209" s="332"/>
      <c r="N209" s="332"/>
      <c r="O209" s="332"/>
      <c r="P209" s="332"/>
      <c r="Q209" s="332"/>
      <c r="R209" s="332"/>
      <c r="S209" s="332"/>
      <c r="T209" s="332"/>
      <c r="U209" s="332"/>
      <c r="V209" s="332"/>
      <c r="W209" s="332"/>
      <c r="X209" s="332"/>
      <c r="Y209" s="332"/>
      <c r="Z209" s="332"/>
      <c r="AA209" s="332"/>
      <c r="AB209" s="332"/>
      <c r="AC209" s="332"/>
      <c r="AD209" s="332"/>
      <c r="AE209" s="332"/>
      <c r="AF209" s="332"/>
      <c r="AG209" s="332"/>
    </row>
    <row r="210" spans="1:33" ht="16.5" customHeight="1" outlineLevel="2">
      <c r="A210" s="128"/>
      <c r="B210" s="708">
        <f>B62</f>
        <v>8</v>
      </c>
      <c r="C210" s="331" t="str">
        <f>C62</f>
        <v>Consulting Services</v>
      </c>
      <c r="D210" s="275"/>
      <c r="E210" s="128"/>
      <c r="F210" s="287"/>
      <c r="G210" s="287"/>
      <c r="H210" s="128"/>
      <c r="I210" s="332"/>
      <c r="J210" s="332"/>
      <c r="K210" s="332"/>
      <c r="L210" s="332"/>
      <c r="M210" s="332"/>
      <c r="N210" s="332"/>
      <c r="O210" s="332"/>
      <c r="P210" s="332"/>
      <c r="Q210" s="332"/>
      <c r="R210" s="332"/>
      <c r="S210" s="332"/>
      <c r="T210" s="332"/>
      <c r="U210" s="332"/>
      <c r="V210" s="332"/>
      <c r="W210" s="332"/>
      <c r="X210" s="332"/>
      <c r="Y210" s="332"/>
      <c r="Z210" s="332"/>
      <c r="AA210" s="332"/>
      <c r="AB210" s="332"/>
      <c r="AC210" s="332"/>
      <c r="AD210" s="332"/>
      <c r="AE210" s="332"/>
      <c r="AF210" s="332"/>
      <c r="AG210" s="332"/>
    </row>
    <row r="211" spans="1:33" ht="16.5" customHeight="1" outlineLevel="2">
      <c r="A211" s="128"/>
      <c r="B211" s="434"/>
      <c r="C211" s="40" t="str">
        <f>C63</f>
        <v>Fill in name or positon here</v>
      </c>
      <c r="D211" s="8" t="str">
        <f>Currency_Label</f>
        <v>USD</v>
      </c>
      <c r="E211" s="760">
        <f>E63</f>
        <v>1</v>
      </c>
      <c r="F211" s="128"/>
      <c r="G211" s="128"/>
      <c r="H211" s="128"/>
      <c r="I211" s="71">
        <f>SUM(J211:AG211)</f>
        <v>0</v>
      </c>
      <c r="J211" s="233">
        <f t="shared" ref="J211:AG211" si="62">IFERROR(J63*(J137/J63)*AGSatz_Pausch,0)*$E211</f>
        <v>0</v>
      </c>
      <c r="K211" s="233">
        <f t="shared" si="62"/>
        <v>0</v>
      </c>
      <c r="L211" s="233">
        <f t="shared" si="62"/>
        <v>0</v>
      </c>
      <c r="M211" s="233">
        <f t="shared" si="62"/>
        <v>0</v>
      </c>
      <c r="N211" s="233">
        <f t="shared" si="62"/>
        <v>0</v>
      </c>
      <c r="O211" s="233">
        <f t="shared" si="62"/>
        <v>0</v>
      </c>
      <c r="P211" s="233">
        <f t="shared" si="62"/>
        <v>0</v>
      </c>
      <c r="Q211" s="233">
        <f t="shared" si="62"/>
        <v>0</v>
      </c>
      <c r="R211" s="233">
        <f t="shared" si="62"/>
        <v>0</v>
      </c>
      <c r="S211" s="233">
        <f t="shared" si="62"/>
        <v>0</v>
      </c>
      <c r="T211" s="233">
        <f t="shared" si="62"/>
        <v>0</v>
      </c>
      <c r="U211" s="233">
        <f t="shared" si="62"/>
        <v>0</v>
      </c>
      <c r="V211" s="233">
        <f t="shared" si="62"/>
        <v>0</v>
      </c>
      <c r="W211" s="233">
        <f t="shared" si="62"/>
        <v>0</v>
      </c>
      <c r="X211" s="233">
        <f t="shared" si="62"/>
        <v>0</v>
      </c>
      <c r="Y211" s="233">
        <f t="shared" si="62"/>
        <v>0</v>
      </c>
      <c r="Z211" s="233">
        <f t="shared" si="62"/>
        <v>0</v>
      </c>
      <c r="AA211" s="233">
        <f t="shared" si="62"/>
        <v>0</v>
      </c>
      <c r="AB211" s="233">
        <f t="shared" si="62"/>
        <v>0</v>
      </c>
      <c r="AC211" s="233">
        <f t="shared" si="62"/>
        <v>0</v>
      </c>
      <c r="AD211" s="233">
        <f t="shared" si="62"/>
        <v>0</v>
      </c>
      <c r="AE211" s="233">
        <f t="shared" si="62"/>
        <v>0</v>
      </c>
      <c r="AF211" s="233">
        <f t="shared" si="62"/>
        <v>0</v>
      </c>
      <c r="AG211" s="233">
        <f t="shared" si="62"/>
        <v>0</v>
      </c>
    </row>
    <row r="212" spans="1:33" ht="16.5" customHeight="1" outlineLevel="2">
      <c r="A212" s="128"/>
      <c r="B212" s="434"/>
      <c r="C212" s="40" t="str">
        <f>C64</f>
        <v>Fill in name or positon here</v>
      </c>
      <c r="D212" s="8" t="str">
        <f>Currency_Label</f>
        <v>USD</v>
      </c>
      <c r="E212" s="760">
        <f>E64</f>
        <v>1</v>
      </c>
      <c r="F212" s="128"/>
      <c r="G212" s="128"/>
      <c r="H212" s="128"/>
      <c r="I212" s="71">
        <f>SUM(J212:AG212)</f>
        <v>0</v>
      </c>
      <c r="J212" s="233">
        <f t="shared" ref="J212:AG212" si="63">IFERROR(J64*(J138/J64)*AGSatz_Pausch,0)*$E212</f>
        <v>0</v>
      </c>
      <c r="K212" s="233">
        <f t="shared" si="63"/>
        <v>0</v>
      </c>
      <c r="L212" s="233">
        <f t="shared" si="63"/>
        <v>0</v>
      </c>
      <c r="M212" s="233">
        <f t="shared" si="63"/>
        <v>0</v>
      </c>
      <c r="N212" s="233">
        <f t="shared" si="63"/>
        <v>0</v>
      </c>
      <c r="O212" s="233">
        <f t="shared" si="63"/>
        <v>0</v>
      </c>
      <c r="P212" s="233">
        <f t="shared" si="63"/>
        <v>0</v>
      </c>
      <c r="Q212" s="233">
        <f t="shared" si="63"/>
        <v>0</v>
      </c>
      <c r="R212" s="233">
        <f t="shared" si="63"/>
        <v>0</v>
      </c>
      <c r="S212" s="233">
        <f t="shared" si="63"/>
        <v>0</v>
      </c>
      <c r="T212" s="233">
        <f t="shared" si="63"/>
        <v>0</v>
      </c>
      <c r="U212" s="233">
        <f t="shared" si="63"/>
        <v>0</v>
      </c>
      <c r="V212" s="233">
        <f t="shared" si="63"/>
        <v>0</v>
      </c>
      <c r="W212" s="233">
        <f t="shared" si="63"/>
        <v>0</v>
      </c>
      <c r="X212" s="233">
        <f t="shared" si="63"/>
        <v>0</v>
      </c>
      <c r="Y212" s="233">
        <f t="shared" si="63"/>
        <v>0</v>
      </c>
      <c r="Z212" s="233">
        <f t="shared" si="63"/>
        <v>0</v>
      </c>
      <c r="AA212" s="233">
        <f t="shared" si="63"/>
        <v>0</v>
      </c>
      <c r="AB212" s="233">
        <f t="shared" si="63"/>
        <v>0</v>
      </c>
      <c r="AC212" s="233">
        <f t="shared" si="63"/>
        <v>0</v>
      </c>
      <c r="AD212" s="233">
        <f t="shared" si="63"/>
        <v>0</v>
      </c>
      <c r="AE212" s="233">
        <f t="shared" si="63"/>
        <v>0</v>
      </c>
      <c r="AF212" s="233">
        <f t="shared" si="63"/>
        <v>0</v>
      </c>
      <c r="AG212" s="233">
        <f t="shared" si="63"/>
        <v>0</v>
      </c>
    </row>
    <row r="213" spans="1:33" ht="16.5" customHeight="1" outlineLevel="2">
      <c r="A213" s="128"/>
      <c r="B213" s="434"/>
      <c r="C213" s="40" t="str">
        <f>C65</f>
        <v>Fill in name or positon here</v>
      </c>
      <c r="D213" s="8" t="str">
        <f>Currency_Label</f>
        <v>USD</v>
      </c>
      <c r="E213" s="760">
        <f>E65</f>
        <v>1</v>
      </c>
      <c r="F213" s="128"/>
      <c r="G213" s="128"/>
      <c r="H213" s="128"/>
      <c r="I213" s="71">
        <f>SUM(J213:AG213)</f>
        <v>0</v>
      </c>
      <c r="J213" s="233">
        <f t="shared" ref="J213:AG213" si="64">IFERROR(J65*(J139/J65)*AGSatz_Pausch,0)*$E213</f>
        <v>0</v>
      </c>
      <c r="K213" s="233">
        <f t="shared" si="64"/>
        <v>0</v>
      </c>
      <c r="L213" s="233">
        <f t="shared" si="64"/>
        <v>0</v>
      </c>
      <c r="M213" s="233">
        <f t="shared" si="64"/>
        <v>0</v>
      </c>
      <c r="N213" s="233">
        <f t="shared" si="64"/>
        <v>0</v>
      </c>
      <c r="O213" s="233">
        <f t="shared" si="64"/>
        <v>0</v>
      </c>
      <c r="P213" s="233">
        <f t="shared" si="64"/>
        <v>0</v>
      </c>
      <c r="Q213" s="233">
        <f t="shared" si="64"/>
        <v>0</v>
      </c>
      <c r="R213" s="233">
        <f t="shared" si="64"/>
        <v>0</v>
      </c>
      <c r="S213" s="233">
        <f t="shared" si="64"/>
        <v>0</v>
      </c>
      <c r="T213" s="233">
        <f t="shared" si="64"/>
        <v>0</v>
      </c>
      <c r="U213" s="233">
        <f t="shared" si="64"/>
        <v>0</v>
      </c>
      <c r="V213" s="233">
        <f t="shared" si="64"/>
        <v>0</v>
      </c>
      <c r="W213" s="233">
        <f t="shared" si="64"/>
        <v>0</v>
      </c>
      <c r="X213" s="233">
        <f t="shared" si="64"/>
        <v>0</v>
      </c>
      <c r="Y213" s="233">
        <f t="shared" si="64"/>
        <v>0</v>
      </c>
      <c r="Z213" s="233">
        <f t="shared" si="64"/>
        <v>0</v>
      </c>
      <c r="AA213" s="233">
        <f t="shared" si="64"/>
        <v>0</v>
      </c>
      <c r="AB213" s="233">
        <f t="shared" si="64"/>
        <v>0</v>
      </c>
      <c r="AC213" s="233">
        <f t="shared" si="64"/>
        <v>0</v>
      </c>
      <c r="AD213" s="233">
        <f t="shared" si="64"/>
        <v>0</v>
      </c>
      <c r="AE213" s="233">
        <f t="shared" si="64"/>
        <v>0</v>
      </c>
      <c r="AF213" s="233">
        <f t="shared" si="64"/>
        <v>0</v>
      </c>
      <c r="AG213" s="233">
        <f t="shared" si="64"/>
        <v>0</v>
      </c>
    </row>
    <row r="214" spans="1:33" ht="16.5" customHeight="1" outlineLevel="2">
      <c r="A214" s="128"/>
      <c r="B214" s="434"/>
      <c r="C214" s="40" t="str">
        <f>C66</f>
        <v>Fill in name or positon here</v>
      </c>
      <c r="D214" s="8" t="str">
        <f>Currency_Label</f>
        <v>USD</v>
      </c>
      <c r="E214" s="760">
        <f>E66</f>
        <v>1</v>
      </c>
      <c r="F214" s="128"/>
      <c r="G214" s="128"/>
      <c r="H214" s="128"/>
      <c r="I214" s="71">
        <f>SUM(J214:AG214)</f>
        <v>0</v>
      </c>
      <c r="J214" s="233">
        <f t="shared" ref="J214:AG214" si="65">IFERROR(J66*(J140/J66)*AGSatz_Pausch,0)*$E214</f>
        <v>0</v>
      </c>
      <c r="K214" s="233">
        <f t="shared" si="65"/>
        <v>0</v>
      </c>
      <c r="L214" s="233">
        <f t="shared" si="65"/>
        <v>0</v>
      </c>
      <c r="M214" s="233">
        <f t="shared" si="65"/>
        <v>0</v>
      </c>
      <c r="N214" s="233">
        <f t="shared" si="65"/>
        <v>0</v>
      </c>
      <c r="O214" s="233">
        <f t="shared" si="65"/>
        <v>0</v>
      </c>
      <c r="P214" s="233">
        <f t="shared" si="65"/>
        <v>0</v>
      </c>
      <c r="Q214" s="233">
        <f t="shared" si="65"/>
        <v>0</v>
      </c>
      <c r="R214" s="233">
        <f t="shared" si="65"/>
        <v>0</v>
      </c>
      <c r="S214" s="233">
        <f t="shared" si="65"/>
        <v>0</v>
      </c>
      <c r="T214" s="233">
        <f t="shared" si="65"/>
        <v>0</v>
      </c>
      <c r="U214" s="233">
        <f t="shared" si="65"/>
        <v>0</v>
      </c>
      <c r="V214" s="233">
        <f t="shared" si="65"/>
        <v>0</v>
      </c>
      <c r="W214" s="233">
        <f t="shared" si="65"/>
        <v>0</v>
      </c>
      <c r="X214" s="233">
        <f t="shared" si="65"/>
        <v>0</v>
      </c>
      <c r="Y214" s="233">
        <f t="shared" si="65"/>
        <v>0</v>
      </c>
      <c r="Z214" s="233">
        <f t="shared" si="65"/>
        <v>0</v>
      </c>
      <c r="AA214" s="233">
        <f t="shared" si="65"/>
        <v>0</v>
      </c>
      <c r="AB214" s="233">
        <f t="shared" si="65"/>
        <v>0</v>
      </c>
      <c r="AC214" s="233">
        <f t="shared" si="65"/>
        <v>0</v>
      </c>
      <c r="AD214" s="233">
        <f t="shared" si="65"/>
        <v>0</v>
      </c>
      <c r="AE214" s="233">
        <f t="shared" si="65"/>
        <v>0</v>
      </c>
      <c r="AF214" s="233">
        <f t="shared" si="65"/>
        <v>0</v>
      </c>
      <c r="AG214" s="233">
        <f t="shared" si="65"/>
        <v>0</v>
      </c>
    </row>
    <row r="215" spans="1:33" ht="16.5" customHeight="1" outlineLevel="2">
      <c r="A215" s="128"/>
      <c r="B215" s="434"/>
      <c r="C215" s="75" t="str">
        <f>C67</f>
        <v xml:space="preserve">     Subtotal</v>
      </c>
      <c r="D215" s="8" t="str">
        <f>Currency_Label</f>
        <v>USD</v>
      </c>
      <c r="E215" s="36"/>
      <c r="F215" s="36"/>
      <c r="G215" s="36"/>
      <c r="H215" s="36"/>
      <c r="I215" s="71">
        <f>SUM(J215:AG215)</f>
        <v>0</v>
      </c>
      <c r="J215" s="238">
        <f t="shared" ref="J215:AG215" si="66">SUM(J211:J214)</f>
        <v>0</v>
      </c>
      <c r="K215" s="238">
        <f t="shared" si="66"/>
        <v>0</v>
      </c>
      <c r="L215" s="238">
        <f t="shared" si="66"/>
        <v>0</v>
      </c>
      <c r="M215" s="238">
        <f t="shared" si="66"/>
        <v>0</v>
      </c>
      <c r="N215" s="238">
        <f t="shared" si="66"/>
        <v>0</v>
      </c>
      <c r="O215" s="238">
        <f t="shared" si="66"/>
        <v>0</v>
      </c>
      <c r="P215" s="238">
        <f t="shared" si="66"/>
        <v>0</v>
      </c>
      <c r="Q215" s="238">
        <f t="shared" si="66"/>
        <v>0</v>
      </c>
      <c r="R215" s="238">
        <f t="shared" si="66"/>
        <v>0</v>
      </c>
      <c r="S215" s="238">
        <f t="shared" si="66"/>
        <v>0</v>
      </c>
      <c r="T215" s="238">
        <f t="shared" si="66"/>
        <v>0</v>
      </c>
      <c r="U215" s="238">
        <f t="shared" si="66"/>
        <v>0</v>
      </c>
      <c r="V215" s="238">
        <f t="shared" si="66"/>
        <v>0</v>
      </c>
      <c r="W215" s="238">
        <f t="shared" si="66"/>
        <v>0</v>
      </c>
      <c r="X215" s="238">
        <f t="shared" si="66"/>
        <v>0</v>
      </c>
      <c r="Y215" s="238">
        <f t="shared" si="66"/>
        <v>0</v>
      </c>
      <c r="Z215" s="238">
        <f t="shared" si="66"/>
        <v>0</v>
      </c>
      <c r="AA215" s="238">
        <f t="shared" si="66"/>
        <v>0</v>
      </c>
      <c r="AB215" s="238">
        <f t="shared" si="66"/>
        <v>0</v>
      </c>
      <c r="AC215" s="238">
        <f t="shared" si="66"/>
        <v>0</v>
      </c>
      <c r="AD215" s="238">
        <f t="shared" si="66"/>
        <v>0</v>
      </c>
      <c r="AE215" s="238">
        <f t="shared" si="66"/>
        <v>0</v>
      </c>
      <c r="AF215" s="238">
        <f t="shared" si="66"/>
        <v>0</v>
      </c>
      <c r="AG215" s="238">
        <f t="shared" si="66"/>
        <v>0</v>
      </c>
    </row>
    <row r="216" spans="1:33" ht="16.5" customHeight="1" outlineLevel="2">
      <c r="A216" s="128"/>
      <c r="B216" s="128"/>
      <c r="C216" s="128"/>
      <c r="D216" s="275"/>
      <c r="E216" s="128"/>
      <c r="F216" s="128"/>
      <c r="G216" s="128"/>
      <c r="H216" s="128"/>
      <c r="I216" s="332"/>
      <c r="J216" s="332"/>
      <c r="K216" s="332"/>
      <c r="L216" s="332"/>
      <c r="M216" s="332"/>
      <c r="N216" s="332"/>
      <c r="O216" s="332"/>
      <c r="P216" s="332"/>
      <c r="Q216" s="332"/>
      <c r="R216" s="332"/>
      <c r="S216" s="332"/>
      <c r="T216" s="332"/>
      <c r="U216" s="332"/>
      <c r="V216" s="332"/>
      <c r="W216" s="332"/>
      <c r="X216" s="332"/>
      <c r="Y216" s="332"/>
      <c r="Z216" s="332"/>
      <c r="AA216" s="332"/>
      <c r="AB216" s="332"/>
      <c r="AC216" s="332"/>
      <c r="AD216" s="332"/>
      <c r="AE216" s="332"/>
      <c r="AF216" s="332"/>
      <c r="AG216" s="332"/>
    </row>
    <row r="217" spans="1:33" ht="16.5" customHeight="1" outlineLevel="2">
      <c r="A217" s="128"/>
      <c r="B217" s="708">
        <f>B69</f>
        <v>9</v>
      </c>
      <c r="C217" s="331" t="str">
        <f>C69</f>
        <v>Spare Parts</v>
      </c>
      <c r="D217" s="275"/>
      <c r="E217" s="128"/>
      <c r="F217" s="287"/>
      <c r="G217" s="287"/>
      <c r="H217" s="128"/>
      <c r="I217" s="332"/>
      <c r="J217" s="332"/>
      <c r="K217" s="332"/>
      <c r="L217" s="332"/>
      <c r="M217" s="332"/>
      <c r="N217" s="332"/>
      <c r="O217" s="332"/>
      <c r="P217" s="332"/>
      <c r="Q217" s="332"/>
      <c r="R217" s="332"/>
      <c r="S217" s="332"/>
      <c r="T217" s="332"/>
      <c r="U217" s="332"/>
      <c r="V217" s="332"/>
      <c r="W217" s="332"/>
      <c r="X217" s="332"/>
      <c r="Y217" s="332"/>
      <c r="Z217" s="332"/>
      <c r="AA217" s="332"/>
      <c r="AB217" s="332"/>
      <c r="AC217" s="332"/>
      <c r="AD217" s="332"/>
      <c r="AE217" s="332"/>
      <c r="AF217" s="332"/>
      <c r="AG217" s="332"/>
    </row>
    <row r="218" spans="1:33" ht="16.5" customHeight="1" outlineLevel="2">
      <c r="A218" s="128"/>
      <c r="B218" s="434"/>
      <c r="C218" s="40" t="str">
        <f>C70</f>
        <v>Fill in name or positon here</v>
      </c>
      <c r="D218" s="8" t="str">
        <f>Currency_Label</f>
        <v>USD</v>
      </c>
      <c r="E218" s="760">
        <f>E70</f>
        <v>1</v>
      </c>
      <c r="F218" s="128"/>
      <c r="G218" s="128"/>
      <c r="H218" s="128"/>
      <c r="I218" s="71">
        <f>SUM(J218:AG218)</f>
        <v>0</v>
      </c>
      <c r="J218" s="233">
        <f t="shared" ref="J218:AG218" si="67">IFERROR(J70*(J144/J70)*AGSatz_Pausch,0)*$E218</f>
        <v>0</v>
      </c>
      <c r="K218" s="233">
        <f t="shared" si="67"/>
        <v>0</v>
      </c>
      <c r="L218" s="233">
        <f t="shared" si="67"/>
        <v>0</v>
      </c>
      <c r="M218" s="233">
        <f t="shared" si="67"/>
        <v>0</v>
      </c>
      <c r="N218" s="233">
        <f t="shared" si="67"/>
        <v>0</v>
      </c>
      <c r="O218" s="233">
        <f t="shared" si="67"/>
        <v>0</v>
      </c>
      <c r="P218" s="233">
        <f t="shared" si="67"/>
        <v>0</v>
      </c>
      <c r="Q218" s="233">
        <f t="shared" si="67"/>
        <v>0</v>
      </c>
      <c r="R218" s="233">
        <f t="shared" si="67"/>
        <v>0</v>
      </c>
      <c r="S218" s="233">
        <f t="shared" si="67"/>
        <v>0</v>
      </c>
      <c r="T218" s="233">
        <f t="shared" si="67"/>
        <v>0</v>
      </c>
      <c r="U218" s="233">
        <f t="shared" si="67"/>
        <v>0</v>
      </c>
      <c r="V218" s="233">
        <f t="shared" si="67"/>
        <v>0</v>
      </c>
      <c r="W218" s="233">
        <f t="shared" si="67"/>
        <v>0</v>
      </c>
      <c r="X218" s="233">
        <f t="shared" si="67"/>
        <v>0</v>
      </c>
      <c r="Y218" s="233">
        <f t="shared" si="67"/>
        <v>0</v>
      </c>
      <c r="Z218" s="233">
        <f t="shared" si="67"/>
        <v>0</v>
      </c>
      <c r="AA218" s="233">
        <f t="shared" si="67"/>
        <v>0</v>
      </c>
      <c r="AB218" s="233">
        <f t="shared" si="67"/>
        <v>0</v>
      </c>
      <c r="AC218" s="233">
        <f t="shared" si="67"/>
        <v>0</v>
      </c>
      <c r="AD218" s="233">
        <f t="shared" si="67"/>
        <v>0</v>
      </c>
      <c r="AE218" s="233">
        <f t="shared" si="67"/>
        <v>0</v>
      </c>
      <c r="AF218" s="233">
        <f t="shared" si="67"/>
        <v>0</v>
      </c>
      <c r="AG218" s="233">
        <f t="shared" si="67"/>
        <v>0</v>
      </c>
    </row>
    <row r="219" spans="1:33" ht="16.5" customHeight="1" outlineLevel="2">
      <c r="A219" s="128"/>
      <c r="B219" s="434"/>
      <c r="C219" s="40" t="str">
        <f>C71</f>
        <v>Fill in name or positon here</v>
      </c>
      <c r="D219" s="8" t="str">
        <f>Currency_Label</f>
        <v>USD</v>
      </c>
      <c r="E219" s="760">
        <f>E71</f>
        <v>1</v>
      </c>
      <c r="F219" s="128"/>
      <c r="G219" s="128"/>
      <c r="H219" s="128"/>
      <c r="I219" s="71">
        <f>SUM(J219:AG219)</f>
        <v>0</v>
      </c>
      <c r="J219" s="233">
        <f t="shared" ref="J219:AG219" si="68">IFERROR(J71*(J145/J71)*AGSatz_Pausch,0)*$E219</f>
        <v>0</v>
      </c>
      <c r="K219" s="233">
        <f t="shared" si="68"/>
        <v>0</v>
      </c>
      <c r="L219" s="233">
        <f t="shared" si="68"/>
        <v>0</v>
      </c>
      <c r="M219" s="233">
        <f t="shared" si="68"/>
        <v>0</v>
      </c>
      <c r="N219" s="233">
        <f t="shared" si="68"/>
        <v>0</v>
      </c>
      <c r="O219" s="233">
        <f t="shared" si="68"/>
        <v>0</v>
      </c>
      <c r="P219" s="233">
        <f t="shared" si="68"/>
        <v>0</v>
      </c>
      <c r="Q219" s="233">
        <f t="shared" si="68"/>
        <v>0</v>
      </c>
      <c r="R219" s="233">
        <f t="shared" si="68"/>
        <v>0</v>
      </c>
      <c r="S219" s="233">
        <f t="shared" si="68"/>
        <v>0</v>
      </c>
      <c r="T219" s="233">
        <f t="shared" si="68"/>
        <v>0</v>
      </c>
      <c r="U219" s="233">
        <f t="shared" si="68"/>
        <v>0</v>
      </c>
      <c r="V219" s="233">
        <f t="shared" si="68"/>
        <v>0</v>
      </c>
      <c r="W219" s="233">
        <f t="shared" si="68"/>
        <v>0</v>
      </c>
      <c r="X219" s="233">
        <f t="shared" si="68"/>
        <v>0</v>
      </c>
      <c r="Y219" s="233">
        <f t="shared" si="68"/>
        <v>0</v>
      </c>
      <c r="Z219" s="233">
        <f t="shared" si="68"/>
        <v>0</v>
      </c>
      <c r="AA219" s="233">
        <f t="shared" si="68"/>
        <v>0</v>
      </c>
      <c r="AB219" s="233">
        <f t="shared" si="68"/>
        <v>0</v>
      </c>
      <c r="AC219" s="233">
        <f t="shared" si="68"/>
        <v>0</v>
      </c>
      <c r="AD219" s="233">
        <f t="shared" si="68"/>
        <v>0</v>
      </c>
      <c r="AE219" s="233">
        <f t="shared" si="68"/>
        <v>0</v>
      </c>
      <c r="AF219" s="233">
        <f t="shared" si="68"/>
        <v>0</v>
      </c>
      <c r="AG219" s="233">
        <f t="shared" si="68"/>
        <v>0</v>
      </c>
    </row>
    <row r="220" spans="1:33" ht="16.5" customHeight="1" outlineLevel="2">
      <c r="A220" s="128"/>
      <c r="B220" s="434"/>
      <c r="C220" s="40" t="str">
        <f>C72</f>
        <v>Fill in name or positon here</v>
      </c>
      <c r="D220" s="8" t="str">
        <f>Currency_Label</f>
        <v>USD</v>
      </c>
      <c r="E220" s="760">
        <f>E72</f>
        <v>1</v>
      </c>
      <c r="F220" s="128"/>
      <c r="G220" s="128"/>
      <c r="H220" s="128"/>
      <c r="I220" s="71">
        <f>SUM(J220:AG220)</f>
        <v>0</v>
      </c>
      <c r="J220" s="233">
        <f t="shared" ref="J220:AG220" si="69">IFERROR(J72*(J146/J72)*AGSatz_Pausch,0)*$E220</f>
        <v>0</v>
      </c>
      <c r="K220" s="233">
        <f t="shared" si="69"/>
        <v>0</v>
      </c>
      <c r="L220" s="233">
        <f t="shared" si="69"/>
        <v>0</v>
      </c>
      <c r="M220" s="233">
        <f t="shared" si="69"/>
        <v>0</v>
      </c>
      <c r="N220" s="233">
        <f t="shared" si="69"/>
        <v>0</v>
      </c>
      <c r="O220" s="233">
        <f t="shared" si="69"/>
        <v>0</v>
      </c>
      <c r="P220" s="233">
        <f t="shared" si="69"/>
        <v>0</v>
      </c>
      <c r="Q220" s="233">
        <f t="shared" si="69"/>
        <v>0</v>
      </c>
      <c r="R220" s="233">
        <f t="shared" si="69"/>
        <v>0</v>
      </c>
      <c r="S220" s="233">
        <f t="shared" si="69"/>
        <v>0</v>
      </c>
      <c r="T220" s="233">
        <f t="shared" si="69"/>
        <v>0</v>
      </c>
      <c r="U220" s="233">
        <f t="shared" si="69"/>
        <v>0</v>
      </c>
      <c r="V220" s="233">
        <f t="shared" si="69"/>
        <v>0</v>
      </c>
      <c r="W220" s="233">
        <f t="shared" si="69"/>
        <v>0</v>
      </c>
      <c r="X220" s="233">
        <f t="shared" si="69"/>
        <v>0</v>
      </c>
      <c r="Y220" s="233">
        <f t="shared" si="69"/>
        <v>0</v>
      </c>
      <c r="Z220" s="233">
        <f t="shared" si="69"/>
        <v>0</v>
      </c>
      <c r="AA220" s="233">
        <f t="shared" si="69"/>
        <v>0</v>
      </c>
      <c r="AB220" s="233">
        <f t="shared" si="69"/>
        <v>0</v>
      </c>
      <c r="AC220" s="233">
        <f t="shared" si="69"/>
        <v>0</v>
      </c>
      <c r="AD220" s="233">
        <f t="shared" si="69"/>
        <v>0</v>
      </c>
      <c r="AE220" s="233">
        <f t="shared" si="69"/>
        <v>0</v>
      </c>
      <c r="AF220" s="233">
        <f t="shared" si="69"/>
        <v>0</v>
      </c>
      <c r="AG220" s="233">
        <f t="shared" si="69"/>
        <v>0</v>
      </c>
    </row>
    <row r="221" spans="1:33" ht="16.5" customHeight="1" outlineLevel="2">
      <c r="A221" s="128"/>
      <c r="B221" s="434"/>
      <c r="C221" s="40" t="str">
        <f>C73</f>
        <v>Fill in name or positon here</v>
      </c>
      <c r="D221" s="8" t="str">
        <f>Currency_Label</f>
        <v>USD</v>
      </c>
      <c r="E221" s="760">
        <f>E73</f>
        <v>1</v>
      </c>
      <c r="F221" s="128"/>
      <c r="G221" s="128"/>
      <c r="H221" s="128"/>
      <c r="I221" s="71">
        <f>SUM(J221:AG221)</f>
        <v>0</v>
      </c>
      <c r="J221" s="233">
        <f t="shared" ref="J221:AG221" si="70">IFERROR(J73*(J147/J73)*AGSatz_Pausch,0)*$E221</f>
        <v>0</v>
      </c>
      <c r="K221" s="233">
        <f t="shared" si="70"/>
        <v>0</v>
      </c>
      <c r="L221" s="233">
        <f t="shared" si="70"/>
        <v>0</v>
      </c>
      <c r="M221" s="233">
        <f t="shared" si="70"/>
        <v>0</v>
      </c>
      <c r="N221" s="233">
        <f t="shared" si="70"/>
        <v>0</v>
      </c>
      <c r="O221" s="233">
        <f t="shared" si="70"/>
        <v>0</v>
      </c>
      <c r="P221" s="233">
        <f t="shared" si="70"/>
        <v>0</v>
      </c>
      <c r="Q221" s="233">
        <f t="shared" si="70"/>
        <v>0</v>
      </c>
      <c r="R221" s="233">
        <f t="shared" si="70"/>
        <v>0</v>
      </c>
      <c r="S221" s="233">
        <f t="shared" si="70"/>
        <v>0</v>
      </c>
      <c r="T221" s="233">
        <f t="shared" si="70"/>
        <v>0</v>
      </c>
      <c r="U221" s="233">
        <f t="shared" si="70"/>
        <v>0</v>
      </c>
      <c r="V221" s="233">
        <f t="shared" si="70"/>
        <v>0</v>
      </c>
      <c r="W221" s="233">
        <f t="shared" si="70"/>
        <v>0</v>
      </c>
      <c r="X221" s="233">
        <f t="shared" si="70"/>
        <v>0</v>
      </c>
      <c r="Y221" s="233">
        <f t="shared" si="70"/>
        <v>0</v>
      </c>
      <c r="Z221" s="233">
        <f t="shared" si="70"/>
        <v>0</v>
      </c>
      <c r="AA221" s="233">
        <f t="shared" si="70"/>
        <v>0</v>
      </c>
      <c r="AB221" s="233">
        <f t="shared" si="70"/>
        <v>0</v>
      </c>
      <c r="AC221" s="233">
        <f t="shared" si="70"/>
        <v>0</v>
      </c>
      <c r="AD221" s="233">
        <f t="shared" si="70"/>
        <v>0</v>
      </c>
      <c r="AE221" s="233">
        <f t="shared" si="70"/>
        <v>0</v>
      </c>
      <c r="AF221" s="233">
        <f t="shared" si="70"/>
        <v>0</v>
      </c>
      <c r="AG221" s="233">
        <f t="shared" si="70"/>
        <v>0</v>
      </c>
    </row>
    <row r="222" spans="1:33" ht="16.5" customHeight="1" outlineLevel="2">
      <c r="A222" s="128"/>
      <c r="B222" s="434"/>
      <c r="C222" s="75" t="str">
        <f>C74</f>
        <v xml:space="preserve">     Subtotal</v>
      </c>
      <c r="D222" s="8" t="str">
        <f>Currency_Label</f>
        <v>USD</v>
      </c>
      <c r="E222" s="36"/>
      <c r="F222" s="36"/>
      <c r="G222" s="36"/>
      <c r="H222" s="36"/>
      <c r="I222" s="71">
        <f>SUM(J222:AG222)</f>
        <v>0</v>
      </c>
      <c r="J222" s="238">
        <f t="shared" ref="J222:AG222" si="71">SUM(J218:J221)</f>
        <v>0</v>
      </c>
      <c r="K222" s="238">
        <f t="shared" si="71"/>
        <v>0</v>
      </c>
      <c r="L222" s="238">
        <f t="shared" si="71"/>
        <v>0</v>
      </c>
      <c r="M222" s="238">
        <f t="shared" si="71"/>
        <v>0</v>
      </c>
      <c r="N222" s="238">
        <f t="shared" si="71"/>
        <v>0</v>
      </c>
      <c r="O222" s="238">
        <f t="shared" si="71"/>
        <v>0</v>
      </c>
      <c r="P222" s="238">
        <f t="shared" si="71"/>
        <v>0</v>
      </c>
      <c r="Q222" s="238">
        <f t="shared" si="71"/>
        <v>0</v>
      </c>
      <c r="R222" s="238">
        <f t="shared" si="71"/>
        <v>0</v>
      </c>
      <c r="S222" s="238">
        <f t="shared" si="71"/>
        <v>0</v>
      </c>
      <c r="T222" s="238">
        <f t="shared" si="71"/>
        <v>0</v>
      </c>
      <c r="U222" s="238">
        <f t="shared" si="71"/>
        <v>0</v>
      </c>
      <c r="V222" s="238">
        <f t="shared" si="71"/>
        <v>0</v>
      </c>
      <c r="W222" s="238">
        <f t="shared" si="71"/>
        <v>0</v>
      </c>
      <c r="X222" s="238">
        <f t="shared" si="71"/>
        <v>0</v>
      </c>
      <c r="Y222" s="238">
        <f t="shared" si="71"/>
        <v>0</v>
      </c>
      <c r="Z222" s="238">
        <f t="shared" si="71"/>
        <v>0</v>
      </c>
      <c r="AA222" s="238">
        <f t="shared" si="71"/>
        <v>0</v>
      </c>
      <c r="AB222" s="238">
        <f t="shared" si="71"/>
        <v>0</v>
      </c>
      <c r="AC222" s="238">
        <f t="shared" si="71"/>
        <v>0</v>
      </c>
      <c r="AD222" s="238">
        <f t="shared" si="71"/>
        <v>0</v>
      </c>
      <c r="AE222" s="238">
        <f t="shared" si="71"/>
        <v>0</v>
      </c>
      <c r="AF222" s="238">
        <f t="shared" si="71"/>
        <v>0</v>
      </c>
      <c r="AG222" s="238">
        <f t="shared" si="71"/>
        <v>0</v>
      </c>
    </row>
    <row r="223" spans="1:33" ht="16.5" customHeight="1" outlineLevel="2">
      <c r="A223" s="128"/>
      <c r="B223" s="128"/>
      <c r="C223" s="128"/>
      <c r="D223" s="275"/>
      <c r="E223" s="128"/>
      <c r="F223" s="128"/>
      <c r="G223" s="128"/>
      <c r="H223" s="128"/>
      <c r="I223" s="332"/>
      <c r="J223" s="332"/>
      <c r="K223" s="332"/>
      <c r="L223" s="332"/>
      <c r="M223" s="332"/>
      <c r="N223" s="332"/>
      <c r="O223" s="332"/>
      <c r="P223" s="332"/>
      <c r="Q223" s="332"/>
      <c r="R223" s="332"/>
      <c r="S223" s="332"/>
      <c r="T223" s="332"/>
      <c r="U223" s="332"/>
      <c r="V223" s="332"/>
      <c r="W223" s="332"/>
      <c r="X223" s="332"/>
      <c r="Y223" s="332"/>
      <c r="Z223" s="332"/>
      <c r="AA223" s="332"/>
      <c r="AB223" s="332"/>
      <c r="AC223" s="332"/>
      <c r="AD223" s="332"/>
      <c r="AE223" s="332"/>
      <c r="AF223" s="332"/>
      <c r="AG223" s="332"/>
    </row>
    <row r="224" spans="1:33" ht="16.5" customHeight="1" outlineLevel="2">
      <c r="A224" s="128"/>
      <c r="B224" s="430">
        <f>B76</f>
        <v>10</v>
      </c>
      <c r="C224" s="331" t="str">
        <f>C76</f>
        <v>License Fees</v>
      </c>
      <c r="D224" s="275"/>
      <c r="E224" s="128"/>
      <c r="F224" s="287"/>
      <c r="G224" s="287"/>
      <c r="H224" s="128"/>
      <c r="I224" s="332"/>
      <c r="J224" s="332"/>
      <c r="K224" s="332"/>
      <c r="L224" s="332"/>
      <c r="M224" s="332"/>
      <c r="N224" s="332"/>
      <c r="O224" s="332"/>
      <c r="P224" s="332"/>
      <c r="Q224" s="332"/>
      <c r="R224" s="332"/>
      <c r="S224" s="332"/>
      <c r="T224" s="332"/>
      <c r="U224" s="332"/>
      <c r="V224" s="332"/>
      <c r="W224" s="332"/>
      <c r="X224" s="332"/>
      <c r="Y224" s="332"/>
      <c r="Z224" s="332"/>
      <c r="AA224" s="332"/>
      <c r="AB224" s="332"/>
      <c r="AC224" s="332"/>
      <c r="AD224" s="332"/>
      <c r="AE224" s="332"/>
      <c r="AF224" s="332"/>
      <c r="AG224" s="332"/>
    </row>
    <row r="225" spans="1:33" ht="16.5" customHeight="1" outlineLevel="2">
      <c r="A225" s="128"/>
      <c r="B225" s="128"/>
      <c r="C225" s="40" t="str">
        <f>C77</f>
        <v>Fill in name or positon here</v>
      </c>
      <c r="D225" s="8" t="str">
        <f>Currency_Label</f>
        <v>USD</v>
      </c>
      <c r="E225" s="760">
        <f>E77</f>
        <v>1</v>
      </c>
      <c r="F225" s="128"/>
      <c r="G225" s="128"/>
      <c r="H225" s="128"/>
      <c r="I225" s="71">
        <f>SUM(J225:AG225)</f>
        <v>0</v>
      </c>
      <c r="J225" s="233">
        <f t="shared" ref="J225:AG225" si="72">IFERROR(J77*(J151/J77)*AGSatz_Pausch,0)*$E225</f>
        <v>0</v>
      </c>
      <c r="K225" s="233">
        <f t="shared" si="72"/>
        <v>0</v>
      </c>
      <c r="L225" s="233">
        <f t="shared" si="72"/>
        <v>0</v>
      </c>
      <c r="M225" s="233">
        <f t="shared" si="72"/>
        <v>0</v>
      </c>
      <c r="N225" s="233">
        <f t="shared" si="72"/>
        <v>0</v>
      </c>
      <c r="O225" s="233">
        <f t="shared" si="72"/>
        <v>0</v>
      </c>
      <c r="P225" s="233">
        <f t="shared" si="72"/>
        <v>0</v>
      </c>
      <c r="Q225" s="233">
        <f t="shared" si="72"/>
        <v>0</v>
      </c>
      <c r="R225" s="233">
        <f t="shared" si="72"/>
        <v>0</v>
      </c>
      <c r="S225" s="233">
        <f t="shared" si="72"/>
        <v>0</v>
      </c>
      <c r="T225" s="233">
        <f t="shared" si="72"/>
        <v>0</v>
      </c>
      <c r="U225" s="233">
        <f t="shared" si="72"/>
        <v>0</v>
      </c>
      <c r="V225" s="233">
        <f t="shared" si="72"/>
        <v>0</v>
      </c>
      <c r="W225" s="233">
        <f t="shared" si="72"/>
        <v>0</v>
      </c>
      <c r="X225" s="233">
        <f t="shared" si="72"/>
        <v>0</v>
      </c>
      <c r="Y225" s="233">
        <f t="shared" si="72"/>
        <v>0</v>
      </c>
      <c r="Z225" s="233">
        <f t="shared" si="72"/>
        <v>0</v>
      </c>
      <c r="AA225" s="233">
        <f t="shared" si="72"/>
        <v>0</v>
      </c>
      <c r="AB225" s="233">
        <f t="shared" si="72"/>
        <v>0</v>
      </c>
      <c r="AC225" s="233">
        <f t="shared" si="72"/>
        <v>0</v>
      </c>
      <c r="AD225" s="233">
        <f t="shared" si="72"/>
        <v>0</v>
      </c>
      <c r="AE225" s="233">
        <f t="shared" si="72"/>
        <v>0</v>
      </c>
      <c r="AF225" s="233">
        <f t="shared" si="72"/>
        <v>0</v>
      </c>
      <c r="AG225" s="233">
        <f t="shared" si="72"/>
        <v>0</v>
      </c>
    </row>
    <row r="226" spans="1:33" ht="16.5" customHeight="1" outlineLevel="2">
      <c r="A226" s="128"/>
      <c r="B226" s="128"/>
      <c r="C226" s="40" t="str">
        <f>C78</f>
        <v>Fill in name or positon here</v>
      </c>
      <c r="D226" s="8" t="str">
        <f>Currency_Label</f>
        <v>USD</v>
      </c>
      <c r="E226" s="760">
        <f>E78</f>
        <v>1</v>
      </c>
      <c r="F226" s="128"/>
      <c r="G226" s="128"/>
      <c r="H226" s="128"/>
      <c r="I226" s="71">
        <f>SUM(J226:AG226)</f>
        <v>0</v>
      </c>
      <c r="J226" s="233">
        <f t="shared" ref="J226:AG226" si="73">IFERROR(J78*(J152/J78)*AGSatz_Pausch,0)*$E226</f>
        <v>0</v>
      </c>
      <c r="K226" s="233">
        <f t="shared" si="73"/>
        <v>0</v>
      </c>
      <c r="L226" s="233">
        <f t="shared" si="73"/>
        <v>0</v>
      </c>
      <c r="M226" s="233">
        <f t="shared" si="73"/>
        <v>0</v>
      </c>
      <c r="N226" s="233">
        <f t="shared" si="73"/>
        <v>0</v>
      </c>
      <c r="O226" s="233">
        <f t="shared" si="73"/>
        <v>0</v>
      </c>
      <c r="P226" s="233">
        <f t="shared" si="73"/>
        <v>0</v>
      </c>
      <c r="Q226" s="233">
        <f t="shared" si="73"/>
        <v>0</v>
      </c>
      <c r="R226" s="233">
        <f t="shared" si="73"/>
        <v>0</v>
      </c>
      <c r="S226" s="233">
        <f t="shared" si="73"/>
        <v>0</v>
      </c>
      <c r="T226" s="233">
        <f t="shared" si="73"/>
        <v>0</v>
      </c>
      <c r="U226" s="233">
        <f t="shared" si="73"/>
        <v>0</v>
      </c>
      <c r="V226" s="233">
        <f t="shared" si="73"/>
        <v>0</v>
      </c>
      <c r="W226" s="233">
        <f t="shared" si="73"/>
        <v>0</v>
      </c>
      <c r="X226" s="233">
        <f t="shared" si="73"/>
        <v>0</v>
      </c>
      <c r="Y226" s="233">
        <f t="shared" si="73"/>
        <v>0</v>
      </c>
      <c r="Z226" s="233">
        <f t="shared" si="73"/>
        <v>0</v>
      </c>
      <c r="AA226" s="233">
        <f t="shared" si="73"/>
        <v>0</v>
      </c>
      <c r="AB226" s="233">
        <f t="shared" si="73"/>
        <v>0</v>
      </c>
      <c r="AC226" s="233">
        <f t="shared" si="73"/>
        <v>0</v>
      </c>
      <c r="AD226" s="233">
        <f t="shared" si="73"/>
        <v>0</v>
      </c>
      <c r="AE226" s="233">
        <f t="shared" si="73"/>
        <v>0</v>
      </c>
      <c r="AF226" s="233">
        <f t="shared" si="73"/>
        <v>0</v>
      </c>
      <c r="AG226" s="233">
        <f t="shared" si="73"/>
        <v>0</v>
      </c>
    </row>
    <row r="227" spans="1:33" ht="16.5" customHeight="1" outlineLevel="2">
      <c r="A227" s="128"/>
      <c r="B227" s="128"/>
      <c r="C227" s="40" t="str">
        <f>C79</f>
        <v>Fill in name or positon here</v>
      </c>
      <c r="D227" s="8" t="str">
        <f>Currency_Label</f>
        <v>USD</v>
      </c>
      <c r="E227" s="760">
        <f>E79</f>
        <v>1</v>
      </c>
      <c r="F227" s="128"/>
      <c r="G227" s="128"/>
      <c r="H227" s="128"/>
      <c r="I227" s="71">
        <f>SUM(J227:AG227)</f>
        <v>0</v>
      </c>
      <c r="J227" s="233">
        <f t="shared" ref="J227:AG227" si="74">IFERROR(J79*(J153/J79)*AGSatz_Pausch,0)*$E227</f>
        <v>0</v>
      </c>
      <c r="K227" s="233">
        <f t="shared" si="74"/>
        <v>0</v>
      </c>
      <c r="L227" s="233">
        <f t="shared" si="74"/>
        <v>0</v>
      </c>
      <c r="M227" s="233">
        <f t="shared" si="74"/>
        <v>0</v>
      </c>
      <c r="N227" s="233">
        <f t="shared" si="74"/>
        <v>0</v>
      </c>
      <c r="O227" s="233">
        <f t="shared" si="74"/>
        <v>0</v>
      </c>
      <c r="P227" s="233">
        <f t="shared" si="74"/>
        <v>0</v>
      </c>
      <c r="Q227" s="233">
        <f t="shared" si="74"/>
        <v>0</v>
      </c>
      <c r="R227" s="233">
        <f t="shared" si="74"/>
        <v>0</v>
      </c>
      <c r="S227" s="233">
        <f t="shared" si="74"/>
        <v>0</v>
      </c>
      <c r="T227" s="233">
        <f t="shared" si="74"/>
        <v>0</v>
      </c>
      <c r="U227" s="233">
        <f t="shared" si="74"/>
        <v>0</v>
      </c>
      <c r="V227" s="233">
        <f t="shared" si="74"/>
        <v>0</v>
      </c>
      <c r="W227" s="233">
        <f t="shared" si="74"/>
        <v>0</v>
      </c>
      <c r="X227" s="233">
        <f t="shared" si="74"/>
        <v>0</v>
      </c>
      <c r="Y227" s="233">
        <f t="shared" si="74"/>
        <v>0</v>
      </c>
      <c r="Z227" s="233">
        <f t="shared" si="74"/>
        <v>0</v>
      </c>
      <c r="AA227" s="233">
        <f t="shared" si="74"/>
        <v>0</v>
      </c>
      <c r="AB227" s="233">
        <f t="shared" si="74"/>
        <v>0</v>
      </c>
      <c r="AC227" s="233">
        <f t="shared" si="74"/>
        <v>0</v>
      </c>
      <c r="AD227" s="233">
        <f t="shared" si="74"/>
        <v>0</v>
      </c>
      <c r="AE227" s="233">
        <f t="shared" si="74"/>
        <v>0</v>
      </c>
      <c r="AF227" s="233">
        <f t="shared" si="74"/>
        <v>0</v>
      </c>
      <c r="AG227" s="233">
        <f t="shared" si="74"/>
        <v>0</v>
      </c>
    </row>
    <row r="228" spans="1:33" ht="16.5" customHeight="1" outlineLevel="2">
      <c r="A228" s="128"/>
      <c r="B228" s="128"/>
      <c r="C228" s="40" t="str">
        <f>C80</f>
        <v>Fill in name or positon here</v>
      </c>
      <c r="D228" s="8" t="str">
        <f>Currency_Label</f>
        <v>USD</v>
      </c>
      <c r="E228" s="760">
        <f>E80</f>
        <v>1</v>
      </c>
      <c r="F228" s="128"/>
      <c r="G228" s="128"/>
      <c r="H228" s="128"/>
      <c r="I228" s="71">
        <f>SUM(J228:AG228)</f>
        <v>0</v>
      </c>
      <c r="J228" s="233">
        <f t="shared" ref="J228:AG228" si="75">IFERROR(J80*(J154/J80)*AGSatz_Pausch,0)*$E228</f>
        <v>0</v>
      </c>
      <c r="K228" s="233">
        <f t="shared" si="75"/>
        <v>0</v>
      </c>
      <c r="L228" s="233">
        <f t="shared" si="75"/>
        <v>0</v>
      </c>
      <c r="M228" s="233">
        <f t="shared" si="75"/>
        <v>0</v>
      </c>
      <c r="N228" s="233">
        <f t="shared" si="75"/>
        <v>0</v>
      </c>
      <c r="O228" s="233">
        <f t="shared" si="75"/>
        <v>0</v>
      </c>
      <c r="P228" s="233">
        <f t="shared" si="75"/>
        <v>0</v>
      </c>
      <c r="Q228" s="233">
        <f t="shared" si="75"/>
        <v>0</v>
      </c>
      <c r="R228" s="233">
        <f t="shared" si="75"/>
        <v>0</v>
      </c>
      <c r="S228" s="233">
        <f t="shared" si="75"/>
        <v>0</v>
      </c>
      <c r="T228" s="233">
        <f t="shared" si="75"/>
        <v>0</v>
      </c>
      <c r="U228" s="233">
        <f t="shared" si="75"/>
        <v>0</v>
      </c>
      <c r="V228" s="233">
        <f t="shared" si="75"/>
        <v>0</v>
      </c>
      <c r="W228" s="233">
        <f t="shared" si="75"/>
        <v>0</v>
      </c>
      <c r="X228" s="233">
        <f t="shared" si="75"/>
        <v>0</v>
      </c>
      <c r="Y228" s="233">
        <f t="shared" si="75"/>
        <v>0</v>
      </c>
      <c r="Z228" s="233">
        <f t="shared" si="75"/>
        <v>0</v>
      </c>
      <c r="AA228" s="233">
        <f t="shared" si="75"/>
        <v>0</v>
      </c>
      <c r="AB228" s="233">
        <f t="shared" si="75"/>
        <v>0</v>
      </c>
      <c r="AC228" s="233">
        <f t="shared" si="75"/>
        <v>0</v>
      </c>
      <c r="AD228" s="233">
        <f t="shared" si="75"/>
        <v>0</v>
      </c>
      <c r="AE228" s="233">
        <f t="shared" si="75"/>
        <v>0</v>
      </c>
      <c r="AF228" s="233">
        <f t="shared" si="75"/>
        <v>0</v>
      </c>
      <c r="AG228" s="233">
        <f t="shared" si="75"/>
        <v>0</v>
      </c>
    </row>
    <row r="229" spans="1:33" ht="16.5" customHeight="1" outlineLevel="2">
      <c r="A229" s="128"/>
      <c r="B229" s="128"/>
      <c r="C229" s="75" t="str">
        <f>C81</f>
        <v xml:space="preserve">     Subtotal</v>
      </c>
      <c r="D229" s="8" t="str">
        <f>Currency_Label</f>
        <v>USD</v>
      </c>
      <c r="E229" s="36"/>
      <c r="F229" s="36"/>
      <c r="G229" s="36"/>
      <c r="H229" s="36"/>
      <c r="I229" s="71">
        <f>SUM(J229:AG229)</f>
        <v>0</v>
      </c>
      <c r="J229" s="129">
        <f t="shared" ref="J229:AG229" si="76">SUM(J225:J228)</f>
        <v>0</v>
      </c>
      <c r="K229" s="129">
        <f t="shared" si="76"/>
        <v>0</v>
      </c>
      <c r="L229" s="129">
        <f t="shared" si="76"/>
        <v>0</v>
      </c>
      <c r="M229" s="129">
        <f t="shared" si="76"/>
        <v>0</v>
      </c>
      <c r="N229" s="129">
        <f t="shared" si="76"/>
        <v>0</v>
      </c>
      <c r="O229" s="129">
        <f t="shared" si="76"/>
        <v>0</v>
      </c>
      <c r="P229" s="129">
        <f t="shared" si="76"/>
        <v>0</v>
      </c>
      <c r="Q229" s="129">
        <f t="shared" si="76"/>
        <v>0</v>
      </c>
      <c r="R229" s="129">
        <f t="shared" si="76"/>
        <v>0</v>
      </c>
      <c r="S229" s="129">
        <f t="shared" si="76"/>
        <v>0</v>
      </c>
      <c r="T229" s="129">
        <f t="shared" si="76"/>
        <v>0</v>
      </c>
      <c r="U229" s="129">
        <f t="shared" si="76"/>
        <v>0</v>
      </c>
      <c r="V229" s="129">
        <f t="shared" si="76"/>
        <v>0</v>
      </c>
      <c r="W229" s="129">
        <f t="shared" si="76"/>
        <v>0</v>
      </c>
      <c r="X229" s="129">
        <f t="shared" si="76"/>
        <v>0</v>
      </c>
      <c r="Y229" s="129">
        <f t="shared" si="76"/>
        <v>0</v>
      </c>
      <c r="Z229" s="129">
        <f t="shared" si="76"/>
        <v>0</v>
      </c>
      <c r="AA229" s="129">
        <f t="shared" si="76"/>
        <v>0</v>
      </c>
      <c r="AB229" s="129">
        <f t="shared" si="76"/>
        <v>0</v>
      </c>
      <c r="AC229" s="129">
        <f t="shared" si="76"/>
        <v>0</v>
      </c>
      <c r="AD229" s="129">
        <f t="shared" si="76"/>
        <v>0</v>
      </c>
      <c r="AE229" s="129">
        <f t="shared" si="76"/>
        <v>0</v>
      </c>
      <c r="AF229" s="129">
        <f t="shared" si="76"/>
        <v>0</v>
      </c>
      <c r="AG229" s="129">
        <f t="shared" si="76"/>
        <v>0</v>
      </c>
    </row>
    <row r="230" spans="1:33" ht="16.5" customHeight="1" outlineLevel="2">
      <c r="A230" s="128"/>
      <c r="B230" s="128"/>
      <c r="C230" s="128"/>
      <c r="D230" s="275"/>
      <c r="E230" s="128"/>
      <c r="F230" s="128"/>
      <c r="G230" s="128"/>
      <c r="H230" s="128"/>
      <c r="I230" s="332"/>
      <c r="J230" s="332"/>
      <c r="K230" s="332"/>
      <c r="L230" s="332"/>
      <c r="M230" s="329"/>
      <c r="N230" s="329"/>
      <c r="O230" s="329"/>
      <c r="P230" s="329"/>
      <c r="Q230" s="329"/>
      <c r="R230" s="329"/>
      <c r="S230" s="329"/>
      <c r="T230" s="329"/>
      <c r="U230" s="329"/>
      <c r="V230" s="329"/>
      <c r="W230" s="329"/>
      <c r="X230" s="329"/>
      <c r="Y230" s="329"/>
      <c r="Z230" s="329"/>
      <c r="AA230" s="329"/>
      <c r="AB230" s="329"/>
      <c r="AC230" s="329"/>
      <c r="AD230" s="329"/>
      <c r="AE230" s="329"/>
      <c r="AF230" s="329"/>
      <c r="AG230" s="329"/>
    </row>
    <row r="231" spans="1:33" ht="16.5" customHeight="1" outlineLevel="2" thickBot="1">
      <c r="A231" s="128"/>
      <c r="B231" s="128"/>
      <c r="C231" s="75" t="s">
        <v>287</v>
      </c>
      <c r="D231" s="8" t="str">
        <f>Currency_Label</f>
        <v>USD</v>
      </c>
      <c r="E231" s="36"/>
      <c r="F231" s="36"/>
      <c r="G231" s="36"/>
      <c r="H231" s="36"/>
      <c r="I231" s="71">
        <f>SUM(J231:AG231)</f>
        <v>29766.666666666661</v>
      </c>
      <c r="J231" s="711">
        <f t="shared" ref="J231:AG231" si="77">J166+J173+J180+J187+J194+J201+J208+J215+J222+J229</f>
        <v>833.33333333333337</v>
      </c>
      <c r="K231" s="711">
        <f t="shared" si="77"/>
        <v>833.33333333333337</v>
      </c>
      <c r="L231" s="711">
        <f t="shared" si="77"/>
        <v>833.33333333333337</v>
      </c>
      <c r="M231" s="711">
        <f t="shared" si="77"/>
        <v>833.33333333333337</v>
      </c>
      <c r="N231" s="711">
        <f t="shared" si="77"/>
        <v>833.33333333333337</v>
      </c>
      <c r="O231" s="711">
        <f t="shared" si="77"/>
        <v>833.33333333333337</v>
      </c>
      <c r="P231" s="711">
        <f t="shared" si="77"/>
        <v>1250</v>
      </c>
      <c r="Q231" s="711">
        <f t="shared" si="77"/>
        <v>1666.6666666666667</v>
      </c>
      <c r="R231" s="711">
        <f t="shared" si="77"/>
        <v>1666.6666666666667</v>
      </c>
      <c r="S231" s="711">
        <f t="shared" si="77"/>
        <v>1666.6666666666667</v>
      </c>
      <c r="T231" s="711">
        <f t="shared" si="77"/>
        <v>1683.3333333333333</v>
      </c>
      <c r="U231" s="711">
        <f t="shared" si="77"/>
        <v>1683.3333333333333</v>
      </c>
      <c r="V231" s="711">
        <f t="shared" si="77"/>
        <v>1683.3333333333333</v>
      </c>
      <c r="W231" s="711">
        <f t="shared" si="77"/>
        <v>1683.3333333333333</v>
      </c>
      <c r="X231" s="711">
        <f t="shared" si="77"/>
        <v>1683.3333333333333</v>
      </c>
      <c r="Y231" s="711">
        <f t="shared" si="77"/>
        <v>1683.3333333333333</v>
      </c>
      <c r="Z231" s="711">
        <f t="shared" si="77"/>
        <v>1683.3333333333333</v>
      </c>
      <c r="AA231" s="711">
        <f t="shared" si="77"/>
        <v>1683.3333333333333</v>
      </c>
      <c r="AB231" s="711">
        <f t="shared" si="77"/>
        <v>1683.3333333333333</v>
      </c>
      <c r="AC231" s="711">
        <f t="shared" si="77"/>
        <v>1683.3333333333333</v>
      </c>
      <c r="AD231" s="711">
        <f t="shared" si="77"/>
        <v>1683.3333333333333</v>
      </c>
      <c r="AE231" s="711">
        <f t="shared" si="77"/>
        <v>0</v>
      </c>
      <c r="AF231" s="711">
        <f t="shared" si="77"/>
        <v>0</v>
      </c>
      <c r="AG231" s="711">
        <f t="shared" si="77"/>
        <v>0</v>
      </c>
    </row>
    <row r="232" spans="1:33" ht="16.5" customHeight="1" outlineLevel="1" thickTop="1">
      <c r="A232" s="128"/>
      <c r="B232" s="128"/>
      <c r="C232" s="128"/>
      <c r="D232" s="275"/>
      <c r="E232" s="128"/>
      <c r="F232" s="128"/>
      <c r="G232" s="128"/>
      <c r="H232" s="128"/>
      <c r="I232" s="332"/>
      <c r="J232" s="128"/>
      <c r="K232" s="128"/>
      <c r="L232" s="128"/>
      <c r="M232" s="287"/>
      <c r="N232" s="287"/>
      <c r="O232" s="287"/>
      <c r="P232" s="287"/>
      <c r="Q232" s="287"/>
      <c r="R232" s="287"/>
      <c r="S232" s="287"/>
      <c r="T232" s="287"/>
      <c r="U232" s="287"/>
      <c r="V232" s="287"/>
      <c r="W232" s="287"/>
      <c r="X232" s="287"/>
      <c r="Y232" s="287"/>
      <c r="Z232" s="287"/>
      <c r="AA232" s="287"/>
      <c r="AB232" s="287"/>
      <c r="AC232" s="287"/>
      <c r="AD232" s="287"/>
      <c r="AE232" s="287"/>
      <c r="AF232" s="287"/>
      <c r="AG232" s="287"/>
    </row>
    <row r="233" spans="1:33" ht="21.75" customHeight="1" outlineLevel="1">
      <c r="A233" s="894"/>
      <c r="B233" s="287"/>
      <c r="C233" s="279" t="str">
        <f>CHOOSE(language,"Other Staff Costs - Direct Labour Staff","Other Staff Costs - Direct Labor Staff")</f>
        <v>Other Staff Costs - Direct Labor Staff</v>
      </c>
      <c r="D233" s="279"/>
      <c r="E233" s="287"/>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E233" s="287"/>
      <c r="AF233" s="287"/>
      <c r="AG233" s="287"/>
    </row>
    <row r="234" spans="1:33" ht="17.25" customHeight="1" outlineLevel="2">
      <c r="A234" s="128"/>
      <c r="B234" s="708">
        <v>1</v>
      </c>
      <c r="C234" s="331" t="str">
        <f>C13</f>
        <v>Desktops</v>
      </c>
      <c r="D234" s="275"/>
      <c r="E234" s="128"/>
      <c r="F234" s="128"/>
      <c r="G234" s="128"/>
      <c r="H234" s="128"/>
      <c r="I234" s="128"/>
      <c r="J234" s="128"/>
      <c r="K234" s="128"/>
      <c r="L234" s="128"/>
      <c r="M234" s="287"/>
      <c r="N234" s="287"/>
      <c r="O234" s="287"/>
      <c r="P234" s="287"/>
      <c r="Q234" s="287"/>
      <c r="R234" s="287"/>
      <c r="S234" s="287"/>
      <c r="T234" s="287"/>
      <c r="U234" s="287"/>
      <c r="V234" s="287"/>
      <c r="W234" s="287"/>
      <c r="X234" s="287"/>
      <c r="Y234" s="287"/>
      <c r="Z234" s="287"/>
      <c r="AA234" s="287"/>
      <c r="AB234" s="287"/>
      <c r="AC234" s="287"/>
      <c r="AD234" s="287"/>
      <c r="AE234" s="287"/>
      <c r="AF234" s="287"/>
      <c r="AG234" s="287"/>
    </row>
    <row r="235" spans="1:33" ht="17.25" customHeight="1" outlineLevel="2">
      <c r="A235" s="128"/>
      <c r="B235" s="708"/>
      <c r="C235" s="40" t="str">
        <f>CHOOSE(language,"Other Staff Costs (automatic)","Other Staff Expenses (automatic)")</f>
        <v>Other Staff Expenses (automatic)</v>
      </c>
      <c r="D235" s="8" t="str">
        <f t="shared" ref="D235:D237" si="78">Currency_Label</f>
        <v>USD</v>
      </c>
      <c r="E235" s="271">
        <v>0.05</v>
      </c>
      <c r="F235" s="412" t="s">
        <v>294</v>
      </c>
      <c r="G235" s="36"/>
      <c r="H235" s="36"/>
      <c r="I235" s="71">
        <f>SUMPRODUCT((J$6:AG$6),(J235:AG235))</f>
        <v>1759.1666666666674</v>
      </c>
      <c r="J235" s="233">
        <f t="shared" ref="J235:AG235" si="79">$E235*J92</f>
        <v>83.333333333333343</v>
      </c>
      <c r="K235" s="233">
        <f t="shared" si="79"/>
        <v>83.333333333333343</v>
      </c>
      <c r="L235" s="233">
        <f t="shared" si="79"/>
        <v>83.333333333333343</v>
      </c>
      <c r="M235" s="233">
        <f t="shared" si="79"/>
        <v>83.333333333333343</v>
      </c>
      <c r="N235" s="233">
        <f t="shared" si="79"/>
        <v>83.333333333333343</v>
      </c>
      <c r="O235" s="233">
        <f t="shared" si="79"/>
        <v>83.333333333333343</v>
      </c>
      <c r="P235" s="233">
        <f t="shared" si="79"/>
        <v>83.333333333333343</v>
      </c>
      <c r="Q235" s="233">
        <f t="shared" si="79"/>
        <v>83.333333333333343</v>
      </c>
      <c r="R235" s="233">
        <f t="shared" si="79"/>
        <v>83.333333333333343</v>
      </c>
      <c r="S235" s="233">
        <f t="shared" si="79"/>
        <v>83.333333333333343</v>
      </c>
      <c r="T235" s="233">
        <f t="shared" si="79"/>
        <v>84.166666666666671</v>
      </c>
      <c r="U235" s="233">
        <f t="shared" si="79"/>
        <v>84.166666666666671</v>
      </c>
      <c r="V235" s="233">
        <f t="shared" si="79"/>
        <v>84.166666666666671</v>
      </c>
      <c r="W235" s="233">
        <f t="shared" si="79"/>
        <v>84.166666666666671</v>
      </c>
      <c r="X235" s="233">
        <f t="shared" si="79"/>
        <v>84.166666666666671</v>
      </c>
      <c r="Y235" s="233">
        <f t="shared" si="79"/>
        <v>84.166666666666671</v>
      </c>
      <c r="Z235" s="233">
        <f t="shared" si="79"/>
        <v>84.166666666666671</v>
      </c>
      <c r="AA235" s="233">
        <f t="shared" si="79"/>
        <v>84.166666666666671</v>
      </c>
      <c r="AB235" s="233">
        <f t="shared" si="79"/>
        <v>84.166666666666671</v>
      </c>
      <c r="AC235" s="233">
        <f t="shared" si="79"/>
        <v>84.166666666666671</v>
      </c>
      <c r="AD235" s="233">
        <f t="shared" si="79"/>
        <v>84.166666666666671</v>
      </c>
      <c r="AE235" s="233">
        <f t="shared" si="79"/>
        <v>0</v>
      </c>
      <c r="AF235" s="233">
        <f t="shared" si="79"/>
        <v>0</v>
      </c>
      <c r="AG235" s="233">
        <f t="shared" si="79"/>
        <v>0</v>
      </c>
    </row>
    <row r="236" spans="1:33" ht="17.25" customHeight="1" outlineLevel="2">
      <c r="A236" s="128"/>
      <c r="B236" s="708"/>
      <c r="C236" s="40" t="str">
        <f>CHOOSE(language,"Other Staff Costs (manual input)","Other Staff Expenses (manual input)")</f>
        <v>Other Staff Expenses (manual input)</v>
      </c>
      <c r="D236" s="8" t="str">
        <f t="shared" si="78"/>
        <v>USD</v>
      </c>
      <c r="E236" s="36"/>
      <c r="F236" s="36"/>
      <c r="G236" s="36"/>
      <c r="H236" s="36"/>
      <c r="I236" s="71">
        <f>SUMPRODUCT((J$6:AG$6),(J236:AG236))</f>
        <v>0</v>
      </c>
      <c r="J236" s="269"/>
      <c r="K236" s="269"/>
      <c r="L236" s="269"/>
      <c r="M236" s="269"/>
      <c r="N236" s="269"/>
      <c r="O236" s="269"/>
      <c r="P236" s="269"/>
      <c r="Q236" s="269"/>
      <c r="R236" s="269"/>
      <c r="S236" s="269"/>
      <c r="T236" s="269"/>
      <c r="U236" s="269"/>
      <c r="V236" s="269"/>
      <c r="W236" s="269"/>
      <c r="X236" s="269"/>
      <c r="Y236" s="269"/>
      <c r="Z236" s="269"/>
      <c r="AA236" s="269"/>
      <c r="AB236" s="269"/>
      <c r="AC236" s="269"/>
      <c r="AD236" s="269"/>
      <c r="AE236" s="269"/>
      <c r="AF236" s="269"/>
      <c r="AG236" s="269"/>
    </row>
    <row r="237" spans="1:33" ht="17.25" customHeight="1" outlineLevel="2">
      <c r="A237" s="128"/>
      <c r="B237" s="708"/>
      <c r="C237" s="75" t="str">
        <f>"   Subtotal "&amp;C234</f>
        <v xml:space="preserve">   Subtotal Desktops</v>
      </c>
      <c r="D237" s="8" t="str">
        <f t="shared" si="78"/>
        <v>USD</v>
      </c>
      <c r="E237" s="36"/>
      <c r="F237" s="36"/>
      <c r="G237" s="36"/>
      <c r="H237" s="36"/>
      <c r="I237" s="71">
        <f>SUM(J237:AG237)</f>
        <v>1759.1666666666674</v>
      </c>
      <c r="J237" s="129">
        <f t="shared" ref="J237:AG237" si="80">SUM(J235:J236)*J$6</f>
        <v>83.333333333333343</v>
      </c>
      <c r="K237" s="129">
        <f t="shared" si="80"/>
        <v>83.333333333333343</v>
      </c>
      <c r="L237" s="129">
        <f t="shared" si="80"/>
        <v>83.333333333333343</v>
      </c>
      <c r="M237" s="129">
        <f t="shared" si="80"/>
        <v>83.333333333333343</v>
      </c>
      <c r="N237" s="129">
        <f t="shared" si="80"/>
        <v>83.333333333333343</v>
      </c>
      <c r="O237" s="129">
        <f t="shared" si="80"/>
        <v>83.333333333333343</v>
      </c>
      <c r="P237" s="129">
        <f t="shared" si="80"/>
        <v>83.333333333333343</v>
      </c>
      <c r="Q237" s="129">
        <f t="shared" si="80"/>
        <v>83.333333333333343</v>
      </c>
      <c r="R237" s="129">
        <f t="shared" si="80"/>
        <v>83.333333333333343</v>
      </c>
      <c r="S237" s="129">
        <f t="shared" si="80"/>
        <v>83.333333333333343</v>
      </c>
      <c r="T237" s="129">
        <f t="shared" si="80"/>
        <v>84.166666666666671</v>
      </c>
      <c r="U237" s="129">
        <f t="shared" si="80"/>
        <v>84.166666666666671</v>
      </c>
      <c r="V237" s="129">
        <f t="shared" si="80"/>
        <v>84.166666666666671</v>
      </c>
      <c r="W237" s="129">
        <f t="shared" si="80"/>
        <v>84.166666666666671</v>
      </c>
      <c r="X237" s="129">
        <f t="shared" si="80"/>
        <v>84.166666666666671</v>
      </c>
      <c r="Y237" s="129">
        <f t="shared" si="80"/>
        <v>84.166666666666671</v>
      </c>
      <c r="Z237" s="129">
        <f t="shared" si="80"/>
        <v>84.166666666666671</v>
      </c>
      <c r="AA237" s="129">
        <f t="shared" si="80"/>
        <v>84.166666666666671</v>
      </c>
      <c r="AB237" s="129">
        <f t="shared" si="80"/>
        <v>84.166666666666671</v>
      </c>
      <c r="AC237" s="129">
        <f t="shared" si="80"/>
        <v>84.166666666666671</v>
      </c>
      <c r="AD237" s="129">
        <f t="shared" si="80"/>
        <v>84.166666666666671</v>
      </c>
      <c r="AE237" s="129">
        <f t="shared" si="80"/>
        <v>0</v>
      </c>
      <c r="AF237" s="129">
        <f t="shared" si="80"/>
        <v>0</v>
      </c>
      <c r="AG237" s="129">
        <f t="shared" si="80"/>
        <v>0</v>
      </c>
    </row>
    <row r="238" spans="1:33" ht="17.25" customHeight="1" outlineLevel="2">
      <c r="A238" s="128"/>
      <c r="B238" s="708"/>
      <c r="C238" s="331" t="str">
        <f>C19</f>
        <v/>
      </c>
      <c r="D238" s="275"/>
      <c r="E238" s="128"/>
      <c r="F238" s="128"/>
      <c r="G238" s="128"/>
      <c r="H238" s="128"/>
      <c r="I238" s="332"/>
      <c r="J238" s="332"/>
      <c r="K238" s="332"/>
      <c r="L238" s="332"/>
      <c r="M238" s="332"/>
      <c r="N238" s="332"/>
      <c r="O238" s="332"/>
      <c r="P238" s="332"/>
      <c r="Q238" s="332"/>
      <c r="R238" s="332"/>
      <c r="S238" s="332"/>
      <c r="T238" s="332"/>
      <c r="U238" s="332"/>
      <c r="V238" s="332"/>
      <c r="W238" s="332"/>
      <c r="X238" s="332"/>
      <c r="Y238" s="332"/>
      <c r="Z238" s="332"/>
      <c r="AA238" s="332"/>
      <c r="AB238" s="332"/>
      <c r="AC238" s="332"/>
      <c r="AD238" s="332"/>
      <c r="AE238" s="332"/>
      <c r="AF238" s="332"/>
      <c r="AG238" s="332"/>
    </row>
    <row r="239" spans="1:33" ht="17.25" customHeight="1" outlineLevel="2">
      <c r="A239" s="128"/>
      <c r="B239" s="708">
        <f>B234+1</f>
        <v>2</v>
      </c>
      <c r="C239" s="331" t="str">
        <f>C20</f>
        <v>Workstations</v>
      </c>
      <c r="D239" s="275"/>
      <c r="E239" s="128"/>
      <c r="F239" s="128"/>
      <c r="G239" s="128"/>
      <c r="H239" s="128"/>
      <c r="I239" s="332"/>
      <c r="J239" s="332"/>
      <c r="K239" s="332"/>
      <c r="L239" s="332"/>
      <c r="M239" s="332"/>
      <c r="N239" s="332"/>
      <c r="O239" s="332"/>
      <c r="P239" s="332"/>
      <c r="Q239" s="332"/>
      <c r="R239" s="332"/>
      <c r="S239" s="332"/>
      <c r="T239" s="332"/>
      <c r="U239" s="332"/>
      <c r="V239" s="332"/>
      <c r="W239" s="332"/>
      <c r="X239" s="332"/>
      <c r="Y239" s="332"/>
      <c r="Z239" s="332"/>
      <c r="AA239" s="332"/>
      <c r="AB239" s="332"/>
      <c r="AC239" s="332"/>
      <c r="AD239" s="332"/>
      <c r="AE239" s="332"/>
      <c r="AF239" s="332"/>
      <c r="AG239" s="332"/>
    </row>
    <row r="240" spans="1:33" ht="17.25" customHeight="1" outlineLevel="2">
      <c r="A240" s="128"/>
      <c r="B240" s="708"/>
      <c r="C240" s="40" t="str">
        <f>$C$235</f>
        <v>Other Staff Expenses (automatic)</v>
      </c>
      <c r="D240" s="8" t="str">
        <f>Currency_Label</f>
        <v>USD</v>
      </c>
      <c r="E240" s="271"/>
      <c r="F240" s="412" t="s">
        <v>294</v>
      </c>
      <c r="G240" s="36"/>
      <c r="H240" s="36"/>
      <c r="I240" s="71">
        <f>SUMPRODUCT((J$6:AG$6),(J240:AG240))</f>
        <v>0</v>
      </c>
      <c r="J240" s="233">
        <f t="shared" ref="J240:AG240" si="81">$E240*J99</f>
        <v>0</v>
      </c>
      <c r="K240" s="233">
        <f t="shared" si="81"/>
        <v>0</v>
      </c>
      <c r="L240" s="233">
        <f t="shared" si="81"/>
        <v>0</v>
      </c>
      <c r="M240" s="233">
        <f t="shared" si="81"/>
        <v>0</v>
      </c>
      <c r="N240" s="233">
        <f t="shared" si="81"/>
        <v>0</v>
      </c>
      <c r="O240" s="233">
        <f t="shared" si="81"/>
        <v>0</v>
      </c>
      <c r="P240" s="233">
        <f t="shared" si="81"/>
        <v>0</v>
      </c>
      <c r="Q240" s="233">
        <f t="shared" si="81"/>
        <v>0</v>
      </c>
      <c r="R240" s="233">
        <f t="shared" si="81"/>
        <v>0</v>
      </c>
      <c r="S240" s="233">
        <f t="shared" si="81"/>
        <v>0</v>
      </c>
      <c r="T240" s="233">
        <f t="shared" si="81"/>
        <v>0</v>
      </c>
      <c r="U240" s="233">
        <f t="shared" si="81"/>
        <v>0</v>
      </c>
      <c r="V240" s="233">
        <f t="shared" si="81"/>
        <v>0</v>
      </c>
      <c r="W240" s="233">
        <f t="shared" si="81"/>
        <v>0</v>
      </c>
      <c r="X240" s="233">
        <f t="shared" si="81"/>
        <v>0</v>
      </c>
      <c r="Y240" s="233">
        <f t="shared" si="81"/>
        <v>0</v>
      </c>
      <c r="Z240" s="233">
        <f t="shared" si="81"/>
        <v>0</v>
      </c>
      <c r="AA240" s="233">
        <f t="shared" si="81"/>
        <v>0</v>
      </c>
      <c r="AB240" s="233">
        <f t="shared" si="81"/>
        <v>0</v>
      </c>
      <c r="AC240" s="233">
        <f t="shared" si="81"/>
        <v>0</v>
      </c>
      <c r="AD240" s="233">
        <f t="shared" si="81"/>
        <v>0</v>
      </c>
      <c r="AE240" s="233">
        <f t="shared" si="81"/>
        <v>0</v>
      </c>
      <c r="AF240" s="233">
        <f t="shared" si="81"/>
        <v>0</v>
      </c>
      <c r="AG240" s="233">
        <f t="shared" si="81"/>
        <v>0</v>
      </c>
    </row>
    <row r="241" spans="1:33" ht="17.25" customHeight="1" outlineLevel="2">
      <c r="A241" s="128"/>
      <c r="B241" s="708"/>
      <c r="C241" s="40" t="str">
        <f>$C$236</f>
        <v>Other Staff Expenses (manual input)</v>
      </c>
      <c r="D241" s="8" t="str">
        <f>Currency_Label</f>
        <v>USD</v>
      </c>
      <c r="E241" s="36"/>
      <c r="F241" s="36"/>
      <c r="G241" s="36"/>
      <c r="H241" s="36"/>
      <c r="I241" s="71">
        <f>SUMPRODUCT((J$6:AG$6),(J241:AG241))</f>
        <v>0</v>
      </c>
      <c r="J241" s="269"/>
      <c r="K241" s="269"/>
      <c r="L241" s="269"/>
      <c r="M241" s="269"/>
      <c r="N241" s="269"/>
      <c r="O241" s="269"/>
      <c r="P241" s="269"/>
      <c r="Q241" s="269"/>
      <c r="R241" s="269"/>
      <c r="S241" s="269"/>
      <c r="T241" s="269"/>
      <c r="U241" s="269"/>
      <c r="V241" s="269"/>
      <c r="W241" s="269"/>
      <c r="X241" s="269"/>
      <c r="Y241" s="269"/>
      <c r="Z241" s="269"/>
      <c r="AA241" s="269"/>
      <c r="AB241" s="269"/>
      <c r="AC241" s="269"/>
      <c r="AD241" s="269"/>
      <c r="AE241" s="269"/>
      <c r="AF241" s="269"/>
      <c r="AG241" s="269"/>
    </row>
    <row r="242" spans="1:33" ht="17.25" customHeight="1" outlineLevel="2">
      <c r="A242" s="128"/>
      <c r="B242" s="708"/>
      <c r="C242" s="75" t="str">
        <f>"   Subtotal "&amp;C239</f>
        <v xml:space="preserve">   Subtotal Workstations</v>
      </c>
      <c r="D242" s="8" t="str">
        <f>Currency_Label</f>
        <v>USD</v>
      </c>
      <c r="E242" s="36"/>
      <c r="F242" s="36"/>
      <c r="G242" s="36"/>
      <c r="H242" s="36"/>
      <c r="I242" s="71">
        <f>SUM(J242:AG242)</f>
        <v>0</v>
      </c>
      <c r="J242" s="129">
        <f t="shared" ref="J242:AG242" si="82">SUM(J240:J241)*J$6</f>
        <v>0</v>
      </c>
      <c r="K242" s="129">
        <f t="shared" si="82"/>
        <v>0</v>
      </c>
      <c r="L242" s="129">
        <f t="shared" si="82"/>
        <v>0</v>
      </c>
      <c r="M242" s="129">
        <f t="shared" si="82"/>
        <v>0</v>
      </c>
      <c r="N242" s="129">
        <f t="shared" si="82"/>
        <v>0</v>
      </c>
      <c r="O242" s="129">
        <f t="shared" si="82"/>
        <v>0</v>
      </c>
      <c r="P242" s="129">
        <f t="shared" si="82"/>
        <v>0</v>
      </c>
      <c r="Q242" s="129">
        <f t="shared" si="82"/>
        <v>0</v>
      </c>
      <c r="R242" s="129">
        <f t="shared" si="82"/>
        <v>0</v>
      </c>
      <c r="S242" s="129">
        <f t="shared" si="82"/>
        <v>0</v>
      </c>
      <c r="T242" s="129">
        <f t="shared" si="82"/>
        <v>0</v>
      </c>
      <c r="U242" s="129">
        <f t="shared" si="82"/>
        <v>0</v>
      </c>
      <c r="V242" s="129">
        <f t="shared" si="82"/>
        <v>0</v>
      </c>
      <c r="W242" s="129">
        <f t="shared" si="82"/>
        <v>0</v>
      </c>
      <c r="X242" s="129">
        <f t="shared" si="82"/>
        <v>0</v>
      </c>
      <c r="Y242" s="129">
        <f t="shared" si="82"/>
        <v>0</v>
      </c>
      <c r="Z242" s="129">
        <f t="shared" si="82"/>
        <v>0</v>
      </c>
      <c r="AA242" s="129">
        <f t="shared" si="82"/>
        <v>0</v>
      </c>
      <c r="AB242" s="129">
        <f t="shared" si="82"/>
        <v>0</v>
      </c>
      <c r="AC242" s="129">
        <f t="shared" si="82"/>
        <v>0</v>
      </c>
      <c r="AD242" s="129">
        <f t="shared" si="82"/>
        <v>0</v>
      </c>
      <c r="AE242" s="129">
        <f t="shared" si="82"/>
        <v>0</v>
      </c>
      <c r="AF242" s="129">
        <f t="shared" si="82"/>
        <v>0</v>
      </c>
      <c r="AG242" s="129">
        <f t="shared" si="82"/>
        <v>0</v>
      </c>
    </row>
    <row r="243" spans="1:33" ht="17.25" customHeight="1" outlineLevel="2">
      <c r="A243" s="128"/>
      <c r="B243" s="708"/>
      <c r="C243" s="128"/>
      <c r="D243" s="275"/>
      <c r="E243" s="128"/>
      <c r="F243" s="128"/>
      <c r="G243" s="128"/>
      <c r="H243" s="128"/>
      <c r="I243" s="332"/>
      <c r="J243" s="332"/>
      <c r="K243" s="332"/>
      <c r="L243" s="332"/>
      <c r="M243" s="332"/>
      <c r="N243" s="332"/>
      <c r="O243" s="332"/>
      <c r="P243" s="332"/>
      <c r="Q243" s="332"/>
      <c r="R243" s="332"/>
      <c r="S243" s="332"/>
      <c r="T243" s="332"/>
      <c r="U243" s="332"/>
      <c r="V243" s="332"/>
      <c r="W243" s="332"/>
      <c r="X243" s="332"/>
      <c r="Y243" s="332"/>
      <c r="Z243" s="332"/>
      <c r="AA243" s="332"/>
      <c r="AB243" s="332"/>
      <c r="AC243" s="332"/>
      <c r="AD243" s="332"/>
      <c r="AE243" s="332"/>
      <c r="AF243" s="332"/>
      <c r="AG243" s="332"/>
    </row>
    <row r="244" spans="1:33" ht="17.25" customHeight="1" outlineLevel="2">
      <c r="A244" s="128"/>
      <c r="B244" s="708">
        <f>B239+1</f>
        <v>3</v>
      </c>
      <c r="C244" s="331" t="str">
        <f>C27</f>
        <v>Notebooks</v>
      </c>
      <c r="D244" s="275"/>
      <c r="E244" s="128"/>
      <c r="F244" s="128"/>
      <c r="G244" s="128"/>
      <c r="H244" s="128"/>
      <c r="I244" s="332"/>
      <c r="J244" s="332"/>
      <c r="K244" s="332"/>
      <c r="L244" s="332"/>
      <c r="M244" s="332"/>
      <c r="N244" s="332"/>
      <c r="O244" s="332"/>
      <c r="P244" s="332"/>
      <c r="Q244" s="332"/>
      <c r="R244" s="332"/>
      <c r="S244" s="332"/>
      <c r="T244" s="332"/>
      <c r="U244" s="332"/>
      <c r="V244" s="332"/>
      <c r="W244" s="332"/>
      <c r="X244" s="332"/>
      <c r="Y244" s="332"/>
      <c r="Z244" s="332"/>
      <c r="AA244" s="332"/>
      <c r="AB244" s="332"/>
      <c r="AC244" s="332"/>
      <c r="AD244" s="332"/>
      <c r="AE244" s="332"/>
      <c r="AF244" s="332"/>
      <c r="AG244" s="332"/>
    </row>
    <row r="245" spans="1:33" ht="17.25" customHeight="1" outlineLevel="2">
      <c r="A245" s="128"/>
      <c r="B245" s="708"/>
      <c r="C245" s="40" t="str">
        <f>$C$235</f>
        <v>Other Staff Expenses (automatic)</v>
      </c>
      <c r="D245" s="8" t="str">
        <f>Currency_Label</f>
        <v>USD</v>
      </c>
      <c r="E245" s="271"/>
      <c r="F245" s="412" t="s">
        <v>294</v>
      </c>
      <c r="G245" s="36"/>
      <c r="H245" s="36"/>
      <c r="I245" s="71">
        <f>SUMPRODUCT((J$6:AG$6),(J245:AG245))</f>
        <v>0</v>
      </c>
      <c r="J245" s="233">
        <f t="shared" ref="J245:AG245" si="83">$E245*J106</f>
        <v>0</v>
      </c>
      <c r="K245" s="233">
        <f t="shared" si="83"/>
        <v>0</v>
      </c>
      <c r="L245" s="233">
        <f t="shared" si="83"/>
        <v>0</v>
      </c>
      <c r="M245" s="233">
        <f t="shared" si="83"/>
        <v>0</v>
      </c>
      <c r="N245" s="233">
        <f t="shared" si="83"/>
        <v>0</v>
      </c>
      <c r="O245" s="233">
        <f t="shared" si="83"/>
        <v>0</v>
      </c>
      <c r="P245" s="233">
        <f t="shared" si="83"/>
        <v>0</v>
      </c>
      <c r="Q245" s="233">
        <f t="shared" si="83"/>
        <v>0</v>
      </c>
      <c r="R245" s="233">
        <f t="shared" si="83"/>
        <v>0</v>
      </c>
      <c r="S245" s="233">
        <f t="shared" si="83"/>
        <v>0</v>
      </c>
      <c r="T245" s="233">
        <f t="shared" si="83"/>
        <v>0</v>
      </c>
      <c r="U245" s="233">
        <f t="shared" si="83"/>
        <v>0</v>
      </c>
      <c r="V245" s="233">
        <f t="shared" si="83"/>
        <v>0</v>
      </c>
      <c r="W245" s="233">
        <f t="shared" si="83"/>
        <v>0</v>
      </c>
      <c r="X245" s="233">
        <f t="shared" si="83"/>
        <v>0</v>
      </c>
      <c r="Y245" s="233">
        <f t="shared" si="83"/>
        <v>0</v>
      </c>
      <c r="Z245" s="233">
        <f t="shared" si="83"/>
        <v>0</v>
      </c>
      <c r="AA245" s="233">
        <f t="shared" si="83"/>
        <v>0</v>
      </c>
      <c r="AB245" s="233">
        <f t="shared" si="83"/>
        <v>0</v>
      </c>
      <c r="AC245" s="233">
        <f t="shared" si="83"/>
        <v>0</v>
      </c>
      <c r="AD245" s="233">
        <f t="shared" si="83"/>
        <v>0</v>
      </c>
      <c r="AE245" s="233">
        <f t="shared" si="83"/>
        <v>0</v>
      </c>
      <c r="AF245" s="233">
        <f t="shared" si="83"/>
        <v>0</v>
      </c>
      <c r="AG245" s="233">
        <f t="shared" si="83"/>
        <v>0</v>
      </c>
    </row>
    <row r="246" spans="1:33" ht="17.25" customHeight="1" outlineLevel="2">
      <c r="A246" s="128"/>
      <c r="B246" s="708"/>
      <c r="C246" s="40" t="str">
        <f>$C$236</f>
        <v>Other Staff Expenses (manual input)</v>
      </c>
      <c r="D246" s="8" t="str">
        <f>Currency_Label</f>
        <v>USD</v>
      </c>
      <c r="E246" s="36"/>
      <c r="F246" s="36"/>
      <c r="G246" s="36"/>
      <c r="H246" s="36"/>
      <c r="I246" s="71">
        <f>SUMPRODUCT((J$6:AG$6),(J246:AG246))</f>
        <v>0</v>
      </c>
      <c r="J246" s="269"/>
      <c r="K246" s="269"/>
      <c r="L246" s="269"/>
      <c r="M246" s="269"/>
      <c r="N246" s="269"/>
      <c r="O246" s="269"/>
      <c r="P246" s="269"/>
      <c r="Q246" s="269"/>
      <c r="R246" s="269"/>
      <c r="S246" s="269"/>
      <c r="T246" s="269"/>
      <c r="U246" s="269"/>
      <c r="V246" s="269"/>
      <c r="W246" s="269"/>
      <c r="X246" s="269"/>
      <c r="Y246" s="269"/>
      <c r="Z246" s="269"/>
      <c r="AA246" s="269"/>
      <c r="AB246" s="269"/>
      <c r="AC246" s="269"/>
      <c r="AD246" s="269"/>
      <c r="AE246" s="269"/>
      <c r="AF246" s="269"/>
      <c r="AG246" s="269"/>
    </row>
    <row r="247" spans="1:33" ht="17.25" customHeight="1" outlineLevel="2">
      <c r="A247" s="128"/>
      <c r="B247" s="708"/>
      <c r="C247" s="75" t="str">
        <f>"   Subtotal "&amp;C244</f>
        <v xml:space="preserve">   Subtotal Notebooks</v>
      </c>
      <c r="D247" s="8" t="str">
        <f>Currency_Label</f>
        <v>USD</v>
      </c>
      <c r="E247" s="36"/>
      <c r="F247" s="36"/>
      <c r="G247" s="36"/>
      <c r="H247" s="36"/>
      <c r="I247" s="71">
        <f>SUM(J247:AG247)</f>
        <v>0</v>
      </c>
      <c r="J247" s="129">
        <f t="shared" ref="J247:AG247" si="84">SUM(J245:J246)*J$6</f>
        <v>0</v>
      </c>
      <c r="K247" s="129">
        <f t="shared" si="84"/>
        <v>0</v>
      </c>
      <c r="L247" s="129">
        <f t="shared" si="84"/>
        <v>0</v>
      </c>
      <c r="M247" s="129">
        <f t="shared" si="84"/>
        <v>0</v>
      </c>
      <c r="N247" s="129">
        <f t="shared" si="84"/>
        <v>0</v>
      </c>
      <c r="O247" s="129">
        <f t="shared" si="84"/>
        <v>0</v>
      </c>
      <c r="P247" s="129">
        <f t="shared" si="84"/>
        <v>0</v>
      </c>
      <c r="Q247" s="129">
        <f t="shared" si="84"/>
        <v>0</v>
      </c>
      <c r="R247" s="129">
        <f t="shared" si="84"/>
        <v>0</v>
      </c>
      <c r="S247" s="129">
        <f t="shared" si="84"/>
        <v>0</v>
      </c>
      <c r="T247" s="129">
        <f t="shared" si="84"/>
        <v>0</v>
      </c>
      <c r="U247" s="129">
        <f t="shared" si="84"/>
        <v>0</v>
      </c>
      <c r="V247" s="129">
        <f t="shared" si="84"/>
        <v>0</v>
      </c>
      <c r="W247" s="129">
        <f t="shared" si="84"/>
        <v>0</v>
      </c>
      <c r="X247" s="129">
        <f t="shared" si="84"/>
        <v>0</v>
      </c>
      <c r="Y247" s="129">
        <f t="shared" si="84"/>
        <v>0</v>
      </c>
      <c r="Z247" s="129">
        <f t="shared" si="84"/>
        <v>0</v>
      </c>
      <c r="AA247" s="129">
        <f t="shared" si="84"/>
        <v>0</v>
      </c>
      <c r="AB247" s="129">
        <f t="shared" si="84"/>
        <v>0</v>
      </c>
      <c r="AC247" s="129">
        <f t="shared" si="84"/>
        <v>0</v>
      </c>
      <c r="AD247" s="129">
        <f t="shared" si="84"/>
        <v>0</v>
      </c>
      <c r="AE247" s="129">
        <f t="shared" si="84"/>
        <v>0</v>
      </c>
      <c r="AF247" s="129">
        <f t="shared" si="84"/>
        <v>0</v>
      </c>
      <c r="AG247" s="129">
        <f t="shared" si="84"/>
        <v>0</v>
      </c>
    </row>
    <row r="248" spans="1:33" ht="17.25" customHeight="1" outlineLevel="2">
      <c r="A248" s="128"/>
      <c r="B248" s="708"/>
      <c r="C248" s="128"/>
      <c r="D248" s="275"/>
      <c r="E248" s="128"/>
      <c r="F248" s="128"/>
      <c r="G248" s="128"/>
      <c r="H248" s="128"/>
      <c r="I248" s="332"/>
      <c r="J248" s="332"/>
      <c r="K248" s="332"/>
      <c r="L248" s="332"/>
      <c r="M248" s="332"/>
      <c r="N248" s="332"/>
      <c r="O248" s="332"/>
      <c r="P248" s="332"/>
      <c r="Q248" s="332"/>
      <c r="R248" s="332"/>
      <c r="S248" s="332"/>
      <c r="T248" s="332"/>
      <c r="U248" s="332"/>
      <c r="V248" s="332"/>
      <c r="W248" s="332"/>
      <c r="X248" s="332"/>
      <c r="Y248" s="332"/>
      <c r="Z248" s="332"/>
      <c r="AA248" s="332"/>
      <c r="AB248" s="332"/>
      <c r="AC248" s="332"/>
      <c r="AD248" s="332"/>
      <c r="AE248" s="332"/>
      <c r="AF248" s="332"/>
      <c r="AG248" s="332"/>
    </row>
    <row r="249" spans="1:33" ht="17.25" customHeight="1" outlineLevel="2">
      <c r="A249" s="128"/>
      <c r="B249" s="708">
        <f>B244+1</f>
        <v>4</v>
      </c>
      <c r="C249" s="331" t="str">
        <f>C34</f>
        <v>Software Products</v>
      </c>
      <c r="D249" s="275"/>
      <c r="E249" s="128"/>
      <c r="F249" s="128"/>
      <c r="G249" s="128"/>
      <c r="H249" s="128"/>
      <c r="I249" s="332"/>
      <c r="J249" s="332"/>
      <c r="K249" s="332"/>
      <c r="L249" s="332"/>
      <c r="M249" s="332"/>
      <c r="N249" s="332"/>
      <c r="O249" s="332"/>
      <c r="P249" s="332"/>
      <c r="Q249" s="332"/>
      <c r="R249" s="332"/>
      <c r="S249" s="332"/>
      <c r="T249" s="332"/>
      <c r="U249" s="332"/>
      <c r="V249" s="332"/>
      <c r="W249" s="332"/>
      <c r="X249" s="332"/>
      <c r="Y249" s="332"/>
      <c r="Z249" s="332"/>
      <c r="AA249" s="332"/>
      <c r="AB249" s="332"/>
      <c r="AC249" s="332"/>
      <c r="AD249" s="332"/>
      <c r="AE249" s="332"/>
      <c r="AF249" s="332"/>
      <c r="AG249" s="332"/>
    </row>
    <row r="250" spans="1:33" ht="17.25" customHeight="1" outlineLevel="2">
      <c r="A250" s="128"/>
      <c r="B250" s="708"/>
      <c r="C250" s="40" t="str">
        <f>$C$235</f>
        <v>Other Staff Expenses (automatic)</v>
      </c>
      <c r="D250" s="8" t="str">
        <f>Currency_Label</f>
        <v>USD</v>
      </c>
      <c r="E250" s="271"/>
      <c r="F250" s="412" t="s">
        <v>294</v>
      </c>
      <c r="G250" s="36"/>
      <c r="H250" s="36"/>
      <c r="I250" s="71">
        <f>SUMPRODUCT((J$6:AG$6),(J250:AG250))</f>
        <v>0</v>
      </c>
      <c r="J250" s="233">
        <f t="shared" ref="J250:AG250" si="85">$E250*J113</f>
        <v>0</v>
      </c>
      <c r="K250" s="233">
        <f t="shared" si="85"/>
        <v>0</v>
      </c>
      <c r="L250" s="233">
        <f t="shared" si="85"/>
        <v>0</v>
      </c>
      <c r="M250" s="233">
        <f t="shared" si="85"/>
        <v>0</v>
      </c>
      <c r="N250" s="233">
        <f t="shared" si="85"/>
        <v>0</v>
      </c>
      <c r="O250" s="233">
        <f t="shared" si="85"/>
        <v>0</v>
      </c>
      <c r="P250" s="233">
        <f t="shared" si="85"/>
        <v>0</v>
      </c>
      <c r="Q250" s="233">
        <f t="shared" si="85"/>
        <v>0</v>
      </c>
      <c r="R250" s="233">
        <f t="shared" si="85"/>
        <v>0</v>
      </c>
      <c r="S250" s="233">
        <f t="shared" si="85"/>
        <v>0</v>
      </c>
      <c r="T250" s="233">
        <f t="shared" si="85"/>
        <v>0</v>
      </c>
      <c r="U250" s="233">
        <f t="shared" si="85"/>
        <v>0</v>
      </c>
      <c r="V250" s="233">
        <f t="shared" si="85"/>
        <v>0</v>
      </c>
      <c r="W250" s="233">
        <f t="shared" si="85"/>
        <v>0</v>
      </c>
      <c r="X250" s="233">
        <f t="shared" si="85"/>
        <v>0</v>
      </c>
      <c r="Y250" s="233">
        <f t="shared" si="85"/>
        <v>0</v>
      </c>
      <c r="Z250" s="233">
        <f t="shared" si="85"/>
        <v>0</v>
      </c>
      <c r="AA250" s="233">
        <f t="shared" si="85"/>
        <v>0</v>
      </c>
      <c r="AB250" s="233">
        <f t="shared" si="85"/>
        <v>0</v>
      </c>
      <c r="AC250" s="233">
        <f t="shared" si="85"/>
        <v>0</v>
      </c>
      <c r="AD250" s="233">
        <f t="shared" si="85"/>
        <v>0</v>
      </c>
      <c r="AE250" s="233">
        <f t="shared" si="85"/>
        <v>0</v>
      </c>
      <c r="AF250" s="233">
        <f t="shared" si="85"/>
        <v>0</v>
      </c>
      <c r="AG250" s="233">
        <f t="shared" si="85"/>
        <v>0</v>
      </c>
    </row>
    <row r="251" spans="1:33" ht="17.25" customHeight="1" outlineLevel="2">
      <c r="A251" s="128"/>
      <c r="B251" s="708"/>
      <c r="C251" s="40" t="str">
        <f>$C$236</f>
        <v>Other Staff Expenses (manual input)</v>
      </c>
      <c r="D251" s="8" t="str">
        <f t="shared" ref="D251" si="86">Currency_Label</f>
        <v>USD</v>
      </c>
      <c r="E251" s="36"/>
      <c r="F251" s="36"/>
      <c r="G251" s="36"/>
      <c r="H251" s="36"/>
      <c r="I251" s="71">
        <f>SUMPRODUCT((J$6:AG$6),(J251:AG251))</f>
        <v>0</v>
      </c>
      <c r="J251" s="269"/>
      <c r="K251" s="269"/>
      <c r="L251" s="269"/>
      <c r="M251" s="269"/>
      <c r="N251" s="269"/>
      <c r="O251" s="269"/>
      <c r="P251" s="269"/>
      <c r="Q251" s="269"/>
      <c r="R251" s="269"/>
      <c r="S251" s="269"/>
      <c r="T251" s="269"/>
      <c r="U251" s="269"/>
      <c r="V251" s="269"/>
      <c r="W251" s="269"/>
      <c r="X251" s="269"/>
      <c r="Y251" s="269"/>
      <c r="Z251" s="269"/>
      <c r="AA251" s="269"/>
      <c r="AB251" s="269"/>
      <c r="AC251" s="269"/>
      <c r="AD251" s="269"/>
      <c r="AE251" s="269"/>
      <c r="AF251" s="269"/>
      <c r="AG251" s="269"/>
    </row>
    <row r="252" spans="1:33" ht="17.25" customHeight="1" outlineLevel="2">
      <c r="A252" s="128"/>
      <c r="B252" s="708"/>
      <c r="C252" s="75" t="str">
        <f>"   Subtotal "&amp;C249</f>
        <v xml:space="preserve">   Subtotal Software Products</v>
      </c>
      <c r="D252" s="8" t="str">
        <f>Currency_Label</f>
        <v>USD</v>
      </c>
      <c r="E252" s="36"/>
      <c r="F252" s="36"/>
      <c r="G252" s="36"/>
      <c r="H252" s="36"/>
      <c r="I252" s="71">
        <f>SUM(J252:AG252)</f>
        <v>0</v>
      </c>
      <c r="J252" s="129">
        <f t="shared" ref="J252:AG252" si="87">SUM(J250:J251)*J$6</f>
        <v>0</v>
      </c>
      <c r="K252" s="129">
        <f t="shared" si="87"/>
        <v>0</v>
      </c>
      <c r="L252" s="129">
        <f t="shared" si="87"/>
        <v>0</v>
      </c>
      <c r="M252" s="129">
        <f t="shared" si="87"/>
        <v>0</v>
      </c>
      <c r="N252" s="129">
        <f t="shared" si="87"/>
        <v>0</v>
      </c>
      <c r="O252" s="129">
        <f t="shared" si="87"/>
        <v>0</v>
      </c>
      <c r="P252" s="129">
        <f t="shared" si="87"/>
        <v>0</v>
      </c>
      <c r="Q252" s="129">
        <f t="shared" si="87"/>
        <v>0</v>
      </c>
      <c r="R252" s="129">
        <f t="shared" si="87"/>
        <v>0</v>
      </c>
      <c r="S252" s="129">
        <f t="shared" si="87"/>
        <v>0</v>
      </c>
      <c r="T252" s="129">
        <f t="shared" si="87"/>
        <v>0</v>
      </c>
      <c r="U252" s="129">
        <f t="shared" si="87"/>
        <v>0</v>
      </c>
      <c r="V252" s="129">
        <f t="shared" si="87"/>
        <v>0</v>
      </c>
      <c r="W252" s="129">
        <f t="shared" si="87"/>
        <v>0</v>
      </c>
      <c r="X252" s="129">
        <f t="shared" si="87"/>
        <v>0</v>
      </c>
      <c r="Y252" s="129">
        <f t="shared" si="87"/>
        <v>0</v>
      </c>
      <c r="Z252" s="129">
        <f t="shared" si="87"/>
        <v>0</v>
      </c>
      <c r="AA252" s="129">
        <f t="shared" si="87"/>
        <v>0</v>
      </c>
      <c r="AB252" s="129">
        <f t="shared" si="87"/>
        <v>0</v>
      </c>
      <c r="AC252" s="129">
        <f t="shared" si="87"/>
        <v>0</v>
      </c>
      <c r="AD252" s="129">
        <f t="shared" si="87"/>
        <v>0</v>
      </c>
      <c r="AE252" s="129">
        <f t="shared" si="87"/>
        <v>0</v>
      </c>
      <c r="AF252" s="129">
        <f t="shared" si="87"/>
        <v>0</v>
      </c>
      <c r="AG252" s="129">
        <f t="shared" si="87"/>
        <v>0</v>
      </c>
    </row>
    <row r="253" spans="1:33" ht="17.25" customHeight="1" outlineLevel="2">
      <c r="A253" s="128"/>
      <c r="B253" s="708"/>
      <c r="C253" s="128"/>
      <c r="D253" s="275"/>
      <c r="E253" s="128"/>
      <c r="F253" s="128"/>
      <c r="G253" s="128"/>
      <c r="H253" s="128"/>
      <c r="I253" s="332"/>
      <c r="J253" s="332"/>
      <c r="K253" s="332"/>
      <c r="L253" s="332"/>
      <c r="M253" s="332"/>
      <c r="N253" s="332"/>
      <c r="O253" s="332"/>
      <c r="P253" s="332"/>
      <c r="Q253" s="332"/>
      <c r="R253" s="332"/>
      <c r="S253" s="332"/>
      <c r="T253" s="332"/>
      <c r="U253" s="332"/>
      <c r="V253" s="332"/>
      <c r="W253" s="332"/>
      <c r="X253" s="332"/>
      <c r="Y253" s="332"/>
      <c r="Z253" s="332"/>
      <c r="AA253" s="332"/>
      <c r="AB253" s="332"/>
      <c r="AC253" s="332"/>
      <c r="AD253" s="332"/>
      <c r="AE253" s="332"/>
      <c r="AF253" s="332"/>
      <c r="AG253" s="332"/>
    </row>
    <row r="254" spans="1:33" ht="17.25" customHeight="1" outlineLevel="2">
      <c r="A254" s="128"/>
      <c r="B254" s="708">
        <f>B249+1</f>
        <v>5</v>
      </c>
      <c r="C254" s="331" t="str">
        <f>C41</f>
        <v>Net work infrastructure solutions</v>
      </c>
      <c r="D254" s="275"/>
      <c r="E254" s="128"/>
      <c r="F254" s="128"/>
      <c r="G254" s="128"/>
      <c r="H254" s="128"/>
      <c r="I254" s="332"/>
      <c r="J254" s="332"/>
      <c r="K254" s="332"/>
      <c r="L254" s="332"/>
      <c r="M254" s="332"/>
      <c r="N254" s="332"/>
      <c r="O254" s="332"/>
      <c r="P254" s="332"/>
      <c r="Q254" s="332"/>
      <c r="R254" s="332"/>
      <c r="S254" s="332"/>
      <c r="T254" s="332"/>
      <c r="U254" s="332"/>
      <c r="V254" s="332"/>
      <c r="W254" s="332"/>
      <c r="X254" s="332"/>
      <c r="Y254" s="332"/>
      <c r="Z254" s="332"/>
      <c r="AA254" s="332"/>
      <c r="AB254" s="332"/>
      <c r="AC254" s="332"/>
      <c r="AD254" s="332"/>
      <c r="AE254" s="332"/>
      <c r="AF254" s="332"/>
      <c r="AG254" s="332"/>
    </row>
    <row r="255" spans="1:33" ht="17.25" customHeight="1" outlineLevel="2">
      <c r="A255" s="128"/>
      <c r="B255" s="708"/>
      <c r="C255" s="40" t="str">
        <f>$C$235</f>
        <v>Other Staff Expenses (automatic)</v>
      </c>
      <c r="D255" s="8" t="str">
        <f>Currency_Label</f>
        <v>USD</v>
      </c>
      <c r="E255" s="271"/>
      <c r="F255" s="412" t="s">
        <v>294</v>
      </c>
      <c r="G255" s="36"/>
      <c r="H255" s="36"/>
      <c r="I255" s="71">
        <f>SUMPRODUCT((J$6:AG$6),(J255:AG255))</f>
        <v>0</v>
      </c>
      <c r="J255" s="233">
        <f t="shared" ref="J255:AG255" si="88">$E255*J120</f>
        <v>0</v>
      </c>
      <c r="K255" s="233">
        <f t="shared" si="88"/>
        <v>0</v>
      </c>
      <c r="L255" s="233">
        <f t="shared" si="88"/>
        <v>0</v>
      </c>
      <c r="M255" s="233">
        <f t="shared" si="88"/>
        <v>0</v>
      </c>
      <c r="N255" s="233">
        <f t="shared" si="88"/>
        <v>0</v>
      </c>
      <c r="O255" s="233">
        <f t="shared" si="88"/>
        <v>0</v>
      </c>
      <c r="P255" s="233">
        <f t="shared" si="88"/>
        <v>0</v>
      </c>
      <c r="Q255" s="233">
        <f t="shared" si="88"/>
        <v>0</v>
      </c>
      <c r="R255" s="233">
        <f t="shared" si="88"/>
        <v>0</v>
      </c>
      <c r="S255" s="233">
        <f t="shared" si="88"/>
        <v>0</v>
      </c>
      <c r="T255" s="233">
        <f t="shared" si="88"/>
        <v>0</v>
      </c>
      <c r="U255" s="233">
        <f t="shared" si="88"/>
        <v>0</v>
      </c>
      <c r="V255" s="233">
        <f t="shared" si="88"/>
        <v>0</v>
      </c>
      <c r="W255" s="233">
        <f t="shared" si="88"/>
        <v>0</v>
      </c>
      <c r="X255" s="233">
        <f t="shared" si="88"/>
        <v>0</v>
      </c>
      <c r="Y255" s="233">
        <f t="shared" si="88"/>
        <v>0</v>
      </c>
      <c r="Z255" s="233">
        <f t="shared" si="88"/>
        <v>0</v>
      </c>
      <c r="AA255" s="233">
        <f t="shared" si="88"/>
        <v>0</v>
      </c>
      <c r="AB255" s="233">
        <f t="shared" si="88"/>
        <v>0</v>
      </c>
      <c r="AC255" s="233">
        <f t="shared" si="88"/>
        <v>0</v>
      </c>
      <c r="AD255" s="233">
        <f t="shared" si="88"/>
        <v>0</v>
      </c>
      <c r="AE255" s="233">
        <f t="shared" si="88"/>
        <v>0</v>
      </c>
      <c r="AF255" s="233">
        <f t="shared" si="88"/>
        <v>0</v>
      </c>
      <c r="AG255" s="233">
        <f t="shared" si="88"/>
        <v>0</v>
      </c>
    </row>
    <row r="256" spans="1:33" ht="17.25" customHeight="1" outlineLevel="2">
      <c r="A256" s="128"/>
      <c r="B256" s="708"/>
      <c r="C256" s="40" t="str">
        <f>$C$236</f>
        <v>Other Staff Expenses (manual input)</v>
      </c>
      <c r="D256" s="8" t="str">
        <f t="shared" ref="D256" si="89">Currency_Label</f>
        <v>USD</v>
      </c>
      <c r="E256" s="36"/>
      <c r="F256" s="36"/>
      <c r="G256" s="36"/>
      <c r="H256" s="36"/>
      <c r="I256" s="71">
        <f>SUMPRODUCT((J$6:AG$6),(J256:AG256))</f>
        <v>0</v>
      </c>
      <c r="J256" s="269"/>
      <c r="K256" s="269"/>
      <c r="L256" s="269"/>
      <c r="M256" s="269"/>
      <c r="N256" s="269"/>
      <c r="O256" s="269"/>
      <c r="P256" s="269"/>
      <c r="Q256" s="269"/>
      <c r="R256" s="269"/>
      <c r="S256" s="269"/>
      <c r="T256" s="269"/>
      <c r="U256" s="269"/>
      <c r="V256" s="269"/>
      <c r="W256" s="269"/>
      <c r="X256" s="269"/>
      <c r="Y256" s="269"/>
      <c r="Z256" s="269"/>
      <c r="AA256" s="269"/>
      <c r="AB256" s="269"/>
      <c r="AC256" s="269"/>
      <c r="AD256" s="269"/>
      <c r="AE256" s="269"/>
      <c r="AF256" s="269"/>
      <c r="AG256" s="269"/>
    </row>
    <row r="257" spans="1:33" ht="17.25" customHeight="1" outlineLevel="2">
      <c r="A257" s="128"/>
      <c r="B257" s="708"/>
      <c r="C257" s="75" t="str">
        <f>"   Subtotal "&amp;C254</f>
        <v xml:space="preserve">   Subtotal Net work infrastructure solutions</v>
      </c>
      <c r="D257" s="8" t="str">
        <f>Currency_Label</f>
        <v>USD</v>
      </c>
      <c r="E257" s="36"/>
      <c r="F257" s="36"/>
      <c r="G257" s="36"/>
      <c r="H257" s="36"/>
      <c r="I257" s="71">
        <f>SUM(J257:AG257)</f>
        <v>0</v>
      </c>
      <c r="J257" s="129">
        <f t="shared" ref="J257:AG257" si="90">SUM(J255:J256)*J$6</f>
        <v>0</v>
      </c>
      <c r="K257" s="129">
        <f t="shared" si="90"/>
        <v>0</v>
      </c>
      <c r="L257" s="129">
        <f t="shared" si="90"/>
        <v>0</v>
      </c>
      <c r="M257" s="129">
        <f t="shared" si="90"/>
        <v>0</v>
      </c>
      <c r="N257" s="129">
        <f t="shared" si="90"/>
        <v>0</v>
      </c>
      <c r="O257" s="129">
        <f t="shared" si="90"/>
        <v>0</v>
      </c>
      <c r="P257" s="129">
        <f t="shared" si="90"/>
        <v>0</v>
      </c>
      <c r="Q257" s="129">
        <f t="shared" si="90"/>
        <v>0</v>
      </c>
      <c r="R257" s="129">
        <f t="shared" si="90"/>
        <v>0</v>
      </c>
      <c r="S257" s="129">
        <f t="shared" si="90"/>
        <v>0</v>
      </c>
      <c r="T257" s="129">
        <f t="shared" si="90"/>
        <v>0</v>
      </c>
      <c r="U257" s="129">
        <f t="shared" si="90"/>
        <v>0</v>
      </c>
      <c r="V257" s="129">
        <f t="shared" si="90"/>
        <v>0</v>
      </c>
      <c r="W257" s="129">
        <f t="shared" si="90"/>
        <v>0</v>
      </c>
      <c r="X257" s="129">
        <f t="shared" si="90"/>
        <v>0</v>
      </c>
      <c r="Y257" s="129">
        <f t="shared" si="90"/>
        <v>0</v>
      </c>
      <c r="Z257" s="129">
        <f t="shared" si="90"/>
        <v>0</v>
      </c>
      <c r="AA257" s="129">
        <f t="shared" si="90"/>
        <v>0</v>
      </c>
      <c r="AB257" s="129">
        <f t="shared" si="90"/>
        <v>0</v>
      </c>
      <c r="AC257" s="129">
        <f t="shared" si="90"/>
        <v>0</v>
      </c>
      <c r="AD257" s="129">
        <f t="shared" si="90"/>
        <v>0</v>
      </c>
      <c r="AE257" s="129">
        <f t="shared" si="90"/>
        <v>0</v>
      </c>
      <c r="AF257" s="129">
        <f t="shared" si="90"/>
        <v>0</v>
      </c>
      <c r="AG257" s="129">
        <f t="shared" si="90"/>
        <v>0</v>
      </c>
    </row>
    <row r="258" spans="1:33" ht="17.25" customHeight="1" outlineLevel="2">
      <c r="A258" s="128"/>
      <c r="B258" s="708"/>
      <c r="C258" s="128"/>
      <c r="D258" s="275"/>
      <c r="E258" s="128"/>
      <c r="F258" s="128"/>
      <c r="G258" s="128"/>
      <c r="H258" s="128"/>
      <c r="I258" s="332"/>
      <c r="J258" s="332"/>
      <c r="K258" s="332"/>
      <c r="L258" s="332"/>
      <c r="M258" s="332"/>
      <c r="N258" s="332"/>
      <c r="O258" s="332"/>
      <c r="P258" s="332"/>
      <c r="Q258" s="332"/>
      <c r="R258" s="332"/>
      <c r="S258" s="332"/>
      <c r="T258" s="332"/>
      <c r="U258" s="332"/>
      <c r="V258" s="332"/>
      <c r="W258" s="332"/>
      <c r="X258" s="332"/>
      <c r="Y258" s="332"/>
      <c r="Z258" s="332"/>
      <c r="AA258" s="332"/>
      <c r="AB258" s="332"/>
      <c r="AC258" s="332"/>
      <c r="AD258" s="332"/>
      <c r="AE258" s="332"/>
      <c r="AF258" s="332"/>
      <c r="AG258" s="332"/>
    </row>
    <row r="259" spans="1:33" ht="17.25" customHeight="1" outlineLevel="2">
      <c r="A259" s="128"/>
      <c r="B259" s="708">
        <f>B254+1</f>
        <v>6</v>
      </c>
      <c r="C259" s="331" t="str">
        <f>C48</f>
        <v>Repair Services</v>
      </c>
      <c r="D259" s="275"/>
      <c r="E259" s="128"/>
      <c r="F259" s="128"/>
      <c r="G259" s="128"/>
      <c r="H259" s="128"/>
      <c r="I259" s="332"/>
      <c r="J259" s="332"/>
      <c r="K259" s="332"/>
      <c r="L259" s="332"/>
      <c r="M259" s="332"/>
      <c r="N259" s="332"/>
      <c r="O259" s="332"/>
      <c r="P259" s="332"/>
      <c r="Q259" s="332"/>
      <c r="R259" s="332"/>
      <c r="S259" s="332"/>
      <c r="T259" s="332"/>
      <c r="U259" s="332"/>
      <c r="V259" s="332"/>
      <c r="W259" s="332"/>
      <c r="X259" s="332"/>
      <c r="Y259" s="332"/>
      <c r="Z259" s="332"/>
      <c r="AA259" s="332"/>
      <c r="AB259" s="332"/>
      <c r="AC259" s="332"/>
      <c r="AD259" s="332"/>
      <c r="AE259" s="332"/>
      <c r="AF259" s="332"/>
      <c r="AG259" s="332"/>
    </row>
    <row r="260" spans="1:33" ht="17.25" customHeight="1" outlineLevel="2">
      <c r="A260" s="128"/>
      <c r="B260" s="708"/>
      <c r="C260" s="40" t="str">
        <f>$C$235</f>
        <v>Other Staff Expenses (automatic)</v>
      </c>
      <c r="D260" s="8" t="str">
        <f>Currency_Label</f>
        <v>USD</v>
      </c>
      <c r="E260" s="271"/>
      <c r="F260" s="412" t="s">
        <v>294</v>
      </c>
      <c r="G260" s="36"/>
      <c r="H260" s="36"/>
      <c r="I260" s="71">
        <f>SUMPRODUCT((J$6:AG$6),(J260:AG260))</f>
        <v>0</v>
      </c>
      <c r="J260" s="233">
        <f t="shared" ref="J260:AG260" si="91">$E260*J127</f>
        <v>0</v>
      </c>
      <c r="K260" s="233">
        <f t="shared" si="91"/>
        <v>0</v>
      </c>
      <c r="L260" s="233">
        <f t="shared" si="91"/>
        <v>0</v>
      </c>
      <c r="M260" s="233">
        <f t="shared" si="91"/>
        <v>0</v>
      </c>
      <c r="N260" s="233">
        <f t="shared" si="91"/>
        <v>0</v>
      </c>
      <c r="O260" s="233">
        <f t="shared" si="91"/>
        <v>0</v>
      </c>
      <c r="P260" s="233">
        <f t="shared" si="91"/>
        <v>0</v>
      </c>
      <c r="Q260" s="233">
        <f t="shared" si="91"/>
        <v>0</v>
      </c>
      <c r="R260" s="233">
        <f t="shared" si="91"/>
        <v>0</v>
      </c>
      <c r="S260" s="233">
        <f t="shared" si="91"/>
        <v>0</v>
      </c>
      <c r="T260" s="233">
        <f t="shared" si="91"/>
        <v>0</v>
      </c>
      <c r="U260" s="233">
        <f t="shared" si="91"/>
        <v>0</v>
      </c>
      <c r="V260" s="233">
        <f t="shared" si="91"/>
        <v>0</v>
      </c>
      <c r="W260" s="233">
        <f t="shared" si="91"/>
        <v>0</v>
      </c>
      <c r="X260" s="233">
        <f t="shared" si="91"/>
        <v>0</v>
      </c>
      <c r="Y260" s="233">
        <f t="shared" si="91"/>
        <v>0</v>
      </c>
      <c r="Z260" s="233">
        <f t="shared" si="91"/>
        <v>0</v>
      </c>
      <c r="AA260" s="233">
        <f t="shared" si="91"/>
        <v>0</v>
      </c>
      <c r="AB260" s="233">
        <f t="shared" si="91"/>
        <v>0</v>
      </c>
      <c r="AC260" s="233">
        <f t="shared" si="91"/>
        <v>0</v>
      </c>
      <c r="AD260" s="233">
        <f t="shared" si="91"/>
        <v>0</v>
      </c>
      <c r="AE260" s="233">
        <f t="shared" si="91"/>
        <v>0</v>
      </c>
      <c r="AF260" s="233">
        <f t="shared" si="91"/>
        <v>0</v>
      </c>
      <c r="AG260" s="233">
        <f t="shared" si="91"/>
        <v>0</v>
      </c>
    </row>
    <row r="261" spans="1:33" ht="17.25" customHeight="1" outlineLevel="2">
      <c r="A261" s="128"/>
      <c r="B261" s="708"/>
      <c r="C261" s="40" t="str">
        <f>$C$236</f>
        <v>Other Staff Expenses (manual input)</v>
      </c>
      <c r="D261" s="8" t="str">
        <f t="shared" ref="D261" si="92">Currency_Label</f>
        <v>USD</v>
      </c>
      <c r="E261" s="36"/>
      <c r="F261" s="36"/>
      <c r="G261" s="36"/>
      <c r="H261" s="36"/>
      <c r="I261" s="71">
        <f>SUMPRODUCT((J$6:AG$6),(J261:AG261))</f>
        <v>0</v>
      </c>
      <c r="J261" s="269"/>
      <c r="K261" s="269"/>
      <c r="L261" s="269"/>
      <c r="M261" s="269"/>
      <c r="N261" s="269"/>
      <c r="O261" s="269"/>
      <c r="P261" s="269"/>
      <c r="Q261" s="269"/>
      <c r="R261" s="269"/>
      <c r="S261" s="269"/>
      <c r="T261" s="269"/>
      <c r="U261" s="269"/>
      <c r="V261" s="269"/>
      <c r="W261" s="269"/>
      <c r="X261" s="269"/>
      <c r="Y261" s="269"/>
      <c r="Z261" s="269"/>
      <c r="AA261" s="269"/>
      <c r="AB261" s="269"/>
      <c r="AC261" s="269"/>
      <c r="AD261" s="269"/>
      <c r="AE261" s="269"/>
      <c r="AF261" s="269"/>
      <c r="AG261" s="269"/>
    </row>
    <row r="262" spans="1:33" ht="17.25" customHeight="1" outlineLevel="2">
      <c r="A262" s="128"/>
      <c r="B262" s="708"/>
      <c r="C262" s="75" t="str">
        <f>"   Subtotal "&amp;C259</f>
        <v xml:space="preserve">   Subtotal Repair Services</v>
      </c>
      <c r="D262" s="8" t="str">
        <f>Currency_Label</f>
        <v>USD</v>
      </c>
      <c r="E262" s="36"/>
      <c r="F262" s="36"/>
      <c r="G262" s="36"/>
      <c r="H262" s="36"/>
      <c r="I262" s="71">
        <f>SUM(J262:AG262)</f>
        <v>0</v>
      </c>
      <c r="J262" s="129">
        <f t="shared" ref="J262:AG262" si="93">SUM(J260:J261)*J$6</f>
        <v>0</v>
      </c>
      <c r="K262" s="129">
        <f t="shared" si="93"/>
        <v>0</v>
      </c>
      <c r="L262" s="129">
        <f t="shared" si="93"/>
        <v>0</v>
      </c>
      <c r="M262" s="129">
        <f t="shared" si="93"/>
        <v>0</v>
      </c>
      <c r="N262" s="129">
        <f t="shared" si="93"/>
        <v>0</v>
      </c>
      <c r="O262" s="129">
        <f t="shared" si="93"/>
        <v>0</v>
      </c>
      <c r="P262" s="129">
        <f t="shared" si="93"/>
        <v>0</v>
      </c>
      <c r="Q262" s="129">
        <f t="shared" si="93"/>
        <v>0</v>
      </c>
      <c r="R262" s="129">
        <f t="shared" si="93"/>
        <v>0</v>
      </c>
      <c r="S262" s="129">
        <f t="shared" si="93"/>
        <v>0</v>
      </c>
      <c r="T262" s="129">
        <f t="shared" si="93"/>
        <v>0</v>
      </c>
      <c r="U262" s="129">
        <f t="shared" si="93"/>
        <v>0</v>
      </c>
      <c r="V262" s="129">
        <f t="shared" si="93"/>
        <v>0</v>
      </c>
      <c r="W262" s="129">
        <f t="shared" si="93"/>
        <v>0</v>
      </c>
      <c r="X262" s="129">
        <f t="shared" si="93"/>
        <v>0</v>
      </c>
      <c r="Y262" s="129">
        <f t="shared" si="93"/>
        <v>0</v>
      </c>
      <c r="Z262" s="129">
        <f t="shared" si="93"/>
        <v>0</v>
      </c>
      <c r="AA262" s="129">
        <f t="shared" si="93"/>
        <v>0</v>
      </c>
      <c r="AB262" s="129">
        <f t="shared" si="93"/>
        <v>0</v>
      </c>
      <c r="AC262" s="129">
        <f t="shared" si="93"/>
        <v>0</v>
      </c>
      <c r="AD262" s="129">
        <f t="shared" si="93"/>
        <v>0</v>
      </c>
      <c r="AE262" s="129">
        <f t="shared" si="93"/>
        <v>0</v>
      </c>
      <c r="AF262" s="129">
        <f t="shared" si="93"/>
        <v>0</v>
      </c>
      <c r="AG262" s="129">
        <f t="shared" si="93"/>
        <v>0</v>
      </c>
    </row>
    <row r="263" spans="1:33" ht="17.25" customHeight="1" outlineLevel="2">
      <c r="A263" s="128"/>
      <c r="B263" s="708"/>
      <c r="C263" s="128"/>
      <c r="D263" s="275"/>
      <c r="E263" s="128"/>
      <c r="F263" s="128"/>
      <c r="G263" s="128"/>
      <c r="H263" s="128"/>
      <c r="I263" s="332"/>
      <c r="J263" s="332"/>
      <c r="K263" s="332"/>
      <c r="L263" s="332"/>
      <c r="M263" s="332"/>
      <c r="N263" s="332"/>
      <c r="O263" s="332"/>
      <c r="P263" s="332"/>
      <c r="Q263" s="332"/>
      <c r="R263" s="332"/>
      <c r="S263" s="332"/>
      <c r="T263" s="332"/>
      <c r="U263" s="332"/>
      <c r="V263" s="332"/>
      <c r="W263" s="332"/>
      <c r="X263" s="332"/>
      <c r="Y263" s="332"/>
      <c r="Z263" s="332"/>
      <c r="AA263" s="332"/>
      <c r="AB263" s="332"/>
      <c r="AC263" s="332"/>
      <c r="AD263" s="332"/>
      <c r="AE263" s="332"/>
      <c r="AF263" s="332"/>
      <c r="AG263" s="332"/>
    </row>
    <row r="264" spans="1:33" ht="17.25" customHeight="1" outlineLevel="2">
      <c r="A264" s="128"/>
      <c r="B264" s="708">
        <f>B259+1</f>
        <v>7</v>
      </c>
      <c r="C264" s="331" t="str">
        <f>C55</f>
        <v>Integration Services</v>
      </c>
      <c r="D264" s="275"/>
      <c r="E264" s="128"/>
      <c r="F264" s="128"/>
      <c r="G264" s="128"/>
      <c r="H264" s="128"/>
      <c r="I264" s="332"/>
      <c r="J264" s="332"/>
      <c r="K264" s="332"/>
      <c r="L264" s="332"/>
      <c r="M264" s="332"/>
      <c r="N264" s="332"/>
      <c r="O264" s="332"/>
      <c r="P264" s="332"/>
      <c r="Q264" s="332"/>
      <c r="R264" s="332"/>
      <c r="S264" s="332"/>
      <c r="T264" s="332"/>
      <c r="U264" s="332"/>
      <c r="V264" s="332"/>
      <c r="W264" s="332"/>
      <c r="X264" s="332"/>
      <c r="Y264" s="332"/>
      <c r="Z264" s="332"/>
      <c r="AA264" s="332"/>
      <c r="AB264" s="332"/>
      <c r="AC264" s="332"/>
      <c r="AD264" s="332"/>
      <c r="AE264" s="332"/>
      <c r="AF264" s="332"/>
      <c r="AG264" s="332"/>
    </row>
    <row r="265" spans="1:33" ht="17.25" customHeight="1" outlineLevel="2">
      <c r="A265" s="128"/>
      <c r="B265" s="708"/>
      <c r="C265" s="40" t="str">
        <f>$C$235</f>
        <v>Other Staff Expenses (automatic)</v>
      </c>
      <c r="D265" s="8" t="str">
        <f>Currency_Label</f>
        <v>USD</v>
      </c>
      <c r="E265" s="271"/>
      <c r="F265" s="412" t="s">
        <v>294</v>
      </c>
      <c r="G265" s="36"/>
      <c r="H265" s="36"/>
      <c r="I265" s="71">
        <f>SUMPRODUCT((J$6:AG$6),(J265:AG265))</f>
        <v>0</v>
      </c>
      <c r="J265" s="233">
        <f t="shared" ref="J265:AG265" si="94">$E265*J134</f>
        <v>0</v>
      </c>
      <c r="K265" s="233">
        <f t="shared" si="94"/>
        <v>0</v>
      </c>
      <c r="L265" s="233">
        <f t="shared" si="94"/>
        <v>0</v>
      </c>
      <c r="M265" s="233">
        <f t="shared" si="94"/>
        <v>0</v>
      </c>
      <c r="N265" s="233">
        <f t="shared" si="94"/>
        <v>0</v>
      </c>
      <c r="O265" s="233">
        <f t="shared" si="94"/>
        <v>0</v>
      </c>
      <c r="P265" s="233">
        <f t="shared" si="94"/>
        <v>0</v>
      </c>
      <c r="Q265" s="233">
        <f t="shared" si="94"/>
        <v>0</v>
      </c>
      <c r="R265" s="233">
        <f t="shared" si="94"/>
        <v>0</v>
      </c>
      <c r="S265" s="233">
        <f t="shared" si="94"/>
        <v>0</v>
      </c>
      <c r="T265" s="233">
        <f t="shared" si="94"/>
        <v>0</v>
      </c>
      <c r="U265" s="233">
        <f t="shared" si="94"/>
        <v>0</v>
      </c>
      <c r="V265" s="233">
        <f t="shared" si="94"/>
        <v>0</v>
      </c>
      <c r="W265" s="233">
        <f t="shared" si="94"/>
        <v>0</v>
      </c>
      <c r="X265" s="233">
        <f t="shared" si="94"/>
        <v>0</v>
      </c>
      <c r="Y265" s="233">
        <f t="shared" si="94"/>
        <v>0</v>
      </c>
      <c r="Z265" s="233">
        <f t="shared" si="94"/>
        <v>0</v>
      </c>
      <c r="AA265" s="233">
        <f t="shared" si="94"/>
        <v>0</v>
      </c>
      <c r="AB265" s="233">
        <f t="shared" si="94"/>
        <v>0</v>
      </c>
      <c r="AC265" s="233">
        <f t="shared" si="94"/>
        <v>0</v>
      </c>
      <c r="AD265" s="233">
        <f t="shared" si="94"/>
        <v>0</v>
      </c>
      <c r="AE265" s="233">
        <f t="shared" si="94"/>
        <v>0</v>
      </c>
      <c r="AF265" s="233">
        <f t="shared" si="94"/>
        <v>0</v>
      </c>
      <c r="AG265" s="233">
        <f t="shared" si="94"/>
        <v>0</v>
      </c>
    </row>
    <row r="266" spans="1:33" ht="17.25" customHeight="1" outlineLevel="2">
      <c r="A266" s="128"/>
      <c r="B266" s="708"/>
      <c r="C266" s="40" t="str">
        <f>$C$236</f>
        <v>Other Staff Expenses (manual input)</v>
      </c>
      <c r="D266" s="8" t="str">
        <f t="shared" ref="D266" si="95">Currency_Label</f>
        <v>USD</v>
      </c>
      <c r="E266" s="36"/>
      <c r="F266" s="36"/>
      <c r="G266" s="36"/>
      <c r="H266" s="36"/>
      <c r="I266" s="71">
        <f>SUMPRODUCT((J$6:AG$6),(J266:AG266))</f>
        <v>0</v>
      </c>
      <c r="J266" s="269"/>
      <c r="K266" s="269"/>
      <c r="L266" s="269"/>
      <c r="M266" s="269"/>
      <c r="N266" s="269"/>
      <c r="O266" s="269"/>
      <c r="P266" s="269"/>
      <c r="Q266" s="269"/>
      <c r="R266" s="269"/>
      <c r="S266" s="269"/>
      <c r="T266" s="269"/>
      <c r="U266" s="269"/>
      <c r="V266" s="269"/>
      <c r="W266" s="269"/>
      <c r="X266" s="269"/>
      <c r="Y266" s="269"/>
      <c r="Z266" s="269"/>
      <c r="AA266" s="269"/>
      <c r="AB266" s="269"/>
      <c r="AC266" s="269"/>
      <c r="AD266" s="269"/>
      <c r="AE266" s="269"/>
      <c r="AF266" s="269"/>
      <c r="AG266" s="269"/>
    </row>
    <row r="267" spans="1:33" ht="17.25" customHeight="1" outlineLevel="2">
      <c r="A267" s="128"/>
      <c r="B267" s="708"/>
      <c r="C267" s="75" t="str">
        <f>"   Subtotal "&amp;C264</f>
        <v xml:space="preserve">   Subtotal Integration Services</v>
      </c>
      <c r="D267" s="8" t="str">
        <f>Currency_Label</f>
        <v>USD</v>
      </c>
      <c r="E267" s="36"/>
      <c r="F267" s="36"/>
      <c r="G267" s="36"/>
      <c r="H267" s="36"/>
      <c r="I267" s="71">
        <f>SUM(J267:AG267)</f>
        <v>0</v>
      </c>
      <c r="J267" s="129">
        <f t="shared" ref="J267:AG267" si="96">SUM(J265:J266)*J$6</f>
        <v>0</v>
      </c>
      <c r="K267" s="129">
        <f t="shared" si="96"/>
        <v>0</v>
      </c>
      <c r="L267" s="129">
        <f t="shared" si="96"/>
        <v>0</v>
      </c>
      <c r="M267" s="129">
        <f t="shared" si="96"/>
        <v>0</v>
      </c>
      <c r="N267" s="129">
        <f t="shared" si="96"/>
        <v>0</v>
      </c>
      <c r="O267" s="129">
        <f t="shared" si="96"/>
        <v>0</v>
      </c>
      <c r="P267" s="129">
        <f t="shared" si="96"/>
        <v>0</v>
      </c>
      <c r="Q267" s="129">
        <f t="shared" si="96"/>
        <v>0</v>
      </c>
      <c r="R267" s="129">
        <f t="shared" si="96"/>
        <v>0</v>
      </c>
      <c r="S267" s="129">
        <f t="shared" si="96"/>
        <v>0</v>
      </c>
      <c r="T267" s="129">
        <f t="shared" si="96"/>
        <v>0</v>
      </c>
      <c r="U267" s="129">
        <f t="shared" si="96"/>
        <v>0</v>
      </c>
      <c r="V267" s="129">
        <f t="shared" si="96"/>
        <v>0</v>
      </c>
      <c r="W267" s="129">
        <f t="shared" si="96"/>
        <v>0</v>
      </c>
      <c r="X267" s="129">
        <f t="shared" si="96"/>
        <v>0</v>
      </c>
      <c r="Y267" s="129">
        <f t="shared" si="96"/>
        <v>0</v>
      </c>
      <c r="Z267" s="129">
        <f t="shared" si="96"/>
        <v>0</v>
      </c>
      <c r="AA267" s="129">
        <f t="shared" si="96"/>
        <v>0</v>
      </c>
      <c r="AB267" s="129">
        <f t="shared" si="96"/>
        <v>0</v>
      </c>
      <c r="AC267" s="129">
        <f t="shared" si="96"/>
        <v>0</v>
      </c>
      <c r="AD267" s="129">
        <f t="shared" si="96"/>
        <v>0</v>
      </c>
      <c r="AE267" s="129">
        <f t="shared" si="96"/>
        <v>0</v>
      </c>
      <c r="AF267" s="129">
        <f t="shared" si="96"/>
        <v>0</v>
      </c>
      <c r="AG267" s="129">
        <f t="shared" si="96"/>
        <v>0</v>
      </c>
    </row>
    <row r="268" spans="1:33" ht="17.25" customHeight="1" outlineLevel="2">
      <c r="A268" s="128"/>
      <c r="B268" s="708"/>
      <c r="C268" s="128"/>
      <c r="D268" s="275"/>
      <c r="E268" s="128"/>
      <c r="F268" s="128"/>
      <c r="G268" s="128"/>
      <c r="H268" s="128"/>
      <c r="I268" s="332"/>
      <c r="J268" s="332"/>
      <c r="K268" s="332"/>
      <c r="L268" s="332"/>
      <c r="M268" s="332"/>
      <c r="N268" s="332"/>
      <c r="O268" s="332"/>
      <c r="P268" s="332"/>
      <c r="Q268" s="332"/>
      <c r="R268" s="332"/>
      <c r="S268" s="332"/>
      <c r="T268" s="332"/>
      <c r="U268" s="332"/>
      <c r="V268" s="332"/>
      <c r="W268" s="332"/>
      <c r="X268" s="332"/>
      <c r="Y268" s="332"/>
      <c r="Z268" s="332"/>
      <c r="AA268" s="332"/>
      <c r="AB268" s="332"/>
      <c r="AC268" s="332"/>
      <c r="AD268" s="332"/>
      <c r="AE268" s="332"/>
      <c r="AF268" s="332"/>
      <c r="AG268" s="332"/>
    </row>
    <row r="269" spans="1:33" ht="17.25" customHeight="1" outlineLevel="2">
      <c r="A269" s="128"/>
      <c r="B269" s="708">
        <f>B264+1</f>
        <v>8</v>
      </c>
      <c r="C269" s="331" t="str">
        <f>C62</f>
        <v>Consulting Services</v>
      </c>
      <c r="D269" s="275"/>
      <c r="E269" s="128"/>
      <c r="F269" s="128"/>
      <c r="G269" s="128"/>
      <c r="H269" s="128"/>
      <c r="I269" s="332"/>
      <c r="J269" s="332"/>
      <c r="K269" s="332"/>
      <c r="L269" s="332"/>
      <c r="M269" s="332"/>
      <c r="N269" s="332"/>
      <c r="O269" s="332"/>
      <c r="P269" s="332"/>
      <c r="Q269" s="332"/>
      <c r="R269" s="332"/>
      <c r="S269" s="332"/>
      <c r="T269" s="332"/>
      <c r="U269" s="332"/>
      <c r="V269" s="332"/>
      <c r="W269" s="332"/>
      <c r="X269" s="332"/>
      <c r="Y269" s="332"/>
      <c r="Z269" s="332"/>
      <c r="AA269" s="332"/>
      <c r="AB269" s="332"/>
      <c r="AC269" s="332"/>
      <c r="AD269" s="332"/>
      <c r="AE269" s="332"/>
      <c r="AF269" s="332"/>
      <c r="AG269" s="332"/>
    </row>
    <row r="270" spans="1:33" ht="17.25" customHeight="1" outlineLevel="2">
      <c r="A270" s="128"/>
      <c r="B270" s="708"/>
      <c r="C270" s="40" t="str">
        <f>$C$235</f>
        <v>Other Staff Expenses (automatic)</v>
      </c>
      <c r="D270" s="8" t="str">
        <f>Currency_Label</f>
        <v>USD</v>
      </c>
      <c r="E270" s="271"/>
      <c r="F270" s="412" t="s">
        <v>294</v>
      </c>
      <c r="G270" s="36"/>
      <c r="H270" s="36"/>
      <c r="I270" s="71">
        <f>SUMPRODUCT((J$6:AG$6),(J270:AG270))</f>
        <v>0</v>
      </c>
      <c r="J270" s="233">
        <f t="shared" ref="J270:AG270" si="97">$E270*J141</f>
        <v>0</v>
      </c>
      <c r="K270" s="233">
        <f t="shared" si="97"/>
        <v>0</v>
      </c>
      <c r="L270" s="233">
        <f t="shared" si="97"/>
        <v>0</v>
      </c>
      <c r="M270" s="233">
        <f t="shared" si="97"/>
        <v>0</v>
      </c>
      <c r="N270" s="233">
        <f t="shared" si="97"/>
        <v>0</v>
      </c>
      <c r="O270" s="233">
        <f t="shared" si="97"/>
        <v>0</v>
      </c>
      <c r="P270" s="233">
        <f t="shared" si="97"/>
        <v>0</v>
      </c>
      <c r="Q270" s="233">
        <f t="shared" si="97"/>
        <v>0</v>
      </c>
      <c r="R270" s="233">
        <f t="shared" si="97"/>
        <v>0</v>
      </c>
      <c r="S270" s="233">
        <f t="shared" si="97"/>
        <v>0</v>
      </c>
      <c r="T270" s="233">
        <f t="shared" si="97"/>
        <v>0</v>
      </c>
      <c r="U270" s="233">
        <f t="shared" si="97"/>
        <v>0</v>
      </c>
      <c r="V270" s="233">
        <f t="shared" si="97"/>
        <v>0</v>
      </c>
      <c r="W270" s="233">
        <f t="shared" si="97"/>
        <v>0</v>
      </c>
      <c r="X270" s="233">
        <f t="shared" si="97"/>
        <v>0</v>
      </c>
      <c r="Y270" s="233">
        <f t="shared" si="97"/>
        <v>0</v>
      </c>
      <c r="Z270" s="233">
        <f t="shared" si="97"/>
        <v>0</v>
      </c>
      <c r="AA270" s="233">
        <f t="shared" si="97"/>
        <v>0</v>
      </c>
      <c r="AB270" s="233">
        <f t="shared" si="97"/>
        <v>0</v>
      </c>
      <c r="AC270" s="233">
        <f t="shared" si="97"/>
        <v>0</v>
      </c>
      <c r="AD270" s="233">
        <f t="shared" si="97"/>
        <v>0</v>
      </c>
      <c r="AE270" s="233">
        <f t="shared" si="97"/>
        <v>0</v>
      </c>
      <c r="AF270" s="233">
        <f t="shared" si="97"/>
        <v>0</v>
      </c>
      <c r="AG270" s="233">
        <f t="shared" si="97"/>
        <v>0</v>
      </c>
    </row>
    <row r="271" spans="1:33" ht="17.25" customHeight="1" outlineLevel="2">
      <c r="A271" s="128"/>
      <c r="B271" s="708"/>
      <c r="C271" s="40" t="str">
        <f>$C$236</f>
        <v>Other Staff Expenses (manual input)</v>
      </c>
      <c r="D271" s="8" t="str">
        <f t="shared" ref="D271" si="98">Currency_Label</f>
        <v>USD</v>
      </c>
      <c r="E271" s="36"/>
      <c r="F271" s="36"/>
      <c r="G271" s="36"/>
      <c r="H271" s="36"/>
      <c r="I271" s="71">
        <f>SUMPRODUCT((J$6:AG$6),(J271:AG271))</f>
        <v>0</v>
      </c>
      <c r="J271" s="269"/>
      <c r="K271" s="269"/>
      <c r="L271" s="269"/>
      <c r="M271" s="269"/>
      <c r="N271" s="269"/>
      <c r="O271" s="269"/>
      <c r="P271" s="269"/>
      <c r="Q271" s="269"/>
      <c r="R271" s="269"/>
      <c r="S271" s="269"/>
      <c r="T271" s="269"/>
      <c r="U271" s="269"/>
      <c r="V271" s="269"/>
      <c r="W271" s="269"/>
      <c r="X271" s="269"/>
      <c r="Y271" s="269"/>
      <c r="Z271" s="269"/>
      <c r="AA271" s="269"/>
      <c r="AB271" s="269"/>
      <c r="AC271" s="269"/>
      <c r="AD271" s="269"/>
      <c r="AE271" s="269"/>
      <c r="AF271" s="269"/>
      <c r="AG271" s="269"/>
    </row>
    <row r="272" spans="1:33" ht="17.25" customHeight="1" outlineLevel="2">
      <c r="A272" s="128"/>
      <c r="B272" s="708"/>
      <c r="C272" s="75" t="str">
        <f>"   Subtotal "&amp;C269</f>
        <v xml:space="preserve">   Subtotal Consulting Services</v>
      </c>
      <c r="D272" s="8" t="str">
        <f>Currency_Label</f>
        <v>USD</v>
      </c>
      <c r="E272" s="36"/>
      <c r="F272" s="36"/>
      <c r="G272" s="36"/>
      <c r="H272" s="36"/>
      <c r="I272" s="71">
        <f>SUM(J272:AG272)</f>
        <v>0</v>
      </c>
      <c r="J272" s="129">
        <f t="shared" ref="J272:AG272" si="99">SUM(J270:J271)*J$6</f>
        <v>0</v>
      </c>
      <c r="K272" s="129">
        <f t="shared" si="99"/>
        <v>0</v>
      </c>
      <c r="L272" s="129">
        <f t="shared" si="99"/>
        <v>0</v>
      </c>
      <c r="M272" s="129">
        <f t="shared" si="99"/>
        <v>0</v>
      </c>
      <c r="N272" s="129">
        <f t="shared" si="99"/>
        <v>0</v>
      </c>
      <c r="O272" s="129">
        <f t="shared" si="99"/>
        <v>0</v>
      </c>
      <c r="P272" s="129">
        <f t="shared" si="99"/>
        <v>0</v>
      </c>
      <c r="Q272" s="129">
        <f t="shared" si="99"/>
        <v>0</v>
      </c>
      <c r="R272" s="129">
        <f t="shared" si="99"/>
        <v>0</v>
      </c>
      <c r="S272" s="129">
        <f t="shared" si="99"/>
        <v>0</v>
      </c>
      <c r="T272" s="129">
        <f t="shared" si="99"/>
        <v>0</v>
      </c>
      <c r="U272" s="129">
        <f t="shared" si="99"/>
        <v>0</v>
      </c>
      <c r="V272" s="129">
        <f t="shared" si="99"/>
        <v>0</v>
      </c>
      <c r="W272" s="129">
        <f t="shared" si="99"/>
        <v>0</v>
      </c>
      <c r="X272" s="129">
        <f t="shared" si="99"/>
        <v>0</v>
      </c>
      <c r="Y272" s="129">
        <f t="shared" si="99"/>
        <v>0</v>
      </c>
      <c r="Z272" s="129">
        <f t="shared" si="99"/>
        <v>0</v>
      </c>
      <c r="AA272" s="129">
        <f t="shared" si="99"/>
        <v>0</v>
      </c>
      <c r="AB272" s="129">
        <f t="shared" si="99"/>
        <v>0</v>
      </c>
      <c r="AC272" s="129">
        <f t="shared" si="99"/>
        <v>0</v>
      </c>
      <c r="AD272" s="129">
        <f t="shared" si="99"/>
        <v>0</v>
      </c>
      <c r="AE272" s="129">
        <f t="shared" si="99"/>
        <v>0</v>
      </c>
      <c r="AF272" s="129">
        <f t="shared" si="99"/>
        <v>0</v>
      </c>
      <c r="AG272" s="129">
        <f t="shared" si="99"/>
        <v>0</v>
      </c>
    </row>
    <row r="273" spans="1:33" ht="17.25" customHeight="1" outlineLevel="2">
      <c r="A273" s="128"/>
      <c r="B273" s="708"/>
      <c r="C273" s="128"/>
      <c r="D273" s="275"/>
      <c r="E273" s="128"/>
      <c r="F273" s="128"/>
      <c r="G273" s="128"/>
      <c r="H273" s="128"/>
      <c r="I273" s="332"/>
      <c r="J273" s="332"/>
      <c r="K273" s="332"/>
      <c r="L273" s="332"/>
      <c r="M273" s="332"/>
      <c r="N273" s="332"/>
      <c r="O273" s="332"/>
      <c r="P273" s="332"/>
      <c r="Q273" s="332"/>
      <c r="R273" s="332"/>
      <c r="S273" s="332"/>
      <c r="T273" s="332"/>
      <c r="U273" s="332"/>
      <c r="V273" s="332"/>
      <c r="W273" s="332"/>
      <c r="X273" s="332"/>
      <c r="Y273" s="332"/>
      <c r="Z273" s="332"/>
      <c r="AA273" s="332"/>
      <c r="AB273" s="332"/>
      <c r="AC273" s="332"/>
      <c r="AD273" s="332"/>
      <c r="AE273" s="332"/>
      <c r="AF273" s="332"/>
      <c r="AG273" s="332"/>
    </row>
    <row r="274" spans="1:33" ht="17.25" customHeight="1" outlineLevel="2">
      <c r="A274" s="128"/>
      <c r="B274" s="708">
        <f>B269+1</f>
        <v>9</v>
      </c>
      <c r="C274" s="331" t="str">
        <f>C69</f>
        <v>Spare Parts</v>
      </c>
      <c r="D274" s="275"/>
      <c r="E274" s="128"/>
      <c r="F274" s="128"/>
      <c r="G274" s="128"/>
      <c r="H274" s="128"/>
      <c r="I274" s="332"/>
      <c r="J274" s="332"/>
      <c r="K274" s="332"/>
      <c r="L274" s="332"/>
      <c r="M274" s="332"/>
      <c r="N274" s="332"/>
      <c r="O274" s="332"/>
      <c r="P274" s="332"/>
      <c r="Q274" s="332"/>
      <c r="R274" s="332"/>
      <c r="S274" s="332"/>
      <c r="T274" s="332"/>
      <c r="U274" s="332"/>
      <c r="V274" s="332"/>
      <c r="W274" s="332"/>
      <c r="X274" s="332"/>
      <c r="Y274" s="332"/>
      <c r="Z274" s="332"/>
      <c r="AA274" s="332"/>
      <c r="AB274" s="332"/>
      <c r="AC274" s="332"/>
      <c r="AD274" s="332"/>
      <c r="AE274" s="332"/>
      <c r="AF274" s="332"/>
      <c r="AG274" s="332"/>
    </row>
    <row r="275" spans="1:33" ht="17.25" customHeight="1" outlineLevel="2">
      <c r="A275" s="128"/>
      <c r="B275" s="708"/>
      <c r="C275" s="40" t="str">
        <f>$C$235</f>
        <v>Other Staff Expenses (automatic)</v>
      </c>
      <c r="D275" s="8" t="str">
        <f>Currency_Label</f>
        <v>USD</v>
      </c>
      <c r="E275" s="271"/>
      <c r="F275" s="412" t="s">
        <v>294</v>
      </c>
      <c r="G275" s="36"/>
      <c r="H275" s="36"/>
      <c r="I275" s="71">
        <f>SUMPRODUCT((J$6:AG$6),(J275:AG275))</f>
        <v>0</v>
      </c>
      <c r="J275" s="233">
        <f t="shared" ref="J275:AG275" si="100">$E275*J148</f>
        <v>0</v>
      </c>
      <c r="K275" s="233">
        <f t="shared" si="100"/>
        <v>0</v>
      </c>
      <c r="L275" s="233">
        <f t="shared" si="100"/>
        <v>0</v>
      </c>
      <c r="M275" s="233">
        <f t="shared" si="100"/>
        <v>0</v>
      </c>
      <c r="N275" s="233">
        <f t="shared" si="100"/>
        <v>0</v>
      </c>
      <c r="O275" s="233">
        <f t="shared" si="100"/>
        <v>0</v>
      </c>
      <c r="P275" s="233">
        <f t="shared" si="100"/>
        <v>0</v>
      </c>
      <c r="Q275" s="233">
        <f t="shared" si="100"/>
        <v>0</v>
      </c>
      <c r="R275" s="233">
        <f t="shared" si="100"/>
        <v>0</v>
      </c>
      <c r="S275" s="233">
        <f t="shared" si="100"/>
        <v>0</v>
      </c>
      <c r="T275" s="233">
        <f t="shared" si="100"/>
        <v>0</v>
      </c>
      <c r="U275" s="233">
        <f t="shared" si="100"/>
        <v>0</v>
      </c>
      <c r="V275" s="233">
        <f t="shared" si="100"/>
        <v>0</v>
      </c>
      <c r="W275" s="233">
        <f t="shared" si="100"/>
        <v>0</v>
      </c>
      <c r="X275" s="233">
        <f t="shared" si="100"/>
        <v>0</v>
      </c>
      <c r="Y275" s="233">
        <f t="shared" si="100"/>
        <v>0</v>
      </c>
      <c r="Z275" s="233">
        <f t="shared" si="100"/>
        <v>0</v>
      </c>
      <c r="AA275" s="233">
        <f t="shared" si="100"/>
        <v>0</v>
      </c>
      <c r="AB275" s="233">
        <f t="shared" si="100"/>
        <v>0</v>
      </c>
      <c r="AC275" s="233">
        <f t="shared" si="100"/>
        <v>0</v>
      </c>
      <c r="AD275" s="233">
        <f t="shared" si="100"/>
        <v>0</v>
      </c>
      <c r="AE275" s="233">
        <f t="shared" si="100"/>
        <v>0</v>
      </c>
      <c r="AF275" s="233">
        <f t="shared" si="100"/>
        <v>0</v>
      </c>
      <c r="AG275" s="233">
        <f t="shared" si="100"/>
        <v>0</v>
      </c>
    </row>
    <row r="276" spans="1:33" ht="17.25" customHeight="1" outlineLevel="2">
      <c r="A276" s="128"/>
      <c r="B276" s="708"/>
      <c r="C276" s="40" t="str">
        <f>$C$236</f>
        <v>Other Staff Expenses (manual input)</v>
      </c>
      <c r="D276" s="8" t="str">
        <f t="shared" ref="D276" si="101">Currency_Label</f>
        <v>USD</v>
      </c>
      <c r="E276" s="36"/>
      <c r="F276" s="36"/>
      <c r="G276" s="36"/>
      <c r="H276" s="36"/>
      <c r="I276" s="71">
        <f>SUMPRODUCT((J$6:AG$6),(J276:AG276))</f>
        <v>0</v>
      </c>
      <c r="J276" s="269"/>
      <c r="K276" s="269"/>
      <c r="L276" s="269"/>
      <c r="M276" s="269"/>
      <c r="N276" s="269"/>
      <c r="O276" s="269"/>
      <c r="P276" s="269"/>
      <c r="Q276" s="269"/>
      <c r="R276" s="269"/>
      <c r="S276" s="269"/>
      <c r="T276" s="269"/>
      <c r="U276" s="269"/>
      <c r="V276" s="269"/>
      <c r="W276" s="269"/>
      <c r="X276" s="269"/>
      <c r="Y276" s="269"/>
      <c r="Z276" s="269"/>
      <c r="AA276" s="269"/>
      <c r="AB276" s="269"/>
      <c r="AC276" s="269"/>
      <c r="AD276" s="269"/>
      <c r="AE276" s="269"/>
      <c r="AF276" s="269"/>
      <c r="AG276" s="269"/>
    </row>
    <row r="277" spans="1:33" ht="17.25" customHeight="1" outlineLevel="2">
      <c r="A277" s="128"/>
      <c r="B277" s="708"/>
      <c r="C277" s="75" t="str">
        <f>"   Subtotal "&amp;C274</f>
        <v xml:space="preserve">   Subtotal Spare Parts</v>
      </c>
      <c r="D277" s="8" t="str">
        <f>Currency_Label</f>
        <v>USD</v>
      </c>
      <c r="E277" s="36"/>
      <c r="F277" s="36"/>
      <c r="G277" s="36"/>
      <c r="H277" s="36"/>
      <c r="I277" s="71">
        <f>SUM(J277:AG277)</f>
        <v>0</v>
      </c>
      <c r="J277" s="129">
        <f t="shared" ref="J277:AG277" si="102">SUM(J275:J276)*J$6</f>
        <v>0</v>
      </c>
      <c r="K277" s="129">
        <f t="shared" si="102"/>
        <v>0</v>
      </c>
      <c r="L277" s="129">
        <f t="shared" si="102"/>
        <v>0</v>
      </c>
      <c r="M277" s="129">
        <f t="shared" si="102"/>
        <v>0</v>
      </c>
      <c r="N277" s="129">
        <f t="shared" si="102"/>
        <v>0</v>
      </c>
      <c r="O277" s="129">
        <f t="shared" si="102"/>
        <v>0</v>
      </c>
      <c r="P277" s="129">
        <f t="shared" si="102"/>
        <v>0</v>
      </c>
      <c r="Q277" s="129">
        <f t="shared" si="102"/>
        <v>0</v>
      </c>
      <c r="R277" s="129">
        <f t="shared" si="102"/>
        <v>0</v>
      </c>
      <c r="S277" s="129">
        <f t="shared" si="102"/>
        <v>0</v>
      </c>
      <c r="T277" s="129">
        <f t="shared" si="102"/>
        <v>0</v>
      </c>
      <c r="U277" s="129">
        <f t="shared" si="102"/>
        <v>0</v>
      </c>
      <c r="V277" s="129">
        <f t="shared" si="102"/>
        <v>0</v>
      </c>
      <c r="W277" s="129">
        <f t="shared" si="102"/>
        <v>0</v>
      </c>
      <c r="X277" s="129">
        <f t="shared" si="102"/>
        <v>0</v>
      </c>
      <c r="Y277" s="129">
        <f t="shared" si="102"/>
        <v>0</v>
      </c>
      <c r="Z277" s="129">
        <f t="shared" si="102"/>
        <v>0</v>
      </c>
      <c r="AA277" s="129">
        <f t="shared" si="102"/>
        <v>0</v>
      </c>
      <c r="AB277" s="129">
        <f t="shared" si="102"/>
        <v>0</v>
      </c>
      <c r="AC277" s="129">
        <f t="shared" si="102"/>
        <v>0</v>
      </c>
      <c r="AD277" s="129">
        <f t="shared" si="102"/>
        <v>0</v>
      </c>
      <c r="AE277" s="129">
        <f t="shared" si="102"/>
        <v>0</v>
      </c>
      <c r="AF277" s="129">
        <f t="shared" si="102"/>
        <v>0</v>
      </c>
      <c r="AG277" s="129">
        <f t="shared" si="102"/>
        <v>0</v>
      </c>
    </row>
    <row r="278" spans="1:33" ht="17.25" customHeight="1" outlineLevel="2">
      <c r="A278" s="128"/>
      <c r="B278" s="708"/>
      <c r="C278" s="128"/>
      <c r="D278" s="275"/>
      <c r="E278" s="128"/>
      <c r="F278" s="128"/>
      <c r="G278" s="128"/>
      <c r="H278" s="128"/>
      <c r="I278" s="332"/>
      <c r="J278" s="332"/>
      <c r="K278" s="332"/>
      <c r="L278" s="332"/>
      <c r="M278" s="332"/>
      <c r="N278" s="332"/>
      <c r="O278" s="332"/>
      <c r="P278" s="332"/>
      <c r="Q278" s="332"/>
      <c r="R278" s="332"/>
      <c r="S278" s="332"/>
      <c r="T278" s="332"/>
      <c r="U278" s="332"/>
      <c r="V278" s="332"/>
      <c r="W278" s="332"/>
      <c r="X278" s="332"/>
      <c r="Y278" s="332"/>
      <c r="Z278" s="332"/>
      <c r="AA278" s="332"/>
      <c r="AB278" s="332"/>
      <c r="AC278" s="332"/>
      <c r="AD278" s="332"/>
      <c r="AE278" s="332"/>
      <c r="AF278" s="332"/>
      <c r="AG278" s="332"/>
    </row>
    <row r="279" spans="1:33" ht="17.25" customHeight="1" outlineLevel="2">
      <c r="A279" s="128"/>
      <c r="B279" s="708">
        <f>B274+1</f>
        <v>10</v>
      </c>
      <c r="C279" s="331" t="str">
        <f>C76</f>
        <v>License Fees</v>
      </c>
      <c r="D279" s="275"/>
      <c r="E279" s="128"/>
      <c r="F279" s="128"/>
      <c r="G279" s="128"/>
      <c r="H279" s="128"/>
      <c r="I279" s="332"/>
      <c r="J279" s="332"/>
      <c r="K279" s="332"/>
      <c r="L279" s="332"/>
      <c r="M279" s="332"/>
      <c r="N279" s="332"/>
      <c r="O279" s="332"/>
      <c r="P279" s="332"/>
      <c r="Q279" s="332"/>
      <c r="R279" s="332"/>
      <c r="S279" s="332"/>
      <c r="T279" s="332"/>
      <c r="U279" s="332"/>
      <c r="V279" s="332"/>
      <c r="W279" s="332"/>
      <c r="X279" s="332"/>
      <c r="Y279" s="332"/>
      <c r="Z279" s="332"/>
      <c r="AA279" s="332"/>
      <c r="AB279" s="332"/>
      <c r="AC279" s="332"/>
      <c r="AD279" s="332"/>
      <c r="AE279" s="332"/>
      <c r="AF279" s="332"/>
      <c r="AG279" s="332"/>
    </row>
    <row r="280" spans="1:33" ht="17.25" customHeight="1" outlineLevel="2">
      <c r="A280" s="128"/>
      <c r="B280" s="708"/>
      <c r="C280" s="40" t="str">
        <f>$C$235</f>
        <v>Other Staff Expenses (automatic)</v>
      </c>
      <c r="D280" s="8" t="str">
        <f>Currency_Label</f>
        <v>USD</v>
      </c>
      <c r="E280" s="271"/>
      <c r="F280" s="412" t="s">
        <v>294</v>
      </c>
      <c r="G280" s="36"/>
      <c r="H280" s="36"/>
      <c r="I280" s="71">
        <f>SUMPRODUCT((J$6:AG$6),(J280:AG280))</f>
        <v>0</v>
      </c>
      <c r="J280" s="233">
        <f t="shared" ref="J280:AG280" si="103">$E280*J155</f>
        <v>0</v>
      </c>
      <c r="K280" s="233">
        <f t="shared" si="103"/>
        <v>0</v>
      </c>
      <c r="L280" s="233">
        <f t="shared" si="103"/>
        <v>0</v>
      </c>
      <c r="M280" s="233">
        <f t="shared" si="103"/>
        <v>0</v>
      </c>
      <c r="N280" s="233">
        <f t="shared" si="103"/>
        <v>0</v>
      </c>
      <c r="O280" s="233">
        <f t="shared" si="103"/>
        <v>0</v>
      </c>
      <c r="P280" s="233">
        <f t="shared" si="103"/>
        <v>0</v>
      </c>
      <c r="Q280" s="233">
        <f t="shared" si="103"/>
        <v>0</v>
      </c>
      <c r="R280" s="233">
        <f t="shared" si="103"/>
        <v>0</v>
      </c>
      <c r="S280" s="233">
        <f t="shared" si="103"/>
        <v>0</v>
      </c>
      <c r="T280" s="233">
        <f t="shared" si="103"/>
        <v>0</v>
      </c>
      <c r="U280" s="233">
        <f t="shared" si="103"/>
        <v>0</v>
      </c>
      <c r="V280" s="233">
        <f t="shared" si="103"/>
        <v>0</v>
      </c>
      <c r="W280" s="233">
        <f t="shared" si="103"/>
        <v>0</v>
      </c>
      <c r="X280" s="233">
        <f t="shared" si="103"/>
        <v>0</v>
      </c>
      <c r="Y280" s="233">
        <f t="shared" si="103"/>
        <v>0</v>
      </c>
      <c r="Z280" s="233">
        <f t="shared" si="103"/>
        <v>0</v>
      </c>
      <c r="AA280" s="233">
        <f t="shared" si="103"/>
        <v>0</v>
      </c>
      <c r="AB280" s="233">
        <f t="shared" si="103"/>
        <v>0</v>
      </c>
      <c r="AC280" s="233">
        <f t="shared" si="103"/>
        <v>0</v>
      </c>
      <c r="AD280" s="233">
        <f t="shared" si="103"/>
        <v>0</v>
      </c>
      <c r="AE280" s="233">
        <f t="shared" si="103"/>
        <v>0</v>
      </c>
      <c r="AF280" s="233">
        <f t="shared" si="103"/>
        <v>0</v>
      </c>
      <c r="AG280" s="233">
        <f t="shared" si="103"/>
        <v>0</v>
      </c>
    </row>
    <row r="281" spans="1:33" ht="17.25" customHeight="1" outlineLevel="2">
      <c r="A281" s="128"/>
      <c r="B281" s="708"/>
      <c r="C281" s="40" t="str">
        <f>$C$236</f>
        <v>Other Staff Expenses (manual input)</v>
      </c>
      <c r="D281" s="8" t="str">
        <f t="shared" ref="D281" si="104">Currency_Label</f>
        <v>USD</v>
      </c>
      <c r="E281" s="36"/>
      <c r="F281" s="36"/>
      <c r="G281" s="36"/>
      <c r="H281" s="36"/>
      <c r="I281" s="71">
        <f>SUMPRODUCT((J$6:AG$6),(J281:AG281))</f>
        <v>0</v>
      </c>
      <c r="J281" s="269"/>
      <c r="K281" s="269"/>
      <c r="L281" s="269">
        <v>0</v>
      </c>
      <c r="M281" s="269"/>
      <c r="N281" s="269"/>
      <c r="O281" s="269"/>
      <c r="P281" s="269"/>
      <c r="Q281" s="269"/>
      <c r="R281" s="269"/>
      <c r="S281" s="269"/>
      <c r="T281" s="269"/>
      <c r="U281" s="269"/>
      <c r="V281" s="269"/>
      <c r="W281" s="269"/>
      <c r="X281" s="269"/>
      <c r="Y281" s="269"/>
      <c r="Z281" s="269"/>
      <c r="AA281" s="269"/>
      <c r="AB281" s="269"/>
      <c r="AC281" s="269"/>
      <c r="AD281" s="269"/>
      <c r="AE281" s="269"/>
      <c r="AF281" s="269"/>
      <c r="AG281" s="269"/>
    </row>
    <row r="282" spans="1:33" ht="17.25" customHeight="1" outlineLevel="2">
      <c r="A282" s="128"/>
      <c r="B282" s="708"/>
      <c r="C282" s="75" t="str">
        <f>"   Subtotal "&amp;C279</f>
        <v xml:space="preserve">   Subtotal License Fees</v>
      </c>
      <c r="D282" s="8" t="str">
        <f>Currency_Label</f>
        <v>USD</v>
      </c>
      <c r="E282" s="36"/>
      <c r="F282" s="36"/>
      <c r="G282" s="36"/>
      <c r="H282" s="36"/>
      <c r="I282" s="71">
        <f>SUM(J282:AG282)</f>
        <v>0</v>
      </c>
      <c r="J282" s="129">
        <f t="shared" ref="J282:AG282" si="105">SUM(J280:J281)*J$6</f>
        <v>0</v>
      </c>
      <c r="K282" s="129">
        <f t="shared" si="105"/>
        <v>0</v>
      </c>
      <c r="L282" s="129">
        <f t="shared" si="105"/>
        <v>0</v>
      </c>
      <c r="M282" s="129">
        <f t="shared" si="105"/>
        <v>0</v>
      </c>
      <c r="N282" s="129">
        <f t="shared" si="105"/>
        <v>0</v>
      </c>
      <c r="O282" s="129">
        <f t="shared" si="105"/>
        <v>0</v>
      </c>
      <c r="P282" s="129">
        <f t="shared" si="105"/>
        <v>0</v>
      </c>
      <c r="Q282" s="129">
        <f t="shared" si="105"/>
        <v>0</v>
      </c>
      <c r="R282" s="129">
        <f t="shared" si="105"/>
        <v>0</v>
      </c>
      <c r="S282" s="129">
        <f t="shared" si="105"/>
        <v>0</v>
      </c>
      <c r="T282" s="129">
        <f t="shared" si="105"/>
        <v>0</v>
      </c>
      <c r="U282" s="129">
        <f t="shared" si="105"/>
        <v>0</v>
      </c>
      <c r="V282" s="129">
        <f t="shared" si="105"/>
        <v>0</v>
      </c>
      <c r="W282" s="129">
        <f t="shared" si="105"/>
        <v>0</v>
      </c>
      <c r="X282" s="129">
        <f t="shared" si="105"/>
        <v>0</v>
      </c>
      <c r="Y282" s="129">
        <f t="shared" si="105"/>
        <v>0</v>
      </c>
      <c r="Z282" s="129">
        <f t="shared" si="105"/>
        <v>0</v>
      </c>
      <c r="AA282" s="129">
        <f t="shared" si="105"/>
        <v>0</v>
      </c>
      <c r="AB282" s="129">
        <f t="shared" si="105"/>
        <v>0</v>
      </c>
      <c r="AC282" s="129">
        <f t="shared" si="105"/>
        <v>0</v>
      </c>
      <c r="AD282" s="129">
        <f t="shared" si="105"/>
        <v>0</v>
      </c>
      <c r="AE282" s="129">
        <f t="shared" si="105"/>
        <v>0</v>
      </c>
      <c r="AF282" s="129">
        <f t="shared" si="105"/>
        <v>0</v>
      </c>
      <c r="AG282" s="129">
        <f t="shared" si="105"/>
        <v>0</v>
      </c>
    </row>
    <row r="283" spans="1:33" ht="17.25" customHeight="1" outlineLevel="2">
      <c r="A283" s="128"/>
      <c r="B283" s="708"/>
      <c r="C283" s="128"/>
      <c r="D283" s="275"/>
      <c r="E283" s="128"/>
      <c r="F283" s="128"/>
      <c r="G283" s="128"/>
      <c r="H283" s="128"/>
      <c r="I283" s="332"/>
      <c r="J283" s="332"/>
      <c r="K283" s="332"/>
      <c r="L283" s="332"/>
      <c r="M283" s="332"/>
      <c r="N283" s="332"/>
      <c r="O283" s="332"/>
      <c r="P283" s="332"/>
      <c r="Q283" s="332"/>
      <c r="R283" s="332"/>
      <c r="S283" s="332"/>
      <c r="T283" s="332"/>
      <c r="U283" s="332"/>
      <c r="V283" s="332"/>
      <c r="W283" s="332"/>
      <c r="X283" s="332"/>
      <c r="Y283" s="332"/>
      <c r="Z283" s="332"/>
      <c r="AA283" s="332"/>
      <c r="AB283" s="332"/>
      <c r="AC283" s="332"/>
      <c r="AD283" s="332"/>
      <c r="AE283" s="332"/>
      <c r="AF283" s="332"/>
      <c r="AG283" s="332"/>
    </row>
    <row r="284" spans="1:33" ht="17.25" customHeight="1" outlineLevel="2" thickBot="1">
      <c r="A284" s="128"/>
      <c r="B284" s="128"/>
      <c r="C284" s="268" t="str">
        <f>CHOOSE(language,"Total Other Staff Costs","Total Other Staff Expenses")</f>
        <v>Total Other Staff Expenses</v>
      </c>
      <c r="D284" s="412" t="str">
        <f>Currency_Label</f>
        <v>USD</v>
      </c>
      <c r="E284" s="36"/>
      <c r="F284" s="36"/>
      <c r="G284" s="36"/>
      <c r="H284" s="36"/>
      <c r="I284" s="141">
        <f>SUM(J284:AG284)</f>
        <v>1759.1666666666674</v>
      </c>
      <c r="J284" s="711">
        <f t="shared" ref="J284:AG284" si="106">J237+J242+J247+J252+J257+J262+J267+J272+J277+J282</f>
        <v>83.333333333333343</v>
      </c>
      <c r="K284" s="711">
        <f t="shared" si="106"/>
        <v>83.333333333333343</v>
      </c>
      <c r="L284" s="711">
        <f t="shared" si="106"/>
        <v>83.333333333333343</v>
      </c>
      <c r="M284" s="711">
        <f t="shared" si="106"/>
        <v>83.333333333333343</v>
      </c>
      <c r="N284" s="711">
        <f t="shared" si="106"/>
        <v>83.333333333333343</v>
      </c>
      <c r="O284" s="711">
        <f t="shared" si="106"/>
        <v>83.333333333333343</v>
      </c>
      <c r="P284" s="711">
        <f t="shared" si="106"/>
        <v>83.333333333333343</v>
      </c>
      <c r="Q284" s="711">
        <f t="shared" si="106"/>
        <v>83.333333333333343</v>
      </c>
      <c r="R284" s="711">
        <f t="shared" si="106"/>
        <v>83.333333333333343</v>
      </c>
      <c r="S284" s="711">
        <f t="shared" si="106"/>
        <v>83.333333333333343</v>
      </c>
      <c r="T284" s="711">
        <f t="shared" si="106"/>
        <v>84.166666666666671</v>
      </c>
      <c r="U284" s="711">
        <f t="shared" si="106"/>
        <v>84.166666666666671</v>
      </c>
      <c r="V284" s="711">
        <f t="shared" si="106"/>
        <v>84.166666666666671</v>
      </c>
      <c r="W284" s="711">
        <f t="shared" si="106"/>
        <v>84.166666666666671</v>
      </c>
      <c r="X284" s="711">
        <f t="shared" si="106"/>
        <v>84.166666666666671</v>
      </c>
      <c r="Y284" s="711">
        <f t="shared" si="106"/>
        <v>84.166666666666671</v>
      </c>
      <c r="Z284" s="711">
        <f t="shared" si="106"/>
        <v>84.166666666666671</v>
      </c>
      <c r="AA284" s="711">
        <f t="shared" si="106"/>
        <v>84.166666666666671</v>
      </c>
      <c r="AB284" s="711">
        <f t="shared" si="106"/>
        <v>84.166666666666671</v>
      </c>
      <c r="AC284" s="711">
        <f t="shared" si="106"/>
        <v>84.166666666666671</v>
      </c>
      <c r="AD284" s="711">
        <f t="shared" si="106"/>
        <v>84.166666666666671</v>
      </c>
      <c r="AE284" s="711">
        <f t="shared" si="106"/>
        <v>0</v>
      </c>
      <c r="AF284" s="711">
        <f t="shared" si="106"/>
        <v>0</v>
      </c>
      <c r="AG284" s="711">
        <f t="shared" si="106"/>
        <v>0</v>
      </c>
    </row>
    <row r="285" spans="1:33" ht="17.25" customHeight="1" outlineLevel="2" thickTop="1">
      <c r="A285" s="128"/>
      <c r="B285" s="128"/>
      <c r="C285" s="128"/>
      <c r="D285" s="275"/>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row>
    <row r="286" spans="1:33" ht="17.25" customHeight="1" outlineLevel="2" thickBot="1">
      <c r="A286" s="128"/>
      <c r="B286" s="128"/>
      <c r="C286" s="268" t="str">
        <f>CHOOSE(language,"Total Direct Labour Costs","Total Direct Labor Costs")</f>
        <v>Total Direct Labor Costs</v>
      </c>
      <c r="D286" s="412" t="str">
        <f>Currency_Label</f>
        <v>USD</v>
      </c>
      <c r="E286" s="36"/>
      <c r="F286" s="36"/>
      <c r="G286" s="36"/>
      <c r="H286" s="36"/>
      <c r="I286" s="141">
        <f>SUM(J286:AG286)</f>
        <v>150592.5</v>
      </c>
      <c r="J286" s="712">
        <f t="shared" ref="J286:AG286" si="107">J157+J231+J284</f>
        <v>4250</v>
      </c>
      <c r="K286" s="712">
        <f t="shared" si="107"/>
        <v>4250</v>
      </c>
      <c r="L286" s="712">
        <f t="shared" si="107"/>
        <v>4250</v>
      </c>
      <c r="M286" s="712">
        <f t="shared" si="107"/>
        <v>4250</v>
      </c>
      <c r="N286" s="712">
        <f t="shared" si="107"/>
        <v>4250</v>
      </c>
      <c r="O286" s="712">
        <f t="shared" si="107"/>
        <v>4250</v>
      </c>
      <c r="P286" s="712">
        <f t="shared" si="107"/>
        <v>6333.333333333333</v>
      </c>
      <c r="Q286" s="712">
        <f t="shared" si="107"/>
        <v>8416.6666666666679</v>
      </c>
      <c r="R286" s="712">
        <f t="shared" si="107"/>
        <v>8416.6666666666679</v>
      </c>
      <c r="S286" s="712">
        <f t="shared" si="107"/>
        <v>8416.6666666666679</v>
      </c>
      <c r="T286" s="712">
        <f t="shared" si="107"/>
        <v>8500.8333333333321</v>
      </c>
      <c r="U286" s="712">
        <f t="shared" si="107"/>
        <v>8500.8333333333321</v>
      </c>
      <c r="V286" s="712">
        <f t="shared" si="107"/>
        <v>8500.8333333333321</v>
      </c>
      <c r="W286" s="712">
        <f t="shared" si="107"/>
        <v>8500.8333333333321</v>
      </c>
      <c r="X286" s="712">
        <f t="shared" si="107"/>
        <v>8500.8333333333321</v>
      </c>
      <c r="Y286" s="712">
        <f t="shared" si="107"/>
        <v>8500.8333333333321</v>
      </c>
      <c r="Z286" s="712">
        <f t="shared" si="107"/>
        <v>8500.8333333333321</v>
      </c>
      <c r="AA286" s="712">
        <f t="shared" si="107"/>
        <v>8500.8333333333321</v>
      </c>
      <c r="AB286" s="712">
        <f t="shared" si="107"/>
        <v>8500.8333333333321</v>
      </c>
      <c r="AC286" s="712">
        <f t="shared" si="107"/>
        <v>8500.8333333333321</v>
      </c>
      <c r="AD286" s="712">
        <f t="shared" si="107"/>
        <v>8500.8333333333321</v>
      </c>
      <c r="AE286" s="712">
        <f t="shared" si="107"/>
        <v>0</v>
      </c>
      <c r="AF286" s="712">
        <f t="shared" si="107"/>
        <v>0</v>
      </c>
      <c r="AG286" s="712">
        <f t="shared" si="107"/>
        <v>0</v>
      </c>
    </row>
    <row r="287" spans="1:33" s="911" customFormat="1" ht="17.25" customHeight="1" outlineLevel="2" thickTop="1">
      <c r="A287" s="128"/>
      <c r="B287" s="128"/>
      <c r="C287" s="128"/>
      <c r="D287" s="275"/>
      <c r="E287" s="128"/>
      <c r="F287" s="128"/>
      <c r="G287" s="128"/>
      <c r="H287" s="128"/>
      <c r="I287" s="128"/>
      <c r="J287" s="128"/>
      <c r="K287" s="128"/>
      <c r="L287" s="128"/>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row>
    <row r="288" spans="1:33" s="911" customFormat="1" ht="24" customHeight="1" outlineLevel="1">
      <c r="A288" s="128"/>
      <c r="B288" s="894"/>
      <c r="C288" s="279" t="str">
        <f>CHOOSE(language,"Direct Labour Costs per Product/Service","Direct Labor Costs per Product/Service")</f>
        <v>Direct Labor Costs per Product/Service</v>
      </c>
      <c r="D288" s="279"/>
      <c r="E288" s="128"/>
      <c r="F288" s="128"/>
      <c r="G288" s="128"/>
      <c r="H288" s="128"/>
      <c r="I288" s="128"/>
      <c r="J288" s="981"/>
      <c r="K288" s="128"/>
      <c r="L288" s="128"/>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row>
    <row r="289" spans="1:33" s="911" customFormat="1" ht="17.25" customHeight="1" outlineLevel="2">
      <c r="A289" s="128"/>
      <c r="B289" s="128"/>
      <c r="C289" s="24" t="str">
        <f>Product_01</f>
        <v>Desktops</v>
      </c>
      <c r="D289" s="8" t="str">
        <f t="shared" ref="D289:D299" si="108">Currency_Label</f>
        <v>USD</v>
      </c>
      <c r="E289" s="894"/>
      <c r="F289" s="894"/>
      <c r="G289" s="894"/>
      <c r="H289" s="894"/>
      <c r="I289" s="71">
        <f t="shared" ref="I289:I299" si="109">SUM(J289:AG289)</f>
        <v>45738.33333333335</v>
      </c>
      <c r="J289" s="695">
        <f t="shared" ref="J289:AG289" si="110">J92+J166+J237</f>
        <v>2166.666666666667</v>
      </c>
      <c r="K289" s="695">
        <f t="shared" si="110"/>
        <v>2166.666666666667</v>
      </c>
      <c r="L289" s="695">
        <f t="shared" si="110"/>
        <v>2166.666666666667</v>
      </c>
      <c r="M289" s="695">
        <f t="shared" si="110"/>
        <v>2166.666666666667</v>
      </c>
      <c r="N289" s="695">
        <f t="shared" si="110"/>
        <v>2166.666666666667</v>
      </c>
      <c r="O289" s="695">
        <f t="shared" si="110"/>
        <v>2166.666666666667</v>
      </c>
      <c r="P289" s="695">
        <f t="shared" si="110"/>
        <v>2166.666666666667</v>
      </c>
      <c r="Q289" s="695">
        <f t="shared" si="110"/>
        <v>2166.666666666667</v>
      </c>
      <c r="R289" s="695">
        <f t="shared" si="110"/>
        <v>2166.666666666667</v>
      </c>
      <c r="S289" s="695">
        <f t="shared" si="110"/>
        <v>2166.666666666667</v>
      </c>
      <c r="T289" s="695">
        <f t="shared" si="110"/>
        <v>2188.333333333333</v>
      </c>
      <c r="U289" s="695">
        <f t="shared" si="110"/>
        <v>2188.333333333333</v>
      </c>
      <c r="V289" s="695">
        <f t="shared" si="110"/>
        <v>2188.333333333333</v>
      </c>
      <c r="W289" s="695">
        <f t="shared" si="110"/>
        <v>2188.333333333333</v>
      </c>
      <c r="X289" s="695">
        <f t="shared" si="110"/>
        <v>2188.333333333333</v>
      </c>
      <c r="Y289" s="695">
        <f t="shared" si="110"/>
        <v>2188.333333333333</v>
      </c>
      <c r="Z289" s="695">
        <f t="shared" si="110"/>
        <v>2188.333333333333</v>
      </c>
      <c r="AA289" s="695">
        <f t="shared" si="110"/>
        <v>2188.333333333333</v>
      </c>
      <c r="AB289" s="695">
        <f t="shared" si="110"/>
        <v>2188.333333333333</v>
      </c>
      <c r="AC289" s="695">
        <f t="shared" si="110"/>
        <v>2188.333333333333</v>
      </c>
      <c r="AD289" s="695">
        <f t="shared" si="110"/>
        <v>2188.333333333333</v>
      </c>
      <c r="AE289" s="695">
        <f t="shared" si="110"/>
        <v>0</v>
      </c>
      <c r="AF289" s="695">
        <f t="shared" si="110"/>
        <v>0</v>
      </c>
      <c r="AG289" s="695">
        <f t="shared" si="110"/>
        <v>0</v>
      </c>
    </row>
    <row r="290" spans="1:33" s="911" customFormat="1" ht="17.25" customHeight="1" outlineLevel="2">
      <c r="A290" s="128"/>
      <c r="B290" s="128"/>
      <c r="C290" s="24" t="str">
        <f>Product_02</f>
        <v>Workstations</v>
      </c>
      <c r="D290" s="8" t="str">
        <f t="shared" si="108"/>
        <v>USD</v>
      </c>
      <c r="E290" s="894"/>
      <c r="F290" s="894"/>
      <c r="G290" s="894"/>
      <c r="H290" s="894"/>
      <c r="I290" s="71">
        <f t="shared" si="109"/>
        <v>31479.166666666675</v>
      </c>
      <c r="J290" s="695">
        <f t="shared" ref="J290:AG290" si="111">J99+J173+J242</f>
        <v>0</v>
      </c>
      <c r="K290" s="695">
        <f t="shared" si="111"/>
        <v>0</v>
      </c>
      <c r="L290" s="695">
        <f t="shared" si="111"/>
        <v>0</v>
      </c>
      <c r="M290" s="695">
        <f t="shared" si="111"/>
        <v>0</v>
      </c>
      <c r="N290" s="695">
        <f t="shared" si="111"/>
        <v>0</v>
      </c>
      <c r="O290" s="695">
        <f t="shared" si="111"/>
        <v>0</v>
      </c>
      <c r="P290" s="695">
        <f t="shared" si="111"/>
        <v>2083.3333333333335</v>
      </c>
      <c r="Q290" s="695">
        <f t="shared" si="111"/>
        <v>2083.3333333333335</v>
      </c>
      <c r="R290" s="695">
        <f t="shared" si="111"/>
        <v>2083.3333333333335</v>
      </c>
      <c r="S290" s="695">
        <f t="shared" si="111"/>
        <v>2083.3333333333335</v>
      </c>
      <c r="T290" s="695">
        <f t="shared" si="111"/>
        <v>2104.1666666666665</v>
      </c>
      <c r="U290" s="695">
        <f t="shared" si="111"/>
        <v>2104.1666666666665</v>
      </c>
      <c r="V290" s="695">
        <f t="shared" si="111"/>
        <v>2104.1666666666665</v>
      </c>
      <c r="W290" s="695">
        <f t="shared" si="111"/>
        <v>2104.1666666666665</v>
      </c>
      <c r="X290" s="695">
        <f t="shared" si="111"/>
        <v>2104.1666666666665</v>
      </c>
      <c r="Y290" s="695">
        <f t="shared" si="111"/>
        <v>2104.1666666666665</v>
      </c>
      <c r="Z290" s="695">
        <f t="shared" si="111"/>
        <v>2104.1666666666665</v>
      </c>
      <c r="AA290" s="695">
        <f t="shared" si="111"/>
        <v>2104.1666666666665</v>
      </c>
      <c r="AB290" s="695">
        <f t="shared" si="111"/>
        <v>2104.1666666666665</v>
      </c>
      <c r="AC290" s="695">
        <f t="shared" si="111"/>
        <v>2104.1666666666665</v>
      </c>
      <c r="AD290" s="695">
        <f t="shared" si="111"/>
        <v>2104.1666666666665</v>
      </c>
      <c r="AE290" s="695">
        <f t="shared" si="111"/>
        <v>0</v>
      </c>
      <c r="AF290" s="695">
        <f t="shared" si="111"/>
        <v>0</v>
      </c>
      <c r="AG290" s="695">
        <f t="shared" si="111"/>
        <v>0</v>
      </c>
    </row>
    <row r="291" spans="1:33" s="911" customFormat="1" ht="17.25" customHeight="1" outlineLevel="2">
      <c r="A291" s="128"/>
      <c r="B291" s="128"/>
      <c r="C291" s="24" t="str">
        <f>Product_03</f>
        <v>Notebooks</v>
      </c>
      <c r="D291" s="8" t="str">
        <f t="shared" si="108"/>
        <v>USD</v>
      </c>
      <c r="E291" s="894"/>
      <c r="F291" s="894"/>
      <c r="G291" s="894"/>
      <c r="H291" s="894"/>
      <c r="I291" s="71">
        <f t="shared" si="109"/>
        <v>0</v>
      </c>
      <c r="J291" s="695">
        <f t="shared" ref="J291:AG291" si="112">J106+J180+J247</f>
        <v>0</v>
      </c>
      <c r="K291" s="695">
        <f t="shared" si="112"/>
        <v>0</v>
      </c>
      <c r="L291" s="695">
        <f t="shared" si="112"/>
        <v>0</v>
      </c>
      <c r="M291" s="695">
        <f t="shared" si="112"/>
        <v>0</v>
      </c>
      <c r="N291" s="695">
        <f t="shared" si="112"/>
        <v>0</v>
      </c>
      <c r="O291" s="695">
        <f t="shared" si="112"/>
        <v>0</v>
      </c>
      <c r="P291" s="695">
        <f t="shared" si="112"/>
        <v>0</v>
      </c>
      <c r="Q291" s="695">
        <f t="shared" si="112"/>
        <v>0</v>
      </c>
      <c r="R291" s="695">
        <f t="shared" si="112"/>
        <v>0</v>
      </c>
      <c r="S291" s="695">
        <f t="shared" si="112"/>
        <v>0</v>
      </c>
      <c r="T291" s="695">
        <f t="shared" si="112"/>
        <v>0</v>
      </c>
      <c r="U291" s="695">
        <f t="shared" si="112"/>
        <v>0</v>
      </c>
      <c r="V291" s="695">
        <f t="shared" si="112"/>
        <v>0</v>
      </c>
      <c r="W291" s="695">
        <f t="shared" si="112"/>
        <v>0</v>
      </c>
      <c r="X291" s="695">
        <f t="shared" si="112"/>
        <v>0</v>
      </c>
      <c r="Y291" s="695">
        <f t="shared" si="112"/>
        <v>0</v>
      </c>
      <c r="Z291" s="695">
        <f t="shared" si="112"/>
        <v>0</v>
      </c>
      <c r="AA291" s="695">
        <f t="shared" si="112"/>
        <v>0</v>
      </c>
      <c r="AB291" s="695">
        <f t="shared" si="112"/>
        <v>0</v>
      </c>
      <c r="AC291" s="695">
        <f t="shared" si="112"/>
        <v>0</v>
      </c>
      <c r="AD291" s="695">
        <f t="shared" si="112"/>
        <v>0</v>
      </c>
      <c r="AE291" s="695">
        <f t="shared" si="112"/>
        <v>0</v>
      </c>
      <c r="AF291" s="695">
        <f t="shared" si="112"/>
        <v>0</v>
      </c>
      <c r="AG291" s="695">
        <f t="shared" si="112"/>
        <v>0</v>
      </c>
    </row>
    <row r="292" spans="1:33" s="911" customFormat="1" ht="17.25" customHeight="1" outlineLevel="2">
      <c r="A292" s="128"/>
      <c r="B292" s="128"/>
      <c r="C292" s="24" t="str">
        <f>Product_04</f>
        <v>Software Products</v>
      </c>
      <c r="D292" s="8" t="str">
        <f t="shared" si="108"/>
        <v>USD</v>
      </c>
      <c r="E292" s="894"/>
      <c r="F292" s="894"/>
      <c r="G292" s="894"/>
      <c r="H292" s="894"/>
      <c r="I292" s="71">
        <f t="shared" si="109"/>
        <v>0</v>
      </c>
      <c r="J292" s="695">
        <f t="shared" ref="J292:AG292" si="113">J113+J187+J252</f>
        <v>0</v>
      </c>
      <c r="K292" s="695">
        <f t="shared" si="113"/>
        <v>0</v>
      </c>
      <c r="L292" s="695">
        <f t="shared" si="113"/>
        <v>0</v>
      </c>
      <c r="M292" s="695">
        <f t="shared" si="113"/>
        <v>0</v>
      </c>
      <c r="N292" s="695">
        <f t="shared" si="113"/>
        <v>0</v>
      </c>
      <c r="O292" s="695">
        <f t="shared" si="113"/>
        <v>0</v>
      </c>
      <c r="P292" s="695">
        <f t="shared" si="113"/>
        <v>0</v>
      </c>
      <c r="Q292" s="695">
        <f t="shared" si="113"/>
        <v>0</v>
      </c>
      <c r="R292" s="695">
        <f t="shared" si="113"/>
        <v>0</v>
      </c>
      <c r="S292" s="695">
        <f t="shared" si="113"/>
        <v>0</v>
      </c>
      <c r="T292" s="695">
        <f t="shared" si="113"/>
        <v>0</v>
      </c>
      <c r="U292" s="695">
        <f t="shared" si="113"/>
        <v>0</v>
      </c>
      <c r="V292" s="695">
        <f t="shared" si="113"/>
        <v>0</v>
      </c>
      <c r="W292" s="695">
        <f t="shared" si="113"/>
        <v>0</v>
      </c>
      <c r="X292" s="695">
        <f t="shared" si="113"/>
        <v>0</v>
      </c>
      <c r="Y292" s="695">
        <f t="shared" si="113"/>
        <v>0</v>
      </c>
      <c r="Z292" s="695">
        <f t="shared" si="113"/>
        <v>0</v>
      </c>
      <c r="AA292" s="695">
        <f t="shared" si="113"/>
        <v>0</v>
      </c>
      <c r="AB292" s="695">
        <f t="shared" si="113"/>
        <v>0</v>
      </c>
      <c r="AC292" s="695">
        <f t="shared" si="113"/>
        <v>0</v>
      </c>
      <c r="AD292" s="695">
        <f t="shared" si="113"/>
        <v>0</v>
      </c>
      <c r="AE292" s="695">
        <f t="shared" si="113"/>
        <v>0</v>
      </c>
      <c r="AF292" s="695">
        <f t="shared" si="113"/>
        <v>0</v>
      </c>
      <c r="AG292" s="695">
        <f t="shared" si="113"/>
        <v>0</v>
      </c>
    </row>
    <row r="293" spans="1:33" s="911" customFormat="1" ht="17.25" customHeight="1" outlineLevel="2">
      <c r="A293" s="128"/>
      <c r="B293" s="128"/>
      <c r="C293" s="24" t="str">
        <f>Product_05</f>
        <v>Net work infrastructure solutions</v>
      </c>
      <c r="D293" s="8" t="str">
        <f t="shared" si="108"/>
        <v>USD</v>
      </c>
      <c r="E293" s="894"/>
      <c r="F293" s="894"/>
      <c r="G293" s="894"/>
      <c r="H293" s="894"/>
      <c r="I293" s="71">
        <f t="shared" si="109"/>
        <v>0</v>
      </c>
      <c r="J293" s="695">
        <f t="shared" ref="J293:AG293" si="114">J120+J194+J257</f>
        <v>0</v>
      </c>
      <c r="K293" s="695">
        <f t="shared" si="114"/>
        <v>0</v>
      </c>
      <c r="L293" s="695">
        <f t="shared" si="114"/>
        <v>0</v>
      </c>
      <c r="M293" s="695">
        <f t="shared" si="114"/>
        <v>0</v>
      </c>
      <c r="N293" s="695">
        <f t="shared" si="114"/>
        <v>0</v>
      </c>
      <c r="O293" s="695">
        <f t="shared" si="114"/>
        <v>0</v>
      </c>
      <c r="P293" s="695">
        <f t="shared" si="114"/>
        <v>0</v>
      </c>
      <c r="Q293" s="695">
        <f t="shared" si="114"/>
        <v>0</v>
      </c>
      <c r="R293" s="695">
        <f t="shared" si="114"/>
        <v>0</v>
      </c>
      <c r="S293" s="695">
        <f t="shared" si="114"/>
        <v>0</v>
      </c>
      <c r="T293" s="695">
        <f t="shared" si="114"/>
        <v>0</v>
      </c>
      <c r="U293" s="695">
        <f t="shared" si="114"/>
        <v>0</v>
      </c>
      <c r="V293" s="695">
        <f t="shared" si="114"/>
        <v>0</v>
      </c>
      <c r="W293" s="695">
        <f t="shared" si="114"/>
        <v>0</v>
      </c>
      <c r="X293" s="695">
        <f t="shared" si="114"/>
        <v>0</v>
      </c>
      <c r="Y293" s="695">
        <f t="shared" si="114"/>
        <v>0</v>
      </c>
      <c r="Z293" s="695">
        <f t="shared" si="114"/>
        <v>0</v>
      </c>
      <c r="AA293" s="695">
        <f t="shared" si="114"/>
        <v>0</v>
      </c>
      <c r="AB293" s="695">
        <f t="shared" si="114"/>
        <v>0</v>
      </c>
      <c r="AC293" s="695">
        <f t="shared" si="114"/>
        <v>0</v>
      </c>
      <c r="AD293" s="695">
        <f t="shared" si="114"/>
        <v>0</v>
      </c>
      <c r="AE293" s="695">
        <f t="shared" si="114"/>
        <v>0</v>
      </c>
      <c r="AF293" s="695">
        <f t="shared" si="114"/>
        <v>0</v>
      </c>
      <c r="AG293" s="695">
        <f t="shared" si="114"/>
        <v>0</v>
      </c>
    </row>
    <row r="294" spans="1:33" s="911" customFormat="1" ht="17.25" customHeight="1" outlineLevel="2">
      <c r="A294" s="128"/>
      <c r="B294" s="128"/>
      <c r="C294" s="24" t="str">
        <f>Product_06</f>
        <v>Repair Services</v>
      </c>
      <c r="D294" s="8" t="str">
        <f t="shared" si="108"/>
        <v>USD</v>
      </c>
      <c r="E294" s="894"/>
      <c r="F294" s="894"/>
      <c r="G294" s="894"/>
      <c r="H294" s="894"/>
      <c r="I294" s="71">
        <f t="shared" si="109"/>
        <v>73375.000000000015</v>
      </c>
      <c r="J294" s="695">
        <f t="shared" ref="J294:AG294" si="115">J127+J201+J262</f>
        <v>2083.3333333333335</v>
      </c>
      <c r="K294" s="695">
        <f t="shared" si="115"/>
        <v>2083.3333333333335</v>
      </c>
      <c r="L294" s="695">
        <f t="shared" si="115"/>
        <v>2083.3333333333335</v>
      </c>
      <c r="M294" s="695">
        <f t="shared" si="115"/>
        <v>2083.3333333333335</v>
      </c>
      <c r="N294" s="695">
        <f t="shared" si="115"/>
        <v>2083.3333333333335</v>
      </c>
      <c r="O294" s="695">
        <f t="shared" si="115"/>
        <v>2083.3333333333335</v>
      </c>
      <c r="P294" s="695">
        <f t="shared" si="115"/>
        <v>2083.3333333333335</v>
      </c>
      <c r="Q294" s="695">
        <f t="shared" si="115"/>
        <v>4166.666666666667</v>
      </c>
      <c r="R294" s="695">
        <f t="shared" si="115"/>
        <v>4166.666666666667</v>
      </c>
      <c r="S294" s="695">
        <f t="shared" si="115"/>
        <v>4166.666666666667</v>
      </c>
      <c r="T294" s="695">
        <f t="shared" si="115"/>
        <v>4208.333333333333</v>
      </c>
      <c r="U294" s="695">
        <f t="shared" si="115"/>
        <v>4208.333333333333</v>
      </c>
      <c r="V294" s="695">
        <f t="shared" si="115"/>
        <v>4208.333333333333</v>
      </c>
      <c r="W294" s="695">
        <f t="shared" si="115"/>
        <v>4208.333333333333</v>
      </c>
      <c r="X294" s="695">
        <f t="shared" si="115"/>
        <v>4208.333333333333</v>
      </c>
      <c r="Y294" s="695">
        <f t="shared" si="115"/>
        <v>4208.333333333333</v>
      </c>
      <c r="Z294" s="695">
        <f t="shared" si="115"/>
        <v>4208.333333333333</v>
      </c>
      <c r="AA294" s="695">
        <f t="shared" si="115"/>
        <v>4208.333333333333</v>
      </c>
      <c r="AB294" s="695">
        <f t="shared" si="115"/>
        <v>4208.333333333333</v>
      </c>
      <c r="AC294" s="695">
        <f t="shared" si="115"/>
        <v>4208.333333333333</v>
      </c>
      <c r="AD294" s="695">
        <f t="shared" si="115"/>
        <v>4208.333333333333</v>
      </c>
      <c r="AE294" s="695">
        <f t="shared" si="115"/>
        <v>0</v>
      </c>
      <c r="AF294" s="695">
        <f t="shared" si="115"/>
        <v>0</v>
      </c>
      <c r="AG294" s="695">
        <f t="shared" si="115"/>
        <v>0</v>
      </c>
    </row>
    <row r="295" spans="1:33" s="911" customFormat="1" ht="17.25" customHeight="1" outlineLevel="2">
      <c r="A295" s="128"/>
      <c r="B295" s="128"/>
      <c r="C295" s="24" t="str">
        <f>Product_07</f>
        <v>Integration Services</v>
      </c>
      <c r="D295" s="8" t="str">
        <f t="shared" si="108"/>
        <v>USD</v>
      </c>
      <c r="E295" s="894"/>
      <c r="F295" s="894"/>
      <c r="G295" s="894"/>
      <c r="H295" s="894"/>
      <c r="I295" s="71">
        <f t="shared" si="109"/>
        <v>0</v>
      </c>
      <c r="J295" s="695">
        <f t="shared" ref="J295:AG295" si="116">J134+J208+J267</f>
        <v>0</v>
      </c>
      <c r="K295" s="695">
        <f t="shared" si="116"/>
        <v>0</v>
      </c>
      <c r="L295" s="695">
        <f t="shared" si="116"/>
        <v>0</v>
      </c>
      <c r="M295" s="695">
        <f t="shared" si="116"/>
        <v>0</v>
      </c>
      <c r="N295" s="695">
        <f t="shared" si="116"/>
        <v>0</v>
      </c>
      <c r="O295" s="695">
        <f t="shared" si="116"/>
        <v>0</v>
      </c>
      <c r="P295" s="695">
        <f t="shared" si="116"/>
        <v>0</v>
      </c>
      <c r="Q295" s="695">
        <f t="shared" si="116"/>
        <v>0</v>
      </c>
      <c r="R295" s="695">
        <f t="shared" si="116"/>
        <v>0</v>
      </c>
      <c r="S295" s="695">
        <f t="shared" si="116"/>
        <v>0</v>
      </c>
      <c r="T295" s="695">
        <f t="shared" si="116"/>
        <v>0</v>
      </c>
      <c r="U295" s="695">
        <f t="shared" si="116"/>
        <v>0</v>
      </c>
      <c r="V295" s="695">
        <f t="shared" si="116"/>
        <v>0</v>
      </c>
      <c r="W295" s="695">
        <f t="shared" si="116"/>
        <v>0</v>
      </c>
      <c r="X295" s="695">
        <f t="shared" si="116"/>
        <v>0</v>
      </c>
      <c r="Y295" s="695">
        <f t="shared" si="116"/>
        <v>0</v>
      </c>
      <c r="Z295" s="695">
        <f t="shared" si="116"/>
        <v>0</v>
      </c>
      <c r="AA295" s="695">
        <f t="shared" si="116"/>
        <v>0</v>
      </c>
      <c r="AB295" s="695">
        <f t="shared" si="116"/>
        <v>0</v>
      </c>
      <c r="AC295" s="695">
        <f t="shared" si="116"/>
        <v>0</v>
      </c>
      <c r="AD295" s="695">
        <f t="shared" si="116"/>
        <v>0</v>
      </c>
      <c r="AE295" s="695">
        <f t="shared" si="116"/>
        <v>0</v>
      </c>
      <c r="AF295" s="695">
        <f t="shared" si="116"/>
        <v>0</v>
      </c>
      <c r="AG295" s="695">
        <f t="shared" si="116"/>
        <v>0</v>
      </c>
    </row>
    <row r="296" spans="1:33" s="911" customFormat="1" ht="17.25" customHeight="1" outlineLevel="2">
      <c r="A296" s="128"/>
      <c r="B296" s="128"/>
      <c r="C296" s="24" t="str">
        <f>Product_08</f>
        <v>Consulting Services</v>
      </c>
      <c r="D296" s="8" t="str">
        <f t="shared" si="108"/>
        <v>USD</v>
      </c>
      <c r="E296" s="894"/>
      <c r="F296" s="894"/>
      <c r="G296" s="894"/>
      <c r="H296" s="894"/>
      <c r="I296" s="71">
        <f t="shared" si="109"/>
        <v>0</v>
      </c>
      <c r="J296" s="695">
        <f t="shared" ref="J296:AG296" si="117">J141+J215+J272</f>
        <v>0</v>
      </c>
      <c r="K296" s="695">
        <f t="shared" si="117"/>
        <v>0</v>
      </c>
      <c r="L296" s="695">
        <f t="shared" si="117"/>
        <v>0</v>
      </c>
      <c r="M296" s="695">
        <f t="shared" si="117"/>
        <v>0</v>
      </c>
      <c r="N296" s="695">
        <f t="shared" si="117"/>
        <v>0</v>
      </c>
      <c r="O296" s="695">
        <f t="shared" si="117"/>
        <v>0</v>
      </c>
      <c r="P296" s="695">
        <f t="shared" si="117"/>
        <v>0</v>
      </c>
      <c r="Q296" s="695">
        <f t="shared" si="117"/>
        <v>0</v>
      </c>
      <c r="R296" s="695">
        <f t="shared" si="117"/>
        <v>0</v>
      </c>
      <c r="S296" s="695">
        <f t="shared" si="117"/>
        <v>0</v>
      </c>
      <c r="T296" s="695">
        <f t="shared" si="117"/>
        <v>0</v>
      </c>
      <c r="U296" s="695">
        <f t="shared" si="117"/>
        <v>0</v>
      </c>
      <c r="V296" s="695">
        <f t="shared" si="117"/>
        <v>0</v>
      </c>
      <c r="W296" s="695">
        <f t="shared" si="117"/>
        <v>0</v>
      </c>
      <c r="X296" s="695">
        <f t="shared" si="117"/>
        <v>0</v>
      </c>
      <c r="Y296" s="695">
        <f t="shared" si="117"/>
        <v>0</v>
      </c>
      <c r="Z296" s="695">
        <f t="shared" si="117"/>
        <v>0</v>
      </c>
      <c r="AA296" s="695">
        <f t="shared" si="117"/>
        <v>0</v>
      </c>
      <c r="AB296" s="695">
        <f t="shared" si="117"/>
        <v>0</v>
      </c>
      <c r="AC296" s="695">
        <f t="shared" si="117"/>
        <v>0</v>
      </c>
      <c r="AD296" s="695">
        <f t="shared" si="117"/>
        <v>0</v>
      </c>
      <c r="AE296" s="695">
        <f t="shared" si="117"/>
        <v>0</v>
      </c>
      <c r="AF296" s="695">
        <f t="shared" si="117"/>
        <v>0</v>
      </c>
      <c r="AG296" s="695">
        <f t="shared" si="117"/>
        <v>0</v>
      </c>
    </row>
    <row r="297" spans="1:33" s="911" customFormat="1" ht="17.25" customHeight="1" outlineLevel="2">
      <c r="A297" s="128"/>
      <c r="B297" s="128"/>
      <c r="C297" s="24" t="str">
        <f>Product_09</f>
        <v>Spare Parts</v>
      </c>
      <c r="D297" s="8" t="str">
        <f t="shared" si="108"/>
        <v>USD</v>
      </c>
      <c r="E297" s="894"/>
      <c r="F297" s="894"/>
      <c r="G297" s="894"/>
      <c r="H297" s="894"/>
      <c r="I297" s="71">
        <f t="shared" si="109"/>
        <v>0</v>
      </c>
      <c r="J297" s="695">
        <f t="shared" ref="J297:AG297" si="118">J148+J222+J277</f>
        <v>0</v>
      </c>
      <c r="K297" s="695">
        <f t="shared" si="118"/>
        <v>0</v>
      </c>
      <c r="L297" s="695">
        <f t="shared" si="118"/>
        <v>0</v>
      </c>
      <c r="M297" s="695">
        <f t="shared" si="118"/>
        <v>0</v>
      </c>
      <c r="N297" s="695">
        <f t="shared" si="118"/>
        <v>0</v>
      </c>
      <c r="O297" s="695">
        <f t="shared" si="118"/>
        <v>0</v>
      </c>
      <c r="P297" s="695">
        <f t="shared" si="118"/>
        <v>0</v>
      </c>
      <c r="Q297" s="695">
        <f t="shared" si="118"/>
        <v>0</v>
      </c>
      <c r="R297" s="695">
        <f t="shared" si="118"/>
        <v>0</v>
      </c>
      <c r="S297" s="695">
        <f t="shared" si="118"/>
        <v>0</v>
      </c>
      <c r="T297" s="695">
        <f t="shared" si="118"/>
        <v>0</v>
      </c>
      <c r="U297" s="695">
        <f t="shared" si="118"/>
        <v>0</v>
      </c>
      <c r="V297" s="695">
        <f t="shared" si="118"/>
        <v>0</v>
      </c>
      <c r="W297" s="695">
        <f t="shared" si="118"/>
        <v>0</v>
      </c>
      <c r="X297" s="695">
        <f t="shared" si="118"/>
        <v>0</v>
      </c>
      <c r="Y297" s="695">
        <f t="shared" si="118"/>
        <v>0</v>
      </c>
      <c r="Z297" s="695">
        <f t="shared" si="118"/>
        <v>0</v>
      </c>
      <c r="AA297" s="695">
        <f t="shared" si="118"/>
        <v>0</v>
      </c>
      <c r="AB297" s="695">
        <f t="shared" si="118"/>
        <v>0</v>
      </c>
      <c r="AC297" s="695">
        <f t="shared" si="118"/>
        <v>0</v>
      </c>
      <c r="AD297" s="695">
        <f t="shared" si="118"/>
        <v>0</v>
      </c>
      <c r="AE297" s="695">
        <f t="shared" si="118"/>
        <v>0</v>
      </c>
      <c r="AF297" s="695">
        <f t="shared" si="118"/>
        <v>0</v>
      </c>
      <c r="AG297" s="695">
        <f t="shared" si="118"/>
        <v>0</v>
      </c>
    </row>
    <row r="298" spans="1:33" s="911" customFormat="1" ht="17.25" customHeight="1" outlineLevel="2">
      <c r="A298" s="128"/>
      <c r="B298" s="128"/>
      <c r="C298" s="24" t="str">
        <f>Product_10</f>
        <v>License Fees</v>
      </c>
      <c r="D298" s="8" t="str">
        <f t="shared" si="108"/>
        <v>USD</v>
      </c>
      <c r="E298" s="894"/>
      <c r="F298" s="894"/>
      <c r="G298" s="894"/>
      <c r="H298" s="894"/>
      <c r="I298" s="71">
        <f t="shared" si="109"/>
        <v>0</v>
      </c>
      <c r="J298" s="695">
        <f t="shared" ref="J298:AG298" si="119">J155+J229+J282</f>
        <v>0</v>
      </c>
      <c r="K298" s="695">
        <f t="shared" si="119"/>
        <v>0</v>
      </c>
      <c r="L298" s="695">
        <f t="shared" si="119"/>
        <v>0</v>
      </c>
      <c r="M298" s="695">
        <f t="shared" si="119"/>
        <v>0</v>
      </c>
      <c r="N298" s="695">
        <f t="shared" si="119"/>
        <v>0</v>
      </c>
      <c r="O298" s="695">
        <f t="shared" si="119"/>
        <v>0</v>
      </c>
      <c r="P298" s="695">
        <f t="shared" si="119"/>
        <v>0</v>
      </c>
      <c r="Q298" s="695">
        <f t="shared" si="119"/>
        <v>0</v>
      </c>
      <c r="R298" s="695">
        <f t="shared" si="119"/>
        <v>0</v>
      </c>
      <c r="S298" s="695">
        <f t="shared" si="119"/>
        <v>0</v>
      </c>
      <c r="T298" s="695">
        <f t="shared" si="119"/>
        <v>0</v>
      </c>
      <c r="U298" s="695">
        <f t="shared" si="119"/>
        <v>0</v>
      </c>
      <c r="V298" s="695">
        <f t="shared" si="119"/>
        <v>0</v>
      </c>
      <c r="W298" s="695">
        <f t="shared" si="119"/>
        <v>0</v>
      </c>
      <c r="X298" s="695">
        <f t="shared" si="119"/>
        <v>0</v>
      </c>
      <c r="Y298" s="695">
        <f t="shared" si="119"/>
        <v>0</v>
      </c>
      <c r="Z298" s="695">
        <f t="shared" si="119"/>
        <v>0</v>
      </c>
      <c r="AA298" s="695">
        <f t="shared" si="119"/>
        <v>0</v>
      </c>
      <c r="AB298" s="695">
        <f t="shared" si="119"/>
        <v>0</v>
      </c>
      <c r="AC298" s="695">
        <f t="shared" si="119"/>
        <v>0</v>
      </c>
      <c r="AD298" s="695">
        <f t="shared" si="119"/>
        <v>0</v>
      </c>
      <c r="AE298" s="695">
        <f t="shared" si="119"/>
        <v>0</v>
      </c>
      <c r="AF298" s="695">
        <f t="shared" si="119"/>
        <v>0</v>
      </c>
      <c r="AG298" s="695">
        <f t="shared" si="119"/>
        <v>0</v>
      </c>
    </row>
    <row r="299" spans="1:33" s="911" customFormat="1" ht="17.25" customHeight="1" outlineLevel="2" thickBot="1">
      <c r="A299" s="128"/>
      <c r="B299" s="128"/>
      <c r="C299" s="268" t="str">
        <f>CHOOSE(language,"Total Direct Labour Costs","Total Direct Labor Costs")</f>
        <v>Total Direct Labor Costs</v>
      </c>
      <c r="D299" s="8" t="str">
        <f t="shared" si="108"/>
        <v>USD</v>
      </c>
      <c r="E299" s="8"/>
      <c r="F299" s="652" t="s">
        <v>216</v>
      </c>
      <c r="G299" s="685">
        <f>J286-J299</f>
        <v>0</v>
      </c>
      <c r="H299" s="8"/>
      <c r="I299" s="141">
        <f t="shared" si="109"/>
        <v>150592.5</v>
      </c>
      <c r="J299" s="524">
        <f t="shared" ref="J299:AG299" si="120">SUM(J289:J298)*J6</f>
        <v>4250</v>
      </c>
      <c r="K299" s="524">
        <f t="shared" si="120"/>
        <v>4250</v>
      </c>
      <c r="L299" s="524">
        <f t="shared" si="120"/>
        <v>4250</v>
      </c>
      <c r="M299" s="524">
        <f t="shared" si="120"/>
        <v>4250</v>
      </c>
      <c r="N299" s="524">
        <f t="shared" si="120"/>
        <v>4250</v>
      </c>
      <c r="O299" s="524">
        <f t="shared" si="120"/>
        <v>4250</v>
      </c>
      <c r="P299" s="524">
        <f t="shared" si="120"/>
        <v>6333.3333333333339</v>
      </c>
      <c r="Q299" s="524">
        <f t="shared" si="120"/>
        <v>8416.6666666666679</v>
      </c>
      <c r="R299" s="524">
        <f t="shared" si="120"/>
        <v>8416.6666666666679</v>
      </c>
      <c r="S299" s="524">
        <f t="shared" si="120"/>
        <v>8416.6666666666679</v>
      </c>
      <c r="T299" s="524">
        <f t="shared" si="120"/>
        <v>8500.8333333333321</v>
      </c>
      <c r="U299" s="524">
        <f t="shared" si="120"/>
        <v>8500.8333333333321</v>
      </c>
      <c r="V299" s="524">
        <f t="shared" si="120"/>
        <v>8500.8333333333321</v>
      </c>
      <c r="W299" s="524">
        <f t="shared" si="120"/>
        <v>8500.8333333333321</v>
      </c>
      <c r="X299" s="524">
        <f t="shared" si="120"/>
        <v>8500.8333333333321</v>
      </c>
      <c r="Y299" s="524">
        <f t="shared" si="120"/>
        <v>8500.8333333333321</v>
      </c>
      <c r="Z299" s="524">
        <f t="shared" si="120"/>
        <v>8500.8333333333321</v>
      </c>
      <c r="AA299" s="524">
        <f t="shared" si="120"/>
        <v>8500.8333333333321</v>
      </c>
      <c r="AB299" s="524">
        <f t="shared" si="120"/>
        <v>8500.8333333333321</v>
      </c>
      <c r="AC299" s="524">
        <f t="shared" si="120"/>
        <v>8500.8333333333321</v>
      </c>
      <c r="AD299" s="524">
        <f t="shared" si="120"/>
        <v>8500.8333333333321</v>
      </c>
      <c r="AE299" s="524">
        <f t="shared" si="120"/>
        <v>0</v>
      </c>
      <c r="AF299" s="524">
        <f t="shared" si="120"/>
        <v>0</v>
      </c>
      <c r="AG299" s="524">
        <f t="shared" si="120"/>
        <v>0</v>
      </c>
    </row>
    <row r="300" spans="1:33" ht="17.25" customHeight="1" outlineLevel="1" thickTop="1">
      <c r="A300" s="128"/>
      <c r="B300" s="128"/>
      <c r="C300" s="128"/>
      <c r="D300" s="275"/>
      <c r="E300" s="128"/>
      <c r="F300" s="128"/>
      <c r="G300" s="128"/>
      <c r="H300" s="128"/>
      <c r="I300" s="128"/>
      <c r="J300" s="128"/>
      <c r="K300" s="128"/>
      <c r="L300" s="128"/>
      <c r="M300" s="287"/>
      <c r="N300" s="287"/>
      <c r="O300" s="287"/>
      <c r="P300" s="287"/>
      <c r="Q300" s="287"/>
      <c r="R300" s="287"/>
      <c r="S300" s="287"/>
      <c r="T300" s="287"/>
      <c r="U300" s="287"/>
      <c r="V300" s="287"/>
      <c r="W300" s="287"/>
      <c r="X300" s="287"/>
      <c r="Y300" s="287"/>
      <c r="Z300" s="287"/>
      <c r="AA300" s="287"/>
      <c r="AB300" s="287"/>
      <c r="AC300" s="287"/>
      <c r="AD300" s="287"/>
      <c r="AE300" s="287"/>
      <c r="AF300" s="287"/>
      <c r="AG300" s="287"/>
    </row>
    <row r="301" spans="1:33" ht="29.25" customHeight="1" thickBot="1">
      <c r="A301" s="323"/>
      <c r="B301" s="323"/>
      <c r="C301" s="323" t="str">
        <f>CHOOSE(language,"Operational Costs","Operational Expenses")</f>
        <v>Operational Expenses</v>
      </c>
      <c r="D301" s="323"/>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c r="AD301" s="323"/>
      <c r="AE301" s="323"/>
      <c r="AF301" s="323"/>
      <c r="AG301" s="323"/>
    </row>
    <row r="302" spans="1:33" ht="17.25" customHeight="1" outlineLevel="1">
      <c r="A302" s="894"/>
      <c r="B302" s="287"/>
      <c r="C302" s="275" t="str">
        <f>CHOOSE(language,"Only direct/variable costs here (irrespective of type of business)","Only direct/variable expenses here (irrespective of type of business)")</f>
        <v>Only direct/variable expenses here (irrespective of type of business)</v>
      </c>
      <c r="D302" s="287"/>
      <c r="E302" s="287"/>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E302" s="287"/>
      <c r="AF302" s="287"/>
      <c r="AG302" s="287"/>
    </row>
    <row r="303" spans="1:33" ht="17.25" customHeight="1" outlineLevel="1">
      <c r="A303" s="894"/>
      <c r="B303" s="279">
        <v>1</v>
      </c>
      <c r="C303" s="279" t="s">
        <v>292</v>
      </c>
      <c r="D303" s="342"/>
      <c r="E303" s="287"/>
      <c r="F303" s="691" t="s">
        <v>302</v>
      </c>
      <c r="G303" s="275" t="s">
        <v>303</v>
      </c>
      <c r="H303" s="287"/>
      <c r="I303" s="517"/>
      <c r="J303" s="343"/>
      <c r="K303" s="287"/>
      <c r="L303" s="287"/>
      <c r="M303" s="287"/>
      <c r="N303" s="287"/>
      <c r="O303" s="287"/>
      <c r="P303" s="287"/>
      <c r="Q303" s="287"/>
      <c r="R303" s="287"/>
      <c r="S303" s="287"/>
      <c r="T303" s="287"/>
      <c r="U303" s="287"/>
      <c r="V303" s="287"/>
      <c r="W303" s="287"/>
      <c r="X303" s="287"/>
      <c r="Y303" s="287"/>
      <c r="Z303" s="287"/>
      <c r="AA303" s="287"/>
      <c r="AB303" s="287"/>
      <c r="AC303" s="287"/>
      <c r="AD303" s="287"/>
      <c r="AE303" s="287"/>
      <c r="AF303" s="287"/>
      <c r="AG303" s="287"/>
    </row>
    <row r="304" spans="1:33" ht="17.25" customHeight="1" outlineLevel="2">
      <c r="A304" s="894"/>
      <c r="B304" s="287"/>
      <c r="C304" s="24" t="str">
        <f>Product_01</f>
        <v>Desktops</v>
      </c>
      <c r="D304" s="8" t="str">
        <f t="shared" ref="D304:D314" si="121">Currency_Label</f>
        <v>USD</v>
      </c>
      <c r="E304" s="287"/>
      <c r="F304" s="85">
        <f>Inputs!H28</f>
        <v>0</v>
      </c>
      <c r="G304" s="287"/>
      <c r="H304" s="287"/>
      <c r="I304" s="71">
        <f t="shared" ref="I304:I314" si="122">SUM(J304:AG304)</f>
        <v>0</v>
      </c>
      <c r="J304" s="695">
        <f>$F304*Sales!J70</f>
        <v>0</v>
      </c>
      <c r="K304" s="695">
        <f>$F304*Sales!K70</f>
        <v>0</v>
      </c>
      <c r="L304" s="695">
        <f>$F304*Sales!L70</f>
        <v>0</v>
      </c>
      <c r="M304" s="695">
        <f>$F304*Sales!M70</f>
        <v>0</v>
      </c>
      <c r="N304" s="695">
        <f>$F304*Sales!N70</f>
        <v>0</v>
      </c>
      <c r="O304" s="695">
        <f>$F304*Sales!O70</f>
        <v>0</v>
      </c>
      <c r="P304" s="695">
        <f>$F304*Sales!P70</f>
        <v>0</v>
      </c>
      <c r="Q304" s="695">
        <f>$F304*Sales!Q70</f>
        <v>0</v>
      </c>
      <c r="R304" s="695">
        <f>$F304*Sales!R70</f>
        <v>0</v>
      </c>
      <c r="S304" s="695">
        <f>$F304*Sales!S70</f>
        <v>0</v>
      </c>
      <c r="T304" s="695">
        <f>$F304*Sales!T70</f>
        <v>0</v>
      </c>
      <c r="U304" s="695">
        <f>$F304*Sales!U70</f>
        <v>0</v>
      </c>
      <c r="V304" s="695">
        <f>$F304*Sales!V70</f>
        <v>0</v>
      </c>
      <c r="W304" s="695">
        <f>$F304*Sales!W70</f>
        <v>0</v>
      </c>
      <c r="X304" s="695">
        <f>$F304*Sales!X70</f>
        <v>0</v>
      </c>
      <c r="Y304" s="695">
        <f>$F304*Sales!Y70</f>
        <v>0</v>
      </c>
      <c r="Z304" s="695">
        <f>$F304*Sales!Z70</f>
        <v>0</v>
      </c>
      <c r="AA304" s="695">
        <f>$F304*Sales!AA70</f>
        <v>0</v>
      </c>
      <c r="AB304" s="695">
        <f>$F304*Sales!AB70</f>
        <v>0</v>
      </c>
      <c r="AC304" s="695">
        <f>$F304*Sales!AC70</f>
        <v>0</v>
      </c>
      <c r="AD304" s="695">
        <f>$F304*Sales!AD70</f>
        <v>0</v>
      </c>
      <c r="AE304" s="695">
        <f>$F304*Sales!AE70</f>
        <v>0</v>
      </c>
      <c r="AF304" s="695">
        <f>$F304*Sales!AF70</f>
        <v>0</v>
      </c>
      <c r="AG304" s="695">
        <f>$F304*Sales!AG70</f>
        <v>0</v>
      </c>
    </row>
    <row r="305" spans="1:33" ht="17.25" customHeight="1" outlineLevel="2">
      <c r="A305" s="894"/>
      <c r="B305" s="287"/>
      <c r="C305" s="24" t="str">
        <f>Product_02</f>
        <v>Workstations</v>
      </c>
      <c r="D305" s="8" t="str">
        <f t="shared" si="121"/>
        <v>USD</v>
      </c>
      <c r="E305" s="287"/>
      <c r="F305" s="85">
        <f>Inputs!H29</f>
        <v>0.05</v>
      </c>
      <c r="G305" s="287"/>
      <c r="H305" s="287"/>
      <c r="I305" s="71">
        <f t="shared" si="122"/>
        <v>26450</v>
      </c>
      <c r="J305" s="695">
        <f>$F305*Sales!J71</f>
        <v>920</v>
      </c>
      <c r="K305" s="695">
        <f>$F305*Sales!K71</f>
        <v>1150</v>
      </c>
      <c r="L305" s="695">
        <f>$F305*Sales!L71</f>
        <v>1150</v>
      </c>
      <c r="M305" s="695">
        <f>$F305*Sales!M71</f>
        <v>1150</v>
      </c>
      <c r="N305" s="695">
        <f>$F305*Sales!N71</f>
        <v>1150</v>
      </c>
      <c r="O305" s="695">
        <f>$F305*Sales!O71</f>
        <v>1150</v>
      </c>
      <c r="P305" s="695">
        <f>$F305*Sales!P71</f>
        <v>1150</v>
      </c>
      <c r="Q305" s="695">
        <f>$F305*Sales!Q71</f>
        <v>1150</v>
      </c>
      <c r="R305" s="695">
        <f>$F305*Sales!R71</f>
        <v>1150</v>
      </c>
      <c r="S305" s="695">
        <f>$F305*Sales!S71</f>
        <v>1380</v>
      </c>
      <c r="T305" s="695">
        <f>$F305*Sales!T71</f>
        <v>1380</v>
      </c>
      <c r="U305" s="695">
        <f>$F305*Sales!U71</f>
        <v>1380</v>
      </c>
      <c r="V305" s="695">
        <f>$F305*Sales!V71</f>
        <v>1380</v>
      </c>
      <c r="W305" s="695">
        <f>$F305*Sales!W71</f>
        <v>1380</v>
      </c>
      <c r="X305" s="695">
        <f>$F305*Sales!X71</f>
        <v>1380</v>
      </c>
      <c r="Y305" s="695">
        <f>$F305*Sales!Y71</f>
        <v>1380</v>
      </c>
      <c r="Z305" s="695">
        <f>$F305*Sales!Z71</f>
        <v>1380</v>
      </c>
      <c r="AA305" s="695">
        <f>$F305*Sales!AA71</f>
        <v>1380</v>
      </c>
      <c r="AB305" s="695">
        <f>$F305*Sales!AB71</f>
        <v>1380</v>
      </c>
      <c r="AC305" s="695">
        <f>$F305*Sales!AC71</f>
        <v>1265</v>
      </c>
      <c r="AD305" s="695">
        <f>$F305*Sales!AD71</f>
        <v>1265</v>
      </c>
      <c r="AE305" s="695">
        <f>$F305*Sales!AE71</f>
        <v>0</v>
      </c>
      <c r="AF305" s="695">
        <f>$F305*Sales!AF71</f>
        <v>0</v>
      </c>
      <c r="AG305" s="695">
        <f>$F305*Sales!AG71</f>
        <v>0</v>
      </c>
    </row>
    <row r="306" spans="1:33" ht="17.25" customHeight="1" outlineLevel="2">
      <c r="A306" s="894"/>
      <c r="B306" s="287"/>
      <c r="C306" s="24" t="str">
        <f>Product_03</f>
        <v>Notebooks</v>
      </c>
      <c r="D306" s="8" t="str">
        <f t="shared" si="121"/>
        <v>USD</v>
      </c>
      <c r="E306" s="287"/>
      <c r="F306" s="85">
        <f>Inputs!H30</f>
        <v>0</v>
      </c>
      <c r="G306" s="287"/>
      <c r="H306" s="287"/>
      <c r="I306" s="71">
        <f t="shared" si="122"/>
        <v>0</v>
      </c>
      <c r="J306" s="695">
        <f>$F306*Sales!J72</f>
        <v>0</v>
      </c>
      <c r="K306" s="695">
        <f>$F306*Sales!K72</f>
        <v>0</v>
      </c>
      <c r="L306" s="695">
        <f>$F306*Sales!L72</f>
        <v>0</v>
      </c>
      <c r="M306" s="695">
        <f>$F306*Sales!M72</f>
        <v>0</v>
      </c>
      <c r="N306" s="695">
        <f>$F306*Sales!N72</f>
        <v>0</v>
      </c>
      <c r="O306" s="695">
        <f>$F306*Sales!O72</f>
        <v>0</v>
      </c>
      <c r="P306" s="695">
        <f>$F306*Sales!P72</f>
        <v>0</v>
      </c>
      <c r="Q306" s="695">
        <f>$F306*Sales!Q72</f>
        <v>0</v>
      </c>
      <c r="R306" s="695">
        <f>$F306*Sales!R72</f>
        <v>0</v>
      </c>
      <c r="S306" s="695">
        <f>$F306*Sales!S72</f>
        <v>0</v>
      </c>
      <c r="T306" s="695">
        <f>$F306*Sales!T72</f>
        <v>0</v>
      </c>
      <c r="U306" s="695">
        <f>$F306*Sales!U72</f>
        <v>0</v>
      </c>
      <c r="V306" s="695">
        <f>$F306*Sales!V72</f>
        <v>0</v>
      </c>
      <c r="W306" s="695">
        <f>$F306*Sales!W72</f>
        <v>0</v>
      </c>
      <c r="X306" s="695">
        <f>$F306*Sales!X72</f>
        <v>0</v>
      </c>
      <c r="Y306" s="695">
        <f>$F306*Sales!Y72</f>
        <v>0</v>
      </c>
      <c r="Z306" s="695">
        <f>$F306*Sales!Z72</f>
        <v>0</v>
      </c>
      <c r="AA306" s="695">
        <f>$F306*Sales!AA72</f>
        <v>0</v>
      </c>
      <c r="AB306" s="695">
        <f>$F306*Sales!AB72</f>
        <v>0</v>
      </c>
      <c r="AC306" s="695">
        <f>$F306*Sales!AC72</f>
        <v>0</v>
      </c>
      <c r="AD306" s="695">
        <f>$F306*Sales!AD72</f>
        <v>0</v>
      </c>
      <c r="AE306" s="695">
        <f>$F306*Sales!AE72</f>
        <v>0</v>
      </c>
      <c r="AF306" s="695">
        <f>$F306*Sales!AF72</f>
        <v>0</v>
      </c>
      <c r="AG306" s="695">
        <f>$F306*Sales!AG72</f>
        <v>0</v>
      </c>
    </row>
    <row r="307" spans="1:33" ht="17.25" customHeight="1" outlineLevel="2">
      <c r="A307" s="894"/>
      <c r="B307" s="287"/>
      <c r="C307" s="24" t="str">
        <f>Product_04</f>
        <v>Software Products</v>
      </c>
      <c r="D307" s="8" t="str">
        <f t="shared" si="121"/>
        <v>USD</v>
      </c>
      <c r="E307" s="287"/>
      <c r="F307" s="85">
        <f>Inputs!H31</f>
        <v>0.1</v>
      </c>
      <c r="G307" s="287"/>
      <c r="H307" s="287"/>
      <c r="I307" s="71">
        <f t="shared" si="122"/>
        <v>17610</v>
      </c>
      <c r="J307" s="695">
        <f>$F307*Sales!J73</f>
        <v>825</v>
      </c>
      <c r="K307" s="695">
        <f>$F307*Sales!K73</f>
        <v>855</v>
      </c>
      <c r="L307" s="695">
        <f>$F307*Sales!L73</f>
        <v>855</v>
      </c>
      <c r="M307" s="695">
        <f>$F307*Sales!M73</f>
        <v>855</v>
      </c>
      <c r="N307" s="695">
        <f>$F307*Sales!N73</f>
        <v>855</v>
      </c>
      <c r="O307" s="695">
        <f>$F307*Sales!O73</f>
        <v>855</v>
      </c>
      <c r="P307" s="695">
        <f>$F307*Sales!P73</f>
        <v>855</v>
      </c>
      <c r="Q307" s="695">
        <f>$F307*Sales!Q73</f>
        <v>825</v>
      </c>
      <c r="R307" s="695">
        <f>$F307*Sales!R73</f>
        <v>825</v>
      </c>
      <c r="S307" s="695">
        <f>$F307*Sales!S73</f>
        <v>825</v>
      </c>
      <c r="T307" s="695">
        <f>$F307*Sales!T73</f>
        <v>825</v>
      </c>
      <c r="U307" s="695">
        <f>$F307*Sales!U73</f>
        <v>825</v>
      </c>
      <c r="V307" s="695">
        <f>$F307*Sales!V73</f>
        <v>825</v>
      </c>
      <c r="W307" s="695">
        <f>$F307*Sales!W73</f>
        <v>825</v>
      </c>
      <c r="X307" s="695">
        <f>$F307*Sales!X73</f>
        <v>825</v>
      </c>
      <c r="Y307" s="695">
        <f>$F307*Sales!Y73</f>
        <v>825</v>
      </c>
      <c r="Z307" s="695">
        <f>$F307*Sales!Z73</f>
        <v>825</v>
      </c>
      <c r="AA307" s="695">
        <f>$F307*Sales!AA73</f>
        <v>825</v>
      </c>
      <c r="AB307" s="695">
        <f>$F307*Sales!AB73</f>
        <v>825</v>
      </c>
      <c r="AC307" s="695">
        <f>$F307*Sales!AC73</f>
        <v>825</v>
      </c>
      <c r="AD307" s="695">
        <f>$F307*Sales!AD73</f>
        <v>930</v>
      </c>
      <c r="AE307" s="695">
        <f>$F307*Sales!AE73</f>
        <v>0</v>
      </c>
      <c r="AF307" s="695">
        <f>$F307*Sales!AF73</f>
        <v>0</v>
      </c>
      <c r="AG307" s="695">
        <f>$F307*Sales!AG73</f>
        <v>0</v>
      </c>
    </row>
    <row r="308" spans="1:33" ht="17.25" customHeight="1" outlineLevel="2">
      <c r="A308" s="894"/>
      <c r="B308" s="287"/>
      <c r="C308" s="24" t="str">
        <f>Product_05</f>
        <v>Net work infrastructure solutions</v>
      </c>
      <c r="D308" s="8" t="str">
        <f t="shared" si="121"/>
        <v>USD</v>
      </c>
      <c r="E308" s="287"/>
      <c r="F308" s="85">
        <f>Inputs!H32</f>
        <v>0</v>
      </c>
      <c r="G308" s="287"/>
      <c r="H308" s="287"/>
      <c r="I308" s="71">
        <f t="shared" si="122"/>
        <v>0</v>
      </c>
      <c r="J308" s="695">
        <f>$F308*Sales!J74</f>
        <v>0</v>
      </c>
      <c r="K308" s="695">
        <f>$F308*Sales!K74</f>
        <v>0</v>
      </c>
      <c r="L308" s="695">
        <f>$F308*Sales!L74</f>
        <v>0</v>
      </c>
      <c r="M308" s="695">
        <f>$F308*Sales!M74</f>
        <v>0</v>
      </c>
      <c r="N308" s="695">
        <f>$F308*Sales!N74</f>
        <v>0</v>
      </c>
      <c r="O308" s="695">
        <f>$F308*Sales!O74</f>
        <v>0</v>
      </c>
      <c r="P308" s="695">
        <f>$F308*Sales!P74</f>
        <v>0</v>
      </c>
      <c r="Q308" s="695">
        <f>$F308*Sales!Q74</f>
        <v>0</v>
      </c>
      <c r="R308" s="695">
        <f>$F308*Sales!R74</f>
        <v>0</v>
      </c>
      <c r="S308" s="695">
        <f>$F308*Sales!S74</f>
        <v>0</v>
      </c>
      <c r="T308" s="695">
        <f>$F308*Sales!T74</f>
        <v>0</v>
      </c>
      <c r="U308" s="695">
        <f>$F308*Sales!U74</f>
        <v>0</v>
      </c>
      <c r="V308" s="695">
        <f>$F308*Sales!V74</f>
        <v>0</v>
      </c>
      <c r="W308" s="695">
        <f>$F308*Sales!W74</f>
        <v>0</v>
      </c>
      <c r="X308" s="695">
        <f>$F308*Sales!X74</f>
        <v>0</v>
      </c>
      <c r="Y308" s="695">
        <f>$F308*Sales!Y74</f>
        <v>0</v>
      </c>
      <c r="Z308" s="695">
        <f>$F308*Sales!Z74</f>
        <v>0</v>
      </c>
      <c r="AA308" s="695">
        <f>$F308*Sales!AA74</f>
        <v>0</v>
      </c>
      <c r="AB308" s="695">
        <f>$F308*Sales!AB74</f>
        <v>0</v>
      </c>
      <c r="AC308" s="695">
        <f>$F308*Sales!AC74</f>
        <v>0</v>
      </c>
      <c r="AD308" s="695">
        <f>$F308*Sales!AD74</f>
        <v>0</v>
      </c>
      <c r="AE308" s="695">
        <f>$F308*Sales!AE74</f>
        <v>0</v>
      </c>
      <c r="AF308" s="695">
        <f>$F308*Sales!AF74</f>
        <v>0</v>
      </c>
      <c r="AG308" s="695">
        <f>$F308*Sales!AG74</f>
        <v>0</v>
      </c>
    </row>
    <row r="309" spans="1:33" ht="17.25" customHeight="1" outlineLevel="2">
      <c r="A309" s="894"/>
      <c r="B309" s="287"/>
      <c r="C309" s="24" t="str">
        <f>Product_06</f>
        <v>Repair Services</v>
      </c>
      <c r="D309" s="8" t="str">
        <f t="shared" si="121"/>
        <v>USD</v>
      </c>
      <c r="E309" s="287"/>
      <c r="F309" s="85">
        <f>Inputs!H33</f>
        <v>0</v>
      </c>
      <c r="G309" s="287"/>
      <c r="H309" s="287"/>
      <c r="I309" s="71">
        <f t="shared" si="122"/>
        <v>0</v>
      </c>
      <c r="J309" s="695">
        <f>$F309*Sales!J75</f>
        <v>0</v>
      </c>
      <c r="K309" s="695">
        <f>$F309*Sales!K75</f>
        <v>0</v>
      </c>
      <c r="L309" s="695">
        <f>$F309*Sales!L75</f>
        <v>0</v>
      </c>
      <c r="M309" s="695">
        <f>$F309*Sales!M75</f>
        <v>0</v>
      </c>
      <c r="N309" s="695">
        <f>$F309*Sales!N75</f>
        <v>0</v>
      </c>
      <c r="O309" s="695">
        <f>$F309*Sales!O75</f>
        <v>0</v>
      </c>
      <c r="P309" s="695">
        <f>$F309*Sales!P75</f>
        <v>0</v>
      </c>
      <c r="Q309" s="695">
        <f>$F309*Sales!Q75</f>
        <v>0</v>
      </c>
      <c r="R309" s="695">
        <f>$F309*Sales!R75</f>
        <v>0</v>
      </c>
      <c r="S309" s="695">
        <f>$F309*Sales!S75</f>
        <v>0</v>
      </c>
      <c r="T309" s="695">
        <f>$F309*Sales!T75</f>
        <v>0</v>
      </c>
      <c r="U309" s="695">
        <f>$F309*Sales!U75</f>
        <v>0</v>
      </c>
      <c r="V309" s="695">
        <f>$F309*Sales!V75</f>
        <v>0</v>
      </c>
      <c r="W309" s="695">
        <f>$F309*Sales!W75</f>
        <v>0</v>
      </c>
      <c r="X309" s="695">
        <f>$F309*Sales!X75</f>
        <v>0</v>
      </c>
      <c r="Y309" s="695">
        <f>$F309*Sales!Y75</f>
        <v>0</v>
      </c>
      <c r="Z309" s="695">
        <f>$F309*Sales!Z75</f>
        <v>0</v>
      </c>
      <c r="AA309" s="695">
        <f>$F309*Sales!AA75</f>
        <v>0</v>
      </c>
      <c r="AB309" s="695">
        <f>$F309*Sales!AB75</f>
        <v>0</v>
      </c>
      <c r="AC309" s="695">
        <f>$F309*Sales!AC75</f>
        <v>0</v>
      </c>
      <c r="AD309" s="695">
        <f>$F309*Sales!AD75</f>
        <v>0</v>
      </c>
      <c r="AE309" s="695">
        <f>$F309*Sales!AE75</f>
        <v>0</v>
      </c>
      <c r="AF309" s="695">
        <f>$F309*Sales!AF75</f>
        <v>0</v>
      </c>
      <c r="AG309" s="695">
        <f>$F309*Sales!AG75</f>
        <v>0</v>
      </c>
    </row>
    <row r="310" spans="1:33" ht="17.25" customHeight="1" outlineLevel="2">
      <c r="A310" s="894"/>
      <c r="B310" s="287"/>
      <c r="C310" s="24" t="str">
        <f>Product_07</f>
        <v>Integration Services</v>
      </c>
      <c r="D310" s="8" t="str">
        <f t="shared" si="121"/>
        <v>USD</v>
      </c>
      <c r="E310" s="287"/>
      <c r="F310" s="85">
        <f>Inputs!H34</f>
        <v>0</v>
      </c>
      <c r="G310" s="287"/>
      <c r="H310" s="287"/>
      <c r="I310" s="71">
        <f t="shared" si="122"/>
        <v>0</v>
      </c>
      <c r="J310" s="695">
        <f>$F310*Sales!J76</f>
        <v>0</v>
      </c>
      <c r="K310" s="695">
        <f>$F310*Sales!K76</f>
        <v>0</v>
      </c>
      <c r="L310" s="695">
        <f>$F310*Sales!L76</f>
        <v>0</v>
      </c>
      <c r="M310" s="695">
        <f>$F310*Sales!M76</f>
        <v>0</v>
      </c>
      <c r="N310" s="695">
        <f>$F310*Sales!N76</f>
        <v>0</v>
      </c>
      <c r="O310" s="695">
        <f>$F310*Sales!O76</f>
        <v>0</v>
      </c>
      <c r="P310" s="695">
        <f>$F310*Sales!P76</f>
        <v>0</v>
      </c>
      <c r="Q310" s="695">
        <f>$F310*Sales!Q76</f>
        <v>0</v>
      </c>
      <c r="R310" s="695">
        <f>$F310*Sales!R76</f>
        <v>0</v>
      </c>
      <c r="S310" s="695">
        <f>$F310*Sales!S76</f>
        <v>0</v>
      </c>
      <c r="T310" s="695">
        <f>$F310*Sales!T76</f>
        <v>0</v>
      </c>
      <c r="U310" s="695">
        <f>$F310*Sales!U76</f>
        <v>0</v>
      </c>
      <c r="V310" s="695">
        <f>$F310*Sales!V76</f>
        <v>0</v>
      </c>
      <c r="W310" s="695">
        <f>$F310*Sales!W76</f>
        <v>0</v>
      </c>
      <c r="X310" s="695">
        <f>$F310*Sales!X76</f>
        <v>0</v>
      </c>
      <c r="Y310" s="695">
        <f>$F310*Sales!Y76</f>
        <v>0</v>
      </c>
      <c r="Z310" s="695">
        <f>$F310*Sales!Z76</f>
        <v>0</v>
      </c>
      <c r="AA310" s="695">
        <f>$F310*Sales!AA76</f>
        <v>0</v>
      </c>
      <c r="AB310" s="695">
        <f>$F310*Sales!AB76</f>
        <v>0</v>
      </c>
      <c r="AC310" s="695">
        <f>$F310*Sales!AC76</f>
        <v>0</v>
      </c>
      <c r="AD310" s="695">
        <f>$F310*Sales!AD76</f>
        <v>0</v>
      </c>
      <c r="AE310" s="695">
        <f>$F310*Sales!AE76</f>
        <v>0</v>
      </c>
      <c r="AF310" s="695">
        <f>$F310*Sales!AF76</f>
        <v>0</v>
      </c>
      <c r="AG310" s="695">
        <f>$F310*Sales!AG76</f>
        <v>0</v>
      </c>
    </row>
    <row r="311" spans="1:33" ht="17.25" customHeight="1" outlineLevel="2">
      <c r="A311" s="894"/>
      <c r="B311" s="287"/>
      <c r="C311" s="24" t="str">
        <f>Product_08</f>
        <v>Consulting Services</v>
      </c>
      <c r="D311" s="8" t="str">
        <f t="shared" si="121"/>
        <v>USD</v>
      </c>
      <c r="E311" s="287"/>
      <c r="F311" s="85">
        <f>Inputs!H35</f>
        <v>0</v>
      </c>
      <c r="G311" s="287"/>
      <c r="H311" s="287"/>
      <c r="I311" s="71">
        <f t="shared" si="122"/>
        <v>0</v>
      </c>
      <c r="J311" s="695">
        <f>$F311*Sales!J77</f>
        <v>0</v>
      </c>
      <c r="K311" s="695">
        <f>$F311*Sales!K77</f>
        <v>0</v>
      </c>
      <c r="L311" s="695">
        <f>$F311*Sales!L77</f>
        <v>0</v>
      </c>
      <c r="M311" s="695">
        <f>$F311*Sales!M77</f>
        <v>0</v>
      </c>
      <c r="N311" s="695">
        <f>$F311*Sales!N77</f>
        <v>0</v>
      </c>
      <c r="O311" s="695">
        <f>$F311*Sales!O77</f>
        <v>0</v>
      </c>
      <c r="P311" s="695">
        <f>$F311*Sales!P77</f>
        <v>0</v>
      </c>
      <c r="Q311" s="695">
        <f>$F311*Sales!Q77</f>
        <v>0</v>
      </c>
      <c r="R311" s="695">
        <f>$F311*Sales!R77</f>
        <v>0</v>
      </c>
      <c r="S311" s="695">
        <f>$F311*Sales!S77</f>
        <v>0</v>
      </c>
      <c r="T311" s="695">
        <f>$F311*Sales!T77</f>
        <v>0</v>
      </c>
      <c r="U311" s="695">
        <f>$F311*Sales!U77</f>
        <v>0</v>
      </c>
      <c r="V311" s="695">
        <f>$F311*Sales!V77</f>
        <v>0</v>
      </c>
      <c r="W311" s="695">
        <f>$F311*Sales!W77</f>
        <v>0</v>
      </c>
      <c r="X311" s="695">
        <f>$F311*Sales!X77</f>
        <v>0</v>
      </c>
      <c r="Y311" s="695">
        <f>$F311*Sales!Y77</f>
        <v>0</v>
      </c>
      <c r="Z311" s="695">
        <f>$F311*Sales!Z77</f>
        <v>0</v>
      </c>
      <c r="AA311" s="695">
        <f>$F311*Sales!AA77</f>
        <v>0</v>
      </c>
      <c r="AB311" s="695">
        <f>$F311*Sales!AB77</f>
        <v>0</v>
      </c>
      <c r="AC311" s="695">
        <f>$F311*Sales!AC77</f>
        <v>0</v>
      </c>
      <c r="AD311" s="695">
        <f>$F311*Sales!AD77</f>
        <v>0</v>
      </c>
      <c r="AE311" s="695">
        <f>$F311*Sales!AE77</f>
        <v>0</v>
      </c>
      <c r="AF311" s="695">
        <f>$F311*Sales!AF77</f>
        <v>0</v>
      </c>
      <c r="AG311" s="695">
        <f>$F311*Sales!AG77</f>
        <v>0</v>
      </c>
    </row>
    <row r="312" spans="1:33" ht="17.25" customHeight="1" outlineLevel="2">
      <c r="A312" s="894"/>
      <c r="B312" s="287"/>
      <c r="C312" s="24" t="str">
        <f>Product_09</f>
        <v>Spare Parts</v>
      </c>
      <c r="D312" s="8" t="str">
        <f t="shared" si="121"/>
        <v>USD</v>
      </c>
      <c r="E312" s="287"/>
      <c r="F312" s="85">
        <f>Inputs!H36</f>
        <v>0</v>
      </c>
      <c r="G312" s="287"/>
      <c r="H312" s="287"/>
      <c r="I312" s="71">
        <f t="shared" si="122"/>
        <v>0</v>
      </c>
      <c r="J312" s="695">
        <f>$F312*Sales!J78</f>
        <v>0</v>
      </c>
      <c r="K312" s="695">
        <f>$F312*Sales!K78</f>
        <v>0</v>
      </c>
      <c r="L312" s="695">
        <f>$F312*Sales!L78</f>
        <v>0</v>
      </c>
      <c r="M312" s="695">
        <f>$F312*Sales!M78</f>
        <v>0</v>
      </c>
      <c r="N312" s="695">
        <f>$F312*Sales!N78</f>
        <v>0</v>
      </c>
      <c r="O312" s="695">
        <f>$F312*Sales!O78</f>
        <v>0</v>
      </c>
      <c r="P312" s="695">
        <f>$F312*Sales!P78</f>
        <v>0</v>
      </c>
      <c r="Q312" s="695">
        <f>$F312*Sales!Q78</f>
        <v>0</v>
      </c>
      <c r="R312" s="695">
        <f>$F312*Sales!R78</f>
        <v>0</v>
      </c>
      <c r="S312" s="695">
        <f>$F312*Sales!S78</f>
        <v>0</v>
      </c>
      <c r="T312" s="695">
        <f>$F312*Sales!T78</f>
        <v>0</v>
      </c>
      <c r="U312" s="695">
        <f>$F312*Sales!U78</f>
        <v>0</v>
      </c>
      <c r="V312" s="695">
        <f>$F312*Sales!V78</f>
        <v>0</v>
      </c>
      <c r="W312" s="695">
        <f>$F312*Sales!W78</f>
        <v>0</v>
      </c>
      <c r="X312" s="695">
        <f>$F312*Sales!X78</f>
        <v>0</v>
      </c>
      <c r="Y312" s="695">
        <f>$F312*Sales!Y78</f>
        <v>0</v>
      </c>
      <c r="Z312" s="695">
        <f>$F312*Sales!Z78</f>
        <v>0</v>
      </c>
      <c r="AA312" s="695">
        <f>$F312*Sales!AA78</f>
        <v>0</v>
      </c>
      <c r="AB312" s="695">
        <f>$F312*Sales!AB78</f>
        <v>0</v>
      </c>
      <c r="AC312" s="695">
        <f>$F312*Sales!AC78</f>
        <v>0</v>
      </c>
      <c r="AD312" s="695">
        <f>$F312*Sales!AD78</f>
        <v>0</v>
      </c>
      <c r="AE312" s="695">
        <f>$F312*Sales!AE78</f>
        <v>0</v>
      </c>
      <c r="AF312" s="695">
        <f>$F312*Sales!AF78</f>
        <v>0</v>
      </c>
      <c r="AG312" s="695">
        <f>$F312*Sales!AG78</f>
        <v>0</v>
      </c>
    </row>
    <row r="313" spans="1:33" ht="17.25" customHeight="1" outlineLevel="2">
      <c r="A313" s="894"/>
      <c r="B313" s="287"/>
      <c r="C313" s="24" t="str">
        <f>Product_10</f>
        <v>License Fees</v>
      </c>
      <c r="D313" s="8" t="str">
        <f t="shared" si="121"/>
        <v>USD</v>
      </c>
      <c r="E313" s="287"/>
      <c r="F313" s="85">
        <f>Inputs!H37</f>
        <v>0</v>
      </c>
      <c r="G313" s="287"/>
      <c r="H313" s="287"/>
      <c r="I313" s="71">
        <f t="shared" si="122"/>
        <v>0</v>
      </c>
      <c r="J313" s="695">
        <f>$F313*Sales!J79</f>
        <v>0</v>
      </c>
      <c r="K313" s="695">
        <f>$F313*Sales!K79</f>
        <v>0</v>
      </c>
      <c r="L313" s="695">
        <f>$F313*Sales!L79</f>
        <v>0</v>
      </c>
      <c r="M313" s="695">
        <f>$F313*Sales!M79</f>
        <v>0</v>
      </c>
      <c r="N313" s="695">
        <f>$F313*Sales!N79</f>
        <v>0</v>
      </c>
      <c r="O313" s="695">
        <f>$F313*Sales!O79</f>
        <v>0</v>
      </c>
      <c r="P313" s="695">
        <f>$F313*Sales!P79</f>
        <v>0</v>
      </c>
      <c r="Q313" s="695">
        <f>$F313*Sales!Q79</f>
        <v>0</v>
      </c>
      <c r="R313" s="695">
        <f>$F313*Sales!R79</f>
        <v>0</v>
      </c>
      <c r="S313" s="695">
        <f>$F313*Sales!S79</f>
        <v>0</v>
      </c>
      <c r="T313" s="695">
        <f>$F313*Sales!T79</f>
        <v>0</v>
      </c>
      <c r="U313" s="695">
        <f>$F313*Sales!U79</f>
        <v>0</v>
      </c>
      <c r="V313" s="695">
        <f>$F313*Sales!V79</f>
        <v>0</v>
      </c>
      <c r="W313" s="695">
        <f>$F313*Sales!W79</f>
        <v>0</v>
      </c>
      <c r="X313" s="695">
        <f>$F313*Sales!X79</f>
        <v>0</v>
      </c>
      <c r="Y313" s="695">
        <f>$F313*Sales!Y79</f>
        <v>0</v>
      </c>
      <c r="Z313" s="695">
        <f>$F313*Sales!Z79</f>
        <v>0</v>
      </c>
      <c r="AA313" s="695">
        <f>$F313*Sales!AA79</f>
        <v>0</v>
      </c>
      <c r="AB313" s="695">
        <f>$F313*Sales!AB79</f>
        <v>0</v>
      </c>
      <c r="AC313" s="695">
        <f>$F313*Sales!AC79</f>
        <v>0</v>
      </c>
      <c r="AD313" s="695">
        <f>$F313*Sales!AD79</f>
        <v>0</v>
      </c>
      <c r="AE313" s="695">
        <f>$F313*Sales!AE79</f>
        <v>0</v>
      </c>
      <c r="AF313" s="695">
        <f>$F313*Sales!AF79</f>
        <v>0</v>
      </c>
      <c r="AG313" s="695">
        <f>$F313*Sales!AG79</f>
        <v>0</v>
      </c>
    </row>
    <row r="314" spans="1:33" ht="17.25" customHeight="1" outlineLevel="2" thickBot="1">
      <c r="A314" s="894"/>
      <c r="B314" s="287"/>
      <c r="C314" s="121" t="str">
        <f>"   Total "&amp;C303</f>
        <v xml:space="preserve">   Total Revenue share expense</v>
      </c>
      <c r="D314" s="8" t="str">
        <f t="shared" si="121"/>
        <v>USD</v>
      </c>
      <c r="E314" s="8"/>
      <c r="F314" s="8"/>
      <c r="G314" s="8"/>
      <c r="H314" s="8"/>
      <c r="I314" s="141">
        <f t="shared" si="122"/>
        <v>44060</v>
      </c>
      <c r="J314" s="524">
        <f t="shared" ref="J314:AG314" si="123">SUM(J304:J313)</f>
        <v>1745</v>
      </c>
      <c r="K314" s="524">
        <f t="shared" si="123"/>
        <v>2005</v>
      </c>
      <c r="L314" s="524">
        <f t="shared" si="123"/>
        <v>2005</v>
      </c>
      <c r="M314" s="524">
        <f t="shared" si="123"/>
        <v>2005</v>
      </c>
      <c r="N314" s="524">
        <f t="shared" si="123"/>
        <v>2005</v>
      </c>
      <c r="O314" s="524">
        <f t="shared" si="123"/>
        <v>2005</v>
      </c>
      <c r="P314" s="524">
        <f t="shared" si="123"/>
        <v>2005</v>
      </c>
      <c r="Q314" s="524">
        <f t="shared" si="123"/>
        <v>1975</v>
      </c>
      <c r="R314" s="524">
        <f t="shared" si="123"/>
        <v>1975</v>
      </c>
      <c r="S314" s="524">
        <f t="shared" si="123"/>
        <v>2205</v>
      </c>
      <c r="T314" s="524">
        <f t="shared" si="123"/>
        <v>2205</v>
      </c>
      <c r="U314" s="524">
        <f t="shared" si="123"/>
        <v>2205</v>
      </c>
      <c r="V314" s="524">
        <f t="shared" si="123"/>
        <v>2205</v>
      </c>
      <c r="W314" s="524">
        <f t="shared" si="123"/>
        <v>2205</v>
      </c>
      <c r="X314" s="524">
        <f t="shared" si="123"/>
        <v>2205</v>
      </c>
      <c r="Y314" s="524">
        <f t="shared" si="123"/>
        <v>2205</v>
      </c>
      <c r="Z314" s="524">
        <f t="shared" si="123"/>
        <v>2205</v>
      </c>
      <c r="AA314" s="524">
        <f t="shared" si="123"/>
        <v>2205</v>
      </c>
      <c r="AB314" s="524">
        <f t="shared" si="123"/>
        <v>2205</v>
      </c>
      <c r="AC314" s="524">
        <f t="shared" si="123"/>
        <v>2090</v>
      </c>
      <c r="AD314" s="524">
        <f t="shared" si="123"/>
        <v>2195</v>
      </c>
      <c r="AE314" s="524">
        <f t="shared" si="123"/>
        <v>0</v>
      </c>
      <c r="AF314" s="524">
        <f t="shared" si="123"/>
        <v>0</v>
      </c>
      <c r="AG314" s="524">
        <f t="shared" si="123"/>
        <v>0</v>
      </c>
    </row>
    <row r="315" spans="1:33" ht="17.25" customHeight="1" outlineLevel="2" thickTop="1">
      <c r="A315" s="894"/>
      <c r="B315" s="287"/>
      <c r="C315" s="287"/>
      <c r="D315" s="287"/>
      <c r="E315" s="287"/>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E315" s="287"/>
      <c r="AF315" s="287"/>
      <c r="AG315" s="287"/>
    </row>
    <row r="316" spans="1:33" s="287" customFormat="1" ht="26.25" customHeight="1" outlineLevel="1">
      <c r="A316" s="894"/>
      <c r="B316" s="279">
        <v>2</v>
      </c>
      <c r="C316" s="279" t="s">
        <v>309</v>
      </c>
      <c r="F316" s="688" t="s">
        <v>244</v>
      </c>
    </row>
    <row r="317" spans="1:33" s="287" customFormat="1" ht="17.25" customHeight="1" outlineLevel="2">
      <c r="A317" s="894"/>
      <c r="C317" s="641" t="str">
        <f>CHOOSE(language,"Electrical power, heat, light","Utilities")</f>
        <v>Utilities</v>
      </c>
      <c r="D317" s="8" t="str">
        <f t="shared" ref="D317:D319" si="124">Currency_Label</f>
        <v>USD</v>
      </c>
      <c r="F317" s="1036"/>
      <c r="I317" s="71">
        <f>SUMPRODUCT((J$6:AG$6),(J317:AG317))</f>
        <v>35719.251808032837</v>
      </c>
      <c r="J317" s="269">
        <v>1000</v>
      </c>
      <c r="K317" s="269">
        <f>J317*1.05</f>
        <v>1050</v>
      </c>
      <c r="L317" s="269">
        <f t="shared" ref="L317:AG317" si="125">K317*1.05</f>
        <v>1102.5</v>
      </c>
      <c r="M317" s="269">
        <f t="shared" si="125"/>
        <v>1157.625</v>
      </c>
      <c r="N317" s="269">
        <f t="shared" si="125"/>
        <v>1215.5062500000001</v>
      </c>
      <c r="O317" s="269">
        <f t="shared" si="125"/>
        <v>1276.2815625000003</v>
      </c>
      <c r="P317" s="269">
        <f t="shared" si="125"/>
        <v>1340.0956406250004</v>
      </c>
      <c r="Q317" s="269">
        <f t="shared" si="125"/>
        <v>1407.1004226562504</v>
      </c>
      <c r="R317" s="269">
        <f t="shared" si="125"/>
        <v>1477.4554437890631</v>
      </c>
      <c r="S317" s="269">
        <f t="shared" si="125"/>
        <v>1551.3282159785163</v>
      </c>
      <c r="T317" s="269">
        <f t="shared" si="125"/>
        <v>1628.8946267774422</v>
      </c>
      <c r="U317" s="269">
        <f t="shared" si="125"/>
        <v>1710.3393581163143</v>
      </c>
      <c r="V317" s="269">
        <f t="shared" si="125"/>
        <v>1795.8563260221301</v>
      </c>
      <c r="W317" s="269">
        <f t="shared" si="125"/>
        <v>1885.6491423232367</v>
      </c>
      <c r="X317" s="269">
        <f t="shared" si="125"/>
        <v>1979.9315994393985</v>
      </c>
      <c r="Y317" s="269">
        <f t="shared" si="125"/>
        <v>2078.9281794113685</v>
      </c>
      <c r="Z317" s="269">
        <f t="shared" si="125"/>
        <v>2182.874588381937</v>
      </c>
      <c r="AA317" s="269">
        <f t="shared" si="125"/>
        <v>2292.0183178010338</v>
      </c>
      <c r="AB317" s="269">
        <f t="shared" si="125"/>
        <v>2406.6192336910858</v>
      </c>
      <c r="AC317" s="269">
        <f t="shared" si="125"/>
        <v>2526.9501953756403</v>
      </c>
      <c r="AD317" s="269">
        <f t="shared" si="125"/>
        <v>2653.2977051444223</v>
      </c>
      <c r="AE317" s="269">
        <f t="shared" si="125"/>
        <v>2785.9625904016434</v>
      </c>
      <c r="AF317" s="269">
        <f t="shared" si="125"/>
        <v>2925.2607199217259</v>
      </c>
      <c r="AG317" s="269">
        <f t="shared" si="125"/>
        <v>3071.5237559178122</v>
      </c>
    </row>
    <row r="318" spans="1:33" s="287" customFormat="1" ht="17.25" customHeight="1" outlineLevel="2">
      <c r="A318" s="894"/>
      <c r="C318" s="641" t="s">
        <v>311</v>
      </c>
      <c r="D318" s="8" t="str">
        <f t="shared" si="124"/>
        <v>USD</v>
      </c>
      <c r="F318" s="1036"/>
      <c r="I318" s="71">
        <f>SUMPRODUCT((J$6:AG$6),(J318:AG318))</f>
        <v>4200</v>
      </c>
      <c r="J318" s="269">
        <v>200</v>
      </c>
      <c r="K318" s="269">
        <v>200</v>
      </c>
      <c r="L318" s="269">
        <v>200</v>
      </c>
      <c r="M318" s="269">
        <v>200</v>
      </c>
      <c r="N318" s="269">
        <v>200</v>
      </c>
      <c r="O318" s="269">
        <v>200</v>
      </c>
      <c r="P318" s="269">
        <v>200</v>
      </c>
      <c r="Q318" s="269">
        <v>200</v>
      </c>
      <c r="R318" s="269">
        <v>200</v>
      </c>
      <c r="S318" s="269">
        <v>200</v>
      </c>
      <c r="T318" s="269">
        <v>200</v>
      </c>
      <c r="U318" s="269">
        <v>200</v>
      </c>
      <c r="V318" s="269">
        <v>200</v>
      </c>
      <c r="W318" s="269">
        <v>200</v>
      </c>
      <c r="X318" s="269">
        <v>200</v>
      </c>
      <c r="Y318" s="269">
        <v>200</v>
      </c>
      <c r="Z318" s="269">
        <v>200</v>
      </c>
      <c r="AA318" s="269">
        <v>200</v>
      </c>
      <c r="AB318" s="269">
        <v>200</v>
      </c>
      <c r="AC318" s="269">
        <v>200</v>
      </c>
      <c r="AD318" s="269">
        <v>200</v>
      </c>
      <c r="AE318" s="269">
        <v>200</v>
      </c>
      <c r="AF318" s="269">
        <v>200</v>
      </c>
      <c r="AG318" s="269">
        <v>200</v>
      </c>
    </row>
    <row r="319" spans="1:33" s="287" customFormat="1" ht="17.25" customHeight="1" outlineLevel="2">
      <c r="A319" s="894"/>
      <c r="C319" s="641" t="s">
        <v>312</v>
      </c>
      <c r="D319" s="8" t="str">
        <f t="shared" si="124"/>
        <v>USD</v>
      </c>
      <c r="F319" s="1036"/>
      <c r="I319" s="71">
        <f>SUMPRODUCT((J$6:AG$6),(J319:AG319))</f>
        <v>0</v>
      </c>
      <c r="J319" s="269"/>
      <c r="K319" s="269"/>
      <c r="L319" s="269"/>
      <c r="M319" s="269"/>
      <c r="N319" s="269"/>
      <c r="O319" s="269"/>
      <c r="P319" s="269"/>
      <c r="Q319" s="269"/>
      <c r="R319" s="269"/>
      <c r="S319" s="269"/>
      <c r="T319" s="269"/>
      <c r="U319" s="269"/>
      <c r="V319" s="269"/>
      <c r="W319" s="269"/>
      <c r="X319" s="269"/>
      <c r="Y319" s="269"/>
      <c r="Z319" s="269"/>
      <c r="AA319" s="269"/>
      <c r="AB319" s="269"/>
      <c r="AC319" s="269"/>
      <c r="AD319" s="269"/>
      <c r="AE319" s="269"/>
      <c r="AF319" s="269"/>
      <c r="AG319" s="269"/>
    </row>
    <row r="320" spans="1:33" s="287" customFormat="1" ht="24" customHeight="1" outlineLevel="1">
      <c r="A320" s="894"/>
      <c r="B320" s="279">
        <v>3</v>
      </c>
      <c r="C320" s="279" t="s">
        <v>308</v>
      </c>
    </row>
    <row r="321" spans="1:33" s="287" customFormat="1" ht="17.25" customHeight="1" outlineLevel="2">
      <c r="A321" s="894"/>
      <c r="C321" s="641" t="s">
        <v>310</v>
      </c>
      <c r="D321" s="8" t="str">
        <f t="shared" ref="D321:D323" si="126">Currency_Label</f>
        <v>USD</v>
      </c>
      <c r="F321" s="1036"/>
      <c r="I321" s="71">
        <f>SUMPRODUCT((J$6:AG$6),(J321:AG321))</f>
        <v>0</v>
      </c>
      <c r="J321" s="269"/>
      <c r="K321" s="269"/>
      <c r="L321" s="269"/>
      <c r="M321" s="269"/>
      <c r="N321" s="269"/>
      <c r="O321" s="269"/>
      <c r="P321" s="269"/>
      <c r="Q321" s="269"/>
      <c r="R321" s="269"/>
      <c r="S321" s="269"/>
      <c r="T321" s="269"/>
      <c r="U321" s="269"/>
      <c r="V321" s="269"/>
      <c r="W321" s="269"/>
      <c r="X321" s="269"/>
      <c r="Y321" s="269"/>
      <c r="Z321" s="269"/>
      <c r="AA321" s="269"/>
      <c r="AB321" s="269"/>
      <c r="AC321" s="269"/>
      <c r="AD321" s="269"/>
      <c r="AE321" s="269"/>
      <c r="AF321" s="269"/>
      <c r="AG321" s="269"/>
    </row>
    <row r="322" spans="1:33" s="287" customFormat="1" ht="17.25" customHeight="1" outlineLevel="2">
      <c r="A322" s="894"/>
      <c r="C322" s="641" t="s">
        <v>310</v>
      </c>
      <c r="D322" s="8" t="str">
        <f t="shared" si="126"/>
        <v>USD</v>
      </c>
      <c r="F322" s="1036"/>
      <c r="I322" s="71">
        <f>SUMPRODUCT((J$6:AG$6),(J322:AG322))</f>
        <v>0</v>
      </c>
      <c r="J322" s="269"/>
      <c r="K322" s="269"/>
      <c r="L322" s="269"/>
      <c r="M322" s="269"/>
      <c r="N322" s="269"/>
      <c r="O322" s="269"/>
      <c r="P322" s="269"/>
      <c r="Q322" s="269"/>
      <c r="R322" s="269"/>
      <c r="S322" s="269"/>
      <c r="T322" s="269"/>
      <c r="U322" s="269"/>
      <c r="V322" s="269"/>
      <c r="W322" s="269"/>
      <c r="X322" s="269"/>
      <c r="Y322" s="269"/>
      <c r="Z322" s="269"/>
      <c r="AA322" s="269"/>
      <c r="AB322" s="269"/>
      <c r="AC322" s="269"/>
      <c r="AD322" s="269"/>
      <c r="AE322" s="269"/>
      <c r="AF322" s="269"/>
      <c r="AG322" s="269"/>
    </row>
    <row r="323" spans="1:33" s="287" customFormat="1" ht="17.25" customHeight="1" outlineLevel="2">
      <c r="A323" s="894"/>
      <c r="C323" s="641" t="s">
        <v>310</v>
      </c>
      <c r="D323" s="8" t="str">
        <f t="shared" si="126"/>
        <v>USD</v>
      </c>
      <c r="F323" s="1036"/>
      <c r="I323" s="71">
        <f>SUMPRODUCT((J$6:AG$6),(J323:AG323))</f>
        <v>0</v>
      </c>
      <c r="J323" s="269"/>
      <c r="K323" s="269"/>
      <c r="L323" s="269"/>
      <c r="M323" s="269"/>
      <c r="N323" s="269"/>
      <c r="O323" s="269"/>
      <c r="P323" s="269"/>
      <c r="Q323" s="269"/>
      <c r="R323" s="269"/>
      <c r="S323" s="269"/>
      <c r="T323" s="269"/>
      <c r="U323" s="269"/>
      <c r="V323" s="269"/>
      <c r="W323" s="269"/>
      <c r="X323" s="269"/>
      <c r="Y323" s="269"/>
      <c r="Z323" s="269"/>
      <c r="AA323" s="269"/>
      <c r="AB323" s="269"/>
      <c r="AC323" s="269"/>
      <c r="AD323" s="269"/>
      <c r="AE323" s="269"/>
      <c r="AF323" s="269"/>
      <c r="AG323" s="269"/>
    </row>
    <row r="324" spans="1:33" s="287" customFormat="1" ht="24" customHeight="1" outlineLevel="1">
      <c r="A324" s="894"/>
      <c r="B324" s="279">
        <v>4</v>
      </c>
      <c r="C324" s="279" t="s">
        <v>313</v>
      </c>
    </row>
    <row r="325" spans="1:33" s="287" customFormat="1" ht="17.25" customHeight="1" outlineLevel="2">
      <c r="A325" s="894"/>
      <c r="C325" s="641" t="s">
        <v>293</v>
      </c>
      <c r="D325" s="8" t="str">
        <f t="shared" ref="D325:D330" si="127">Currency_Label</f>
        <v>USD</v>
      </c>
      <c r="F325" s="1036"/>
      <c r="I325" s="71">
        <f t="shared" ref="I325:I330" si="128">SUMPRODUCT((J$6:AG$6),(J325:AG325))</f>
        <v>37370.3343799457</v>
      </c>
      <c r="J325" s="269">
        <f>0.01*Sales!J80</f>
        <v>1436.22</v>
      </c>
      <c r="K325" s="269">
        <f>0.01*Sales!K80</f>
        <v>1514.6154999999999</v>
      </c>
      <c r="L325" s="269">
        <f>0.01*Sales!L80</f>
        <v>1516.529955</v>
      </c>
      <c r="M325" s="269">
        <f>0.01*Sales!M80</f>
        <v>1518.4635545500003</v>
      </c>
      <c r="N325" s="269">
        <f>0.01*Sales!N80</f>
        <v>1520.4164900955</v>
      </c>
      <c r="O325" s="269">
        <f>0.01*Sales!O80</f>
        <v>1522.3889549964549</v>
      </c>
      <c r="P325" s="269">
        <f>0.01*Sales!P80</f>
        <v>2524.5811445464196</v>
      </c>
      <c r="Q325" s="269">
        <f>0.01*Sales!Q80</f>
        <v>1481.7932559918841</v>
      </c>
      <c r="R325" s="269">
        <f>0.01*Sales!R80</f>
        <v>1508.8254885518027</v>
      </c>
      <c r="S325" s="269">
        <f>0.01*Sales!S80</f>
        <v>2557.1780434373209</v>
      </c>
      <c r="T325" s="269">
        <f>0.01*Sales!T80</f>
        <v>1559.4511238716939</v>
      </c>
      <c r="U325" s="269">
        <f>0.01*Sales!U80</f>
        <v>1549.329935110411</v>
      </c>
      <c r="V325" s="269">
        <f>0.01*Sales!V80</f>
        <v>2552.3547344615149</v>
      </c>
      <c r="W325" s="269">
        <f>0.01*Sales!W80</f>
        <v>1554.6057818061304</v>
      </c>
      <c r="X325" s="269">
        <f>0.01*Sales!X80</f>
        <v>1557.2833396241915</v>
      </c>
      <c r="Y325" s="269">
        <f>0.01*Sales!Y80</f>
        <v>2560.4876730204332</v>
      </c>
      <c r="Z325" s="269">
        <f>0.01*Sales!Z80</f>
        <v>1569.3190497506378</v>
      </c>
      <c r="AA325" s="269">
        <f>0.01*Sales!AA80</f>
        <v>1572.077740248144</v>
      </c>
      <c r="AB325" s="269">
        <f>0.01*Sales!AB80</f>
        <v>2575.4640176506255</v>
      </c>
      <c r="AC325" s="269">
        <f>0.01*Sales!AC80</f>
        <v>1554.6781578271318</v>
      </c>
      <c r="AD325" s="269">
        <f>0.01*Sales!AD80</f>
        <v>1664.2704394054033</v>
      </c>
      <c r="AE325" s="269">
        <f>0.01*Sales!AE80</f>
        <v>0</v>
      </c>
      <c r="AF325" s="269">
        <f>0.01*Sales!AF80</f>
        <v>0</v>
      </c>
      <c r="AG325" s="269">
        <f>0.01*Sales!AG80</f>
        <v>0</v>
      </c>
    </row>
    <row r="326" spans="1:33" s="287" customFormat="1" ht="17.25" customHeight="1" outlineLevel="2">
      <c r="A326" s="894"/>
      <c r="C326" s="641" t="str">
        <f>CHOOSE(language,"Product repairs","Repairs &amp; maintenance")</f>
        <v>Repairs &amp; maintenance</v>
      </c>
      <c r="D326" s="8" t="str">
        <f t="shared" si="127"/>
        <v>USD</v>
      </c>
      <c r="F326" s="1036"/>
      <c r="I326" s="71">
        <f t="shared" si="128"/>
        <v>0</v>
      </c>
      <c r="J326" s="269"/>
      <c r="K326" s="269"/>
      <c r="L326" s="269"/>
      <c r="M326" s="269"/>
      <c r="N326" s="269"/>
      <c r="O326" s="269"/>
      <c r="P326" s="269"/>
      <c r="Q326" s="269"/>
      <c r="R326" s="269"/>
      <c r="S326" s="269"/>
      <c r="T326" s="269"/>
      <c r="U326" s="269"/>
      <c r="V326" s="269"/>
      <c r="W326" s="269"/>
      <c r="X326" s="269"/>
      <c r="Y326" s="269"/>
      <c r="Z326" s="269"/>
      <c r="AA326" s="269"/>
      <c r="AB326" s="269"/>
      <c r="AC326" s="269"/>
      <c r="AD326" s="269"/>
      <c r="AE326" s="269"/>
      <c r="AF326" s="269"/>
      <c r="AG326" s="269"/>
    </row>
    <row r="327" spans="1:33" s="287" customFormat="1" ht="17.25" customHeight="1" outlineLevel="2">
      <c r="A327" s="894"/>
      <c r="C327" s="641" t="s">
        <v>304</v>
      </c>
      <c r="D327" s="8" t="str">
        <f t="shared" si="127"/>
        <v>USD</v>
      </c>
      <c r="F327" s="1036"/>
      <c r="I327" s="71">
        <f t="shared" si="128"/>
        <v>0</v>
      </c>
      <c r="J327" s="269"/>
      <c r="K327" s="269"/>
      <c r="L327" s="269"/>
      <c r="M327" s="269"/>
      <c r="N327" s="269"/>
      <c r="O327" s="269"/>
      <c r="P327" s="269"/>
      <c r="Q327" s="269"/>
      <c r="R327" s="269"/>
      <c r="S327" s="269"/>
      <c r="T327" s="269"/>
      <c r="U327" s="269"/>
      <c r="V327" s="269"/>
      <c r="W327" s="269"/>
      <c r="X327" s="269"/>
      <c r="Y327" s="269"/>
      <c r="Z327" s="269"/>
      <c r="AA327" s="269"/>
      <c r="AB327" s="269"/>
      <c r="AC327" s="269"/>
      <c r="AD327" s="269"/>
      <c r="AE327" s="269"/>
      <c r="AF327" s="269"/>
      <c r="AG327" s="269"/>
    </row>
    <row r="328" spans="1:33" s="287" customFormat="1" ht="17.25" customHeight="1" outlineLevel="2">
      <c r="A328" s="894"/>
      <c r="C328" s="641" t="s">
        <v>305</v>
      </c>
      <c r="D328" s="8" t="str">
        <f t="shared" si="127"/>
        <v>USD</v>
      </c>
      <c r="F328" s="1036"/>
      <c r="I328" s="71">
        <f t="shared" si="128"/>
        <v>0</v>
      </c>
      <c r="J328" s="269"/>
      <c r="K328" s="269"/>
      <c r="L328" s="269"/>
      <c r="M328" s="269"/>
      <c r="N328" s="269"/>
      <c r="O328" s="269"/>
      <c r="P328" s="269"/>
      <c r="Q328" s="269"/>
      <c r="R328" s="269"/>
      <c r="S328" s="269"/>
      <c r="T328" s="269"/>
      <c r="U328" s="269"/>
      <c r="V328" s="269"/>
      <c r="W328" s="269"/>
      <c r="X328" s="269"/>
      <c r="Y328" s="269"/>
      <c r="Z328" s="269"/>
      <c r="AA328" s="269"/>
      <c r="AB328" s="269"/>
      <c r="AC328" s="269"/>
      <c r="AD328" s="269"/>
      <c r="AE328" s="269"/>
      <c r="AF328" s="269"/>
      <c r="AG328" s="269"/>
    </row>
    <row r="329" spans="1:33" s="287" customFormat="1" ht="17.25" customHeight="1" outlineLevel="2">
      <c r="A329" s="894"/>
      <c r="C329" s="641" t="s">
        <v>306</v>
      </c>
      <c r="D329" s="8" t="str">
        <f t="shared" si="127"/>
        <v>USD</v>
      </c>
      <c r="F329" s="1036"/>
      <c r="I329" s="71">
        <f t="shared" si="128"/>
        <v>0</v>
      </c>
      <c r="J329" s="269"/>
      <c r="K329" s="269"/>
      <c r="L329" s="269"/>
      <c r="M329" s="269"/>
      <c r="N329" s="269"/>
      <c r="O329" s="269"/>
      <c r="P329" s="269"/>
      <c r="Q329" s="269"/>
      <c r="R329" s="269"/>
      <c r="S329" s="269"/>
      <c r="T329" s="269"/>
      <c r="U329" s="269"/>
      <c r="V329" s="269"/>
      <c r="W329" s="269"/>
      <c r="X329" s="269"/>
      <c r="Y329" s="269"/>
      <c r="Z329" s="269"/>
      <c r="AA329" s="269"/>
      <c r="AB329" s="269"/>
      <c r="AC329" s="269"/>
      <c r="AD329" s="269"/>
      <c r="AE329" s="269"/>
      <c r="AF329" s="269"/>
      <c r="AG329" s="269"/>
    </row>
    <row r="330" spans="1:33" s="287" customFormat="1" ht="17.25" customHeight="1" outlineLevel="2">
      <c r="A330" s="894"/>
      <c r="C330" s="641" t="s">
        <v>307</v>
      </c>
      <c r="D330" s="8" t="str">
        <f t="shared" si="127"/>
        <v>USD</v>
      </c>
      <c r="F330" s="1036"/>
      <c r="I330" s="71">
        <f t="shared" si="128"/>
        <v>0</v>
      </c>
      <c r="J330" s="269"/>
      <c r="K330" s="269"/>
      <c r="L330" s="269"/>
      <c r="M330" s="269"/>
      <c r="N330" s="269"/>
      <c r="O330" s="269"/>
      <c r="P330" s="269"/>
      <c r="Q330" s="269"/>
      <c r="R330" s="269"/>
      <c r="S330" s="269"/>
      <c r="T330" s="269"/>
      <c r="U330" s="269"/>
      <c r="V330" s="269"/>
      <c r="W330" s="269"/>
      <c r="X330" s="269"/>
      <c r="Y330" s="269"/>
      <c r="Z330" s="269"/>
      <c r="AA330" s="269"/>
      <c r="AB330" s="269"/>
      <c r="AC330" s="269"/>
      <c r="AD330" s="269"/>
      <c r="AE330" s="269"/>
      <c r="AF330" s="269"/>
      <c r="AG330" s="269"/>
    </row>
    <row r="331" spans="1:33" s="287" customFormat="1" ht="17.25" customHeight="1" outlineLevel="2">
      <c r="A331" s="894"/>
      <c r="C331" s="275" t="s">
        <v>266</v>
      </c>
    </row>
    <row r="332" spans="1:33" s="287" customFormat="1" ht="17.25" customHeight="1" outlineLevel="2">
      <c r="A332" s="894"/>
    </row>
    <row r="333" spans="1:33" s="287" customFormat="1" ht="21" customHeight="1" outlineLevel="2" thickBot="1">
      <c r="A333" s="894"/>
      <c r="C333" s="268" t="s">
        <v>314</v>
      </c>
      <c r="D333" s="412" t="str">
        <f>Currency_Label</f>
        <v>USD</v>
      </c>
      <c r="E333" s="36"/>
      <c r="F333" s="36"/>
      <c r="G333" s="36"/>
      <c r="H333" s="36"/>
      <c r="I333" s="71">
        <f>SUM(J333:AG333)</f>
        <v>121349.58618797854</v>
      </c>
      <c r="J333" s="711">
        <f t="shared" ref="J333:AG333" si="129">(J314+SUM(J317:J330))*J6</f>
        <v>4381.22</v>
      </c>
      <c r="K333" s="711">
        <f t="shared" si="129"/>
        <v>4769.6154999999999</v>
      </c>
      <c r="L333" s="711">
        <f t="shared" si="129"/>
        <v>4824.029955</v>
      </c>
      <c r="M333" s="711">
        <f t="shared" si="129"/>
        <v>4881.0885545500005</v>
      </c>
      <c r="N333" s="711">
        <f t="shared" si="129"/>
        <v>4940.9227400955006</v>
      </c>
      <c r="O333" s="711">
        <f t="shared" si="129"/>
        <v>5003.6705174964554</v>
      </c>
      <c r="P333" s="711">
        <f t="shared" si="129"/>
        <v>6069.6767851714203</v>
      </c>
      <c r="Q333" s="711">
        <f t="shared" si="129"/>
        <v>5063.8936786481345</v>
      </c>
      <c r="R333" s="711">
        <f t="shared" si="129"/>
        <v>5161.2809323408655</v>
      </c>
      <c r="S333" s="711">
        <f t="shared" si="129"/>
        <v>6513.5062594158371</v>
      </c>
      <c r="T333" s="711">
        <f t="shared" si="129"/>
        <v>5593.3457506491359</v>
      </c>
      <c r="U333" s="711">
        <f t="shared" si="129"/>
        <v>5664.6692932267251</v>
      </c>
      <c r="V333" s="711">
        <f t="shared" si="129"/>
        <v>6753.2110604836453</v>
      </c>
      <c r="W333" s="711">
        <f t="shared" si="129"/>
        <v>5845.2549241293673</v>
      </c>
      <c r="X333" s="711">
        <f t="shared" si="129"/>
        <v>5942.2149390635896</v>
      </c>
      <c r="Y333" s="711">
        <f t="shared" si="129"/>
        <v>7044.4158524318018</v>
      </c>
      <c r="Z333" s="711">
        <f t="shared" si="129"/>
        <v>6157.193638132575</v>
      </c>
      <c r="AA333" s="711">
        <f t="shared" si="129"/>
        <v>6269.0960580491774</v>
      </c>
      <c r="AB333" s="711">
        <f t="shared" si="129"/>
        <v>7387.0832513417117</v>
      </c>
      <c r="AC333" s="711">
        <f t="shared" si="129"/>
        <v>6371.6283532027719</v>
      </c>
      <c r="AD333" s="711">
        <f t="shared" si="129"/>
        <v>6712.5681445498258</v>
      </c>
      <c r="AE333" s="711">
        <f t="shared" si="129"/>
        <v>0</v>
      </c>
      <c r="AF333" s="711">
        <f t="shared" si="129"/>
        <v>0</v>
      </c>
      <c r="AG333" s="711">
        <f t="shared" si="129"/>
        <v>0</v>
      </c>
    </row>
    <row r="334" spans="1:33" s="287" customFormat="1" ht="17.25" customHeight="1" outlineLevel="2" thickTop="1">
      <c r="A334" s="894"/>
    </row>
    <row r="335" spans="1:33" s="287" customFormat="1" ht="23.25" customHeight="1" outlineLevel="1">
      <c r="A335" s="894"/>
      <c r="C335" s="279" t="str">
        <f>CHOOSE(language,Name_VAT&amp;" on other direct costs",Name_VAT&amp;" on other direct expenses""")</f>
        <v>VAT on other direct expenses"</v>
      </c>
      <c r="E335" s="287" t="s">
        <v>245</v>
      </c>
      <c r="G335" s="532" t="str">
        <f>Name_VAT &amp; " Rate"</f>
        <v>VAT Rate</v>
      </c>
    </row>
    <row r="336" spans="1:33" s="287" customFormat="1" ht="17.25" customHeight="1" outlineLevel="2">
      <c r="A336" s="894"/>
      <c r="C336" s="24" t="str">
        <f>CHOOSE(language,Name_VAT&amp;" on other direct costs (w/o revenue share)",Name_VAT&amp;" on other direct expenses(w/o revenue share)""")</f>
        <v>VAT on other direct expenses(w/o revenue share)"</v>
      </c>
      <c r="D336" s="8" t="str">
        <f t="shared" ref="D336" si="130">Currency_Label</f>
        <v>USD</v>
      </c>
      <c r="E336" s="85">
        <f>Inputs!$F$191</f>
        <v>0.7</v>
      </c>
      <c r="F336" s="346"/>
      <c r="G336" s="85">
        <f>Inputs!$I$191</f>
        <v>0.2</v>
      </c>
      <c r="H336" s="346"/>
      <c r="I336" s="71">
        <f>SUM(J336:AG336)</f>
        <v>10820.542066316995</v>
      </c>
      <c r="J336" s="259">
        <f t="shared" ref="J336:AG336" si="131">$E336*$G336*(J333-J314)</f>
        <v>369.07080000000002</v>
      </c>
      <c r="K336" s="259">
        <f t="shared" si="131"/>
        <v>387.04616999999996</v>
      </c>
      <c r="L336" s="259">
        <f t="shared" si="131"/>
        <v>394.66419369999994</v>
      </c>
      <c r="M336" s="259">
        <f t="shared" si="131"/>
        <v>402.65239763700004</v>
      </c>
      <c r="N336" s="259">
        <f t="shared" si="131"/>
        <v>411.02918361337004</v>
      </c>
      <c r="O336" s="259">
        <f t="shared" si="131"/>
        <v>419.81387244950372</v>
      </c>
      <c r="P336" s="259">
        <f t="shared" si="131"/>
        <v>569.05474992399877</v>
      </c>
      <c r="Q336" s="259">
        <f t="shared" si="131"/>
        <v>432.44511501073879</v>
      </c>
      <c r="R336" s="259">
        <f t="shared" si="131"/>
        <v>446.07933052772114</v>
      </c>
      <c r="S336" s="259">
        <f t="shared" si="131"/>
        <v>603.19087631821708</v>
      </c>
      <c r="T336" s="259">
        <f t="shared" si="131"/>
        <v>474.36840509087898</v>
      </c>
      <c r="U336" s="259">
        <f t="shared" si="131"/>
        <v>484.3537010517415</v>
      </c>
      <c r="V336" s="259">
        <f t="shared" si="131"/>
        <v>636.74954846771027</v>
      </c>
      <c r="W336" s="259">
        <f t="shared" si="131"/>
        <v>509.63568937811135</v>
      </c>
      <c r="X336" s="259">
        <f t="shared" si="131"/>
        <v>523.21009146890253</v>
      </c>
      <c r="Y336" s="259">
        <f t="shared" si="131"/>
        <v>677.51821934045222</v>
      </c>
      <c r="Z336" s="259">
        <f t="shared" si="131"/>
        <v>553.30710933856039</v>
      </c>
      <c r="AA336" s="259">
        <f t="shared" si="131"/>
        <v>568.97344812688482</v>
      </c>
      <c r="AB336" s="259">
        <f t="shared" si="131"/>
        <v>725.49165518783957</v>
      </c>
      <c r="AC336" s="259">
        <f t="shared" si="131"/>
        <v>599.42796944838801</v>
      </c>
      <c r="AD336" s="259">
        <f t="shared" si="131"/>
        <v>632.4595402369755</v>
      </c>
      <c r="AE336" s="259">
        <f t="shared" si="131"/>
        <v>0</v>
      </c>
      <c r="AF336" s="259">
        <f t="shared" si="131"/>
        <v>0</v>
      </c>
      <c r="AG336" s="259">
        <f t="shared" si="131"/>
        <v>0</v>
      </c>
    </row>
    <row r="337" spans="1:33" s="894" customFormat="1" ht="17.25" customHeight="1" outlineLevel="2"/>
    <row r="338" spans="1:33" s="894" customFormat="1" ht="17.25" customHeight="1" outlineLevel="2">
      <c r="K338" s="287"/>
      <c r="L338" s="287"/>
      <c r="M338" s="287"/>
      <c r="N338" s="287"/>
      <c r="O338" s="287"/>
      <c r="P338" s="287"/>
      <c r="Q338" s="287"/>
      <c r="R338" s="287"/>
      <c r="S338" s="287"/>
      <c r="T338" s="287"/>
      <c r="U338" s="287"/>
      <c r="V338" s="287"/>
      <c r="W338" s="287"/>
      <c r="X338" s="287"/>
      <c r="Y338" s="287"/>
      <c r="Z338" s="287"/>
      <c r="AA338" s="287"/>
      <c r="AB338" s="287"/>
      <c r="AC338" s="287"/>
      <c r="AD338" s="287"/>
      <c r="AE338" s="287"/>
      <c r="AF338" s="287"/>
      <c r="AG338" s="287"/>
    </row>
    <row r="339" spans="1:33" s="894" customFormat="1" ht="23.25" customHeight="1" outlineLevel="1">
      <c r="B339" s="279"/>
      <c r="C339" s="279" t="s">
        <v>848</v>
      </c>
      <c r="D339" s="287"/>
      <c r="O339" s="287"/>
      <c r="P339" s="287"/>
      <c r="Q339" s="287"/>
      <c r="R339" s="287"/>
      <c r="S339" s="287"/>
      <c r="T339" s="287"/>
      <c r="U339" s="287"/>
      <c r="V339" s="287"/>
      <c r="W339" s="287"/>
      <c r="X339" s="287"/>
      <c r="Y339" s="287"/>
      <c r="Z339" s="287"/>
      <c r="AA339" s="287"/>
      <c r="AB339" s="287"/>
      <c r="AC339" s="287"/>
      <c r="AD339" s="287"/>
      <c r="AE339" s="287"/>
      <c r="AF339" s="287"/>
      <c r="AG339" s="287"/>
    </row>
    <row r="340" spans="1:33" s="894" customFormat="1" ht="17.25" customHeight="1" outlineLevel="2">
      <c r="C340" s="894" t="str">
        <f>"Selected allocation basis: "&amp;Inputs!$F$40</f>
        <v>Selected allocation basis: Sales</v>
      </c>
      <c r="D340" s="1032" t="str">
        <f>" =&gt; Selection can be changed on sheet Inputs (row " &amp;ROW(Inputs!A40) &amp;")"</f>
        <v xml:space="preserve"> =&gt; Selection can be changed on sheet Inputs (row 40)</v>
      </c>
      <c r="E340" s="982"/>
      <c r="F340" s="983"/>
      <c r="G340" s="287"/>
      <c r="H340" s="287"/>
      <c r="I340" s="287"/>
      <c r="J340" s="329"/>
      <c r="K340" s="287"/>
      <c r="L340" s="287"/>
      <c r="M340" s="287"/>
      <c r="N340" s="287"/>
      <c r="O340" s="287"/>
      <c r="P340" s="287"/>
      <c r="Q340" s="287"/>
      <c r="R340" s="287"/>
      <c r="S340" s="287"/>
      <c r="T340" s="287"/>
      <c r="U340" s="287"/>
      <c r="V340" s="287"/>
      <c r="W340" s="287"/>
      <c r="X340" s="287"/>
      <c r="Y340" s="287"/>
      <c r="Z340" s="287"/>
      <c r="AA340" s="287"/>
      <c r="AB340" s="287"/>
      <c r="AC340" s="287"/>
      <c r="AD340" s="287"/>
      <c r="AE340" s="287"/>
      <c r="AF340" s="287"/>
      <c r="AG340" s="287"/>
    </row>
    <row r="341" spans="1:33" s="894" customFormat="1" ht="17.25" customHeight="1" outlineLevel="2">
      <c r="C341" s="24" t="str">
        <f>Product_01</f>
        <v>Desktops</v>
      </c>
      <c r="D341" s="8" t="str">
        <f t="shared" ref="D341:D351" si="132">Currency_Label</f>
        <v>USD</v>
      </c>
      <c r="F341" s="1034">
        <v>0.15</v>
      </c>
      <c r="I341" s="71">
        <f t="shared" ref="I341:I351" si="133">SUM(J341:AG341)</f>
        <v>16785.208218546453</v>
      </c>
      <c r="J341" s="695">
        <f>IF(J$6=0,0,IFERROR(IF(alloc_dc=1,J289/J$299*(J$333-J$314)+J304,IF(alloc_dc=2,Sales!J70/Sales!J$80*(J$333-J$314)+J304,J$333*$F341)),0))</f>
        <v>706.67773739399274</v>
      </c>
      <c r="K341" s="695">
        <f>IF(K$6=0,0,IFERROR(IF(alloc_dc=1,K289/K$299*(K$333-K$314)+K304,IF(alloc_dc=2,Sales!K70/Sales!K$80*(K$333-K$314)+K304,K$333*$F341)),0))</f>
        <v>742.8938291599419</v>
      </c>
      <c r="L341" s="695">
        <f>IF(L$6=0,0,IFERROR(IF(alloc_dc=1,L289/L$299*(L$333-L$314)+L304,IF(alloc_dc=2,Sales!L70/Sales!L$80*(L$333-L$314)+L304,L$333*$F341)),0))</f>
        <v>756.55953112050474</v>
      </c>
      <c r="M341" s="695">
        <f>IF(M$6=0,0,IFERROR(IF(alloc_dc=1,M289/M$299*(M$333-M$314)+M304,IF(alloc_dc=2,Sales!M70/Sales!M$80*(M$333-M$314)+M304,M$333*$F341)),0))</f>
        <v>770.88978408095579</v>
      </c>
      <c r="N341" s="695">
        <f>IF(N$6=0,0,IFERROR(IF(alloc_dc=1,N289/N$299*(N$333-N$314)+N304,IF(alloc_dc=2,Sales!N70/Sales!N$80*(N$333-N$314)+N304,N$333*$F341)),0))</f>
        <v>785.91659785524541</v>
      </c>
      <c r="O341" s="695">
        <f>IF(O$6=0,0,IFERROR(IF(alloc_dc=1,O289/O$299*(O$333-O$314)+O304,IF(alloc_dc=2,Sales!O70/Sales!O$80*(O$333-O$314)+O304,O$333*$F341)),0))</f>
        <v>801.67351228838845</v>
      </c>
      <c r="P341" s="695">
        <f>IF(P$6=0,0,IFERROR(IF(alloc_dc=1,P289/P$299*(P$333-P$314)+P304,IF(alloc_dc=2,Sales!P70/Sales!P$80*(P$333-P$314)+P304,P$333*$F341)),0))</f>
        <v>655.28630566635752</v>
      </c>
      <c r="Q341" s="695">
        <f>IF(Q$6=0,0,IFERROR(IF(alloc_dc=1,Q289/Q$299*(Q$333-Q$314)+Q304,IF(alloc_dc=2,Sales!Q70/Sales!Q$80*(Q$333-Q$314)+Q304,Q$333*$F341)),0))</f>
        <v>756.6969284110537</v>
      </c>
      <c r="R341" s="695">
        <f>IF(R$6=0,0,IFERROR(IF(alloc_dc=1,R289/R$299*(R$333-R$314)+R304,IF(alloc_dc=2,Sales!R70/Sales!R$80*(R$333-R$314)+R304,R$333*$F341)),0))</f>
        <v>766.56975058784201</v>
      </c>
      <c r="S341" s="695">
        <f>IF(S$6=0,0,IFERROR(IF(alloc_dc=1,S289/S$299*(S$333-S$314)+S304,IF(alloc_dc=2,Sales!S70/Sales!S$80*(S$333-S$314)+S304,S$333*$F341)),0))</f>
        <v>611.60691418484885</v>
      </c>
      <c r="T341" s="695">
        <f>IF(T$6=0,0,IFERROR(IF(alloc_dc=1,T289/T$299*(T$333-T$314)+T304,IF(alloc_dc=2,Sales!T70/Sales!T$80*(T$333-T$314)+T304,T$333*$F341)),0))</f>
        <v>788.71949794229897</v>
      </c>
      <c r="U341" s="695">
        <f>IF(U$6=0,0,IFERROR(IF(alloc_dc=1,U289/U$299*(U$333-U$314)+U304,IF(alloc_dc=2,Sales!U70/Sales!U$80*(U$333-U$314)+U304,U$333*$F341)),0))</f>
        <v>810.5826428454078</v>
      </c>
      <c r="V341" s="695">
        <f>IF(V$6=0,0,IFERROR(IF(alloc_dc=1,V289/V$299*(V$333-V$314)+V304,IF(alloc_dc=2,Sales!V70/Sales!V$80*(V$333-V$314)+V304,V$333*$F341)),0))</f>
        <v>646.85390030782082</v>
      </c>
      <c r="W341" s="695">
        <f>IF(W$6=0,0,IFERROR(IF(alloc_dc=1,W289/W$299*(W$333-W$314)+W304,IF(alloc_dc=2,Sales!W70/Sales!W$80*(W$333-W$314)+W304,W$333*$F341)),0))</f>
        <v>849.99847094596055</v>
      </c>
      <c r="X341" s="695">
        <f>IF(X$6=0,0,IFERROR(IF(alloc_dc=1,X289/X$299*(X$333-X$314)+X304,IF(alloc_dc=2,Sales!X70/Sales!X$80*(X$333-X$314)+X304,X$333*$F341)),0))</f>
        <v>871.13821124386016</v>
      </c>
      <c r="Y341" s="695">
        <f>IF(Y$6=0,0,IFERROR(IF(alloc_dc=1,Y289/Y$299*(Y$333-Y$314)+Y304,IF(alloc_dc=2,Sales!Y70/Sales!Y$80*(Y$333-Y$314)+Y304,Y$333*$F341)),0))</f>
        <v>686.08334769308817</v>
      </c>
      <c r="Z341" s="695">
        <f>IF(Z$6=0,0,IFERROR(IF(alloc_dc=1,Z289/Z$299*(Z$333-Z$314)+Z304,IF(alloc_dc=2,Sales!Z70/Sales!Z$80*(Z$333-Z$314)+Z304,Z$333*$F341)),0))</f>
        <v>914.18395186758721</v>
      </c>
      <c r="AA341" s="695">
        <f>IF(AA$6=0,0,IFERROR(IF(alloc_dc=1,AA289/AA$299*(AA$333-AA$314)+AA304,IF(alloc_dc=2,Sales!AA70/Sales!AA$80*(AA$333-AA$314)+AA304,AA$333*$F341)),0))</f>
        <v>938.41852174497967</v>
      </c>
      <c r="AB341" s="695">
        <f>IF(AB$6=0,0,IFERROR(IF(alloc_dc=1,AB289/AB$299*(AB$333-AB$314)+AB304,IF(alloc_dc=2,Sales!AB70/Sales!AB$80*(AB$333-AB$314)+AB304,AB$333*$F341)),0))</f>
        <v>730.39118673185874</v>
      </c>
      <c r="AC341" s="695">
        <f>IF(AC$6=0,0,IFERROR(IF(alloc_dc=1,AC289/AC$299*(AC$333-AC$314)+AC304,IF(alloc_dc=2,Sales!AC70/Sales!AC$80*(AC$333-AC$314)+AC304,AC$333*$F341)),0))</f>
        <v>999.71243847977485</v>
      </c>
      <c r="AD341" s="695">
        <f>IF(AD$6=0,0,IFERROR(IF(alloc_dc=1,AD289/AD$299*(AD$333-AD$314)+AD304,IF(alloc_dc=2,Sales!AD70/Sales!AD$80*(AD$333-AD$314)+AD304,AD$333*$F341)),0))</f>
        <v>1194.3551579946845</v>
      </c>
      <c r="AE341" s="695">
        <f>IF(AE$6=0,0,IFERROR(IF(alloc_dc=1,AE289/AE$299*(AE$333-AE$314)+AE304,IF(alloc_dc=2,Sales!AE70/Sales!AE$80*(AE$333-AE$314)+AE304,AE$333*$F341)),0))</f>
        <v>0</v>
      </c>
      <c r="AF341" s="695">
        <f>IF(AF$6=0,0,IFERROR(IF(alloc_dc=1,AF289/AF$299*(AF$333-AF$314)+AF304,IF(alloc_dc=2,Sales!AF70/Sales!AF$80*(AF$333-AF$314)+AF304,AF$333*$F341)),0))</f>
        <v>0</v>
      </c>
      <c r="AG341" s="695">
        <f>IF(AG$6=0,0,IFERROR(IF(alloc_dc=1,AG289/AG$299*(AG$333-AG$314)+AG304,IF(alloc_dc=2,Sales!AG70/Sales!AG$80*(AG$333-AG$314)+AG304,AG$333*$F341)),0))</f>
        <v>0</v>
      </c>
    </row>
    <row r="342" spans="1:33" s="894" customFormat="1" ht="17.25" customHeight="1" outlineLevel="2">
      <c r="C342" s="24" t="str">
        <f>Product_02</f>
        <v>Workstations</v>
      </c>
      <c r="D342" s="8" t="str">
        <f t="shared" si="132"/>
        <v>USD</v>
      </c>
      <c r="F342" s="1034">
        <v>0.15</v>
      </c>
      <c r="I342" s="71">
        <f t="shared" si="133"/>
        <v>37653.940259034716</v>
      </c>
      <c r="J342" s="695">
        <f>IF(J$6=0,0,IFERROR(IF(alloc_dc=1,J290/J$299*(J$333-J$314)+J305,IF(alloc_dc=2,Sales!J71/Sales!J$80*(J$333-J$314)+J305,J$333*$F342)),0))</f>
        <v>1257.7368926766094</v>
      </c>
      <c r="K342" s="695">
        <f>IF(K$6=0,0,IFERROR(IF(alloc_dc=1,K290/K$299*(K$333-K$314)+K305,IF(alloc_dc=2,Sales!K71/Sales!K$80*(K$333-K$314)+K305,K$333*$F342)),0))</f>
        <v>1569.8171516137263</v>
      </c>
      <c r="L342" s="695">
        <f>IF(L$6=0,0,IFERROR(IF(alloc_dc=1,L290/L$299*(L$333-L$314)+L305,IF(alloc_dc=2,Sales!L71/Sales!L$80*(L$333-L$314)+L305,L$333*$F342)),0))</f>
        <v>1577.5397841712925</v>
      </c>
      <c r="M342" s="695">
        <f>IF(M$6=0,0,IFERROR(IF(alloc_dc=1,M290/M$299*(M$333-M$314)+M305,IF(alloc_dc=2,Sales!M71/Sales!M$80*(M$333-M$314)+M305,M$333*$F342)),0))</f>
        <v>1585.6379615199505</v>
      </c>
      <c r="N342" s="695">
        <f>IF(N$6=0,0,IFERROR(IF(alloc_dc=1,N290/N$299*(N$333-N$314)+N305,IF(alloc_dc=2,Sales!N71/Sales!N$80*(N$333-N$314)+N305,N$333*$F342)),0))</f>
        <v>1594.1297727437504</v>
      </c>
      <c r="O342" s="695">
        <f>IF(O$6=0,0,IFERROR(IF(alloc_dc=1,O290/O$299*(O$333-O$314)+O305,IF(alloc_dc=2,Sales!O71/Sales!O$80*(O$333-O$314)+O305,O$333*$F342)),0))</f>
        <v>1603.0341715634627</v>
      </c>
      <c r="P342" s="695">
        <f>IF(P$6=0,0,IFERROR(IF(alloc_dc=1,P290/P$299*(P$333-P$314)+P305,IF(alloc_dc=2,Sales!P71/Sales!P$80*(P$333-P$314)+P305,P$333*$F342)),0))</f>
        <v>1520.3092145043299</v>
      </c>
      <c r="Q342" s="695">
        <f>IF(Q$6=0,0,IFERROR(IF(alloc_dc=1,Q290/Q$299*(Q$333-Q$314)+Q305,IF(alloc_dc=2,Sales!Q71/Sales!Q$80*(Q$333-Q$314)+Q305,Q$333*$F342)),0))</f>
        <v>1629.4498444477751</v>
      </c>
      <c r="R342" s="695">
        <f>IF(R$6=0,0,IFERROR(IF(alloc_dc=1,R290/R$299*(R$333-R$314)+R305,IF(alloc_dc=2,Sales!R71/Sales!R$80*(R$333-R$314)+R305,R$333*$F342)),0))</f>
        <v>1635.7053516121314</v>
      </c>
      <c r="S342" s="695">
        <f>IF(S$6=0,0,IFERROR(IF(alloc_dc=1,S290/S$299*(S$333-S$314)+S305,IF(alloc_dc=2,Sales!S71/Sales!S$80*(S$333-S$314)+S305,S$333*$F342)),0))</f>
        <v>1845.0234388843478</v>
      </c>
      <c r="T342" s="695">
        <f>IF(T$6=0,0,IFERROR(IF(alloc_dc=1,T290/T$299*(T$333-T$314)+T305,IF(alloc_dc=2,Sales!T71/Sales!T$80*(T$333-T$314)+T305,T$333*$F342)),0))</f>
        <v>1979.6875521544753</v>
      </c>
      <c r="U342" s="695">
        <f>IF(U$6=0,0,IFERROR(IF(alloc_dc=1,U290/U$299*(U$333-U$314)+U305,IF(alloc_dc=2,Sales!U71/Sales!U$80*(U$333-U$314)+U305,U$333*$F342)),0))</f>
        <v>1996.3107697667565</v>
      </c>
      <c r="V342" s="695">
        <f>IF(V$6=0,0,IFERROR(IF(alloc_dc=1,V290/V$299*(V$333-V$314)+V305,IF(alloc_dc=2,Sales!V71/Sales!V$80*(V$333-V$314)+V305,V$333*$F342)),0))</f>
        <v>1871.8228002340456</v>
      </c>
      <c r="W342" s="695">
        <f>IF(W$6=0,0,IFERROR(IF(alloc_dc=1,W290/W$299*(W$333-W$314)+W305,IF(alloc_dc=2,Sales!W71/Sales!W$80*(W$333-W$314)+W305,W$333*$F342)),0))</f>
        <v>2026.2798291489948</v>
      </c>
      <c r="X342" s="695">
        <f>IF(X$6=0,0,IFERROR(IF(alloc_dc=1,X290/X$299*(X$333-X$314)+X305,IF(alloc_dc=2,Sales!X71/Sales!X$80*(X$333-X$314)+X305,X$333*$F342)),0))</f>
        <v>2042.3530201192984</v>
      </c>
      <c r="Y342" s="695">
        <f>IF(Y$6=0,0,IFERROR(IF(alloc_dc=1,Y290/Y$299*(Y$333-Y$314)+Y305,IF(alloc_dc=2,Sales!Y71/Sales!Y$80*(Y$333-Y$314)+Y305,Y$333*$F342)),0))</f>
        <v>1901.6501486592074</v>
      </c>
      <c r="Z342" s="695">
        <f>IF(Z$6=0,0,IFERROR(IF(alloc_dc=1,Z290/Z$299*(Z$333-Z$314)+Z305,IF(alloc_dc=2,Sales!Z71/Sales!Z$80*(Z$333-Z$314)+Z305,Z$333*$F342)),0))</f>
        <v>2075.0820129902313</v>
      </c>
      <c r="AA342" s="695">
        <f>IF(AA$6=0,0,IFERROR(IF(alloc_dc=1,AA290/AA$299*(AA$333-AA$314)+AA305,IF(alloc_dc=2,Sales!AA71/Sales!AA$80*(AA$333-AA$314)+AA305,AA$333*$F342)),0))</f>
        <v>2093.5082975251084</v>
      </c>
      <c r="AB342" s="695">
        <f>IF(AB$6=0,0,IFERROR(IF(alloc_dc=1,AB290/AB$299*(AB$333-AB$314)+AB305,IF(alloc_dc=2,Sales!AB71/Sales!AB$80*(AB$333-AB$314)+AB305,AB$333*$F342)),0))</f>
        <v>1935.3387535481902</v>
      </c>
      <c r="AC342" s="695">
        <f>IF(AC$6=0,0,IFERROR(IF(alloc_dc=1,AC290/AC$299*(AC$333-AC$314)+AC305,IF(alloc_dc=2,Sales!AC71/Sales!AC$80*(AC$333-AC$314)+AC305,AC$333*$F342)),0))</f>
        <v>1961.7692753040856</v>
      </c>
      <c r="AD342" s="695">
        <f>IF(AD$6=0,0,IFERROR(IF(alloc_dc=1,AD290/AD$299*(AD$333-AD$314)+AD305,IF(alloc_dc=2,Sales!AD71/Sales!AD$80*(AD$333-AD$314)+AD305,AD$333*$F342)),0))</f>
        <v>1951.7542158469437</v>
      </c>
      <c r="AE342" s="695">
        <f>IF(AE$6=0,0,IFERROR(IF(alloc_dc=1,AE290/AE$299*(AE$333-AE$314)+AE305,IF(alloc_dc=2,Sales!AE71/Sales!AE$80*(AE$333-AE$314)+AE305,AE$333*$F342)),0))</f>
        <v>0</v>
      </c>
      <c r="AF342" s="695">
        <f>IF(AF$6=0,0,IFERROR(IF(alloc_dc=1,AF290/AF$299*(AF$333-AF$314)+AF305,IF(alloc_dc=2,Sales!AF71/Sales!AF$80*(AF$333-AF$314)+AF305,AF$333*$F342)),0))</f>
        <v>0</v>
      </c>
      <c r="AG342" s="695">
        <f>IF(AG$6=0,0,IFERROR(IF(alloc_dc=1,AG290/AG$299*(AG$333-AG$314)+AG305,IF(alloc_dc=2,Sales!AG71/Sales!AG$80*(AG$333-AG$314)+AG305,AG$333*$F342)),0))</f>
        <v>0</v>
      </c>
    </row>
    <row r="343" spans="1:33" s="894" customFormat="1" ht="17.25" customHeight="1" outlineLevel="2">
      <c r="C343" s="24" t="str">
        <f>Product_03</f>
        <v>Notebooks</v>
      </c>
      <c r="D343" s="8" t="str">
        <f t="shared" si="132"/>
        <v>USD</v>
      </c>
      <c r="F343" s="1034">
        <v>0.12</v>
      </c>
      <c r="I343" s="71">
        <f t="shared" si="133"/>
        <v>6426.2864293533357</v>
      </c>
      <c r="J343" s="695">
        <f>IF(J$6=0,0,IFERROR(IF(alloc_dc=1,J291/J$299*(J$333-J$314)+J306,IF(alloc_dc=2,Sales!J72/Sales!J$80*(J$333-J$314)+J306,J$333*$F343)),0))</f>
        <v>245.96056314492211</v>
      </c>
      <c r="K343" s="695">
        <f>IF(K$6=0,0,IFERROR(IF(alloc_dc=1,K291/K$299*(K$333-K$314)+K306,IF(alloc_dc=2,Sales!K72/Sales!K$80*(K$333-K$314)+K306,K$333*$F343)),0))</f>
        <v>244.58912311408409</v>
      </c>
      <c r="L343" s="695">
        <f>IF(L$6=0,0,IFERROR(IF(alloc_dc=1,L291/L$299*(L$333-L$314)+L306,IF(alloc_dc=2,Sales!L72/Sales!L$80*(L$333-L$314)+L306,L$333*$F343)),0))</f>
        <v>249.08839599544874</v>
      </c>
      <c r="M343" s="695">
        <f>IF(M$6=0,0,IFERROR(IF(alloc_dc=1,M291/M$299*(M$333-M$314)+M306,IF(alloc_dc=2,Sales!M72/Sales!M$80*(M$333-M$314)+M306,M$333*$F343)),0))</f>
        <v>253.80646453771024</v>
      </c>
      <c r="N343" s="695">
        <f>IF(N$6=0,0,IFERROR(IF(alloc_dc=1,N291/N$299*(N$333-N$314)+N306,IF(alloc_dc=2,Sales!N72/Sales!N$80*(N$333-N$314)+N306,N$333*$F343)),0))</f>
        <v>258.75386759853285</v>
      </c>
      <c r="O343" s="695">
        <f>IF(O$6=0,0,IFERROR(IF(alloc_dc=1,O291/O$299*(O$333-O$314)+O306,IF(alloc_dc=2,Sales!O72/Sales!O$80*(O$333-O$314)+O306,O$333*$F343)),0))</f>
        <v>263.94164778045217</v>
      </c>
      <c r="P343" s="695">
        <f>IF(P$6=0,0,IFERROR(IF(alloc_dc=1,P291/P$299*(P$333-P$314)+P306,IF(alloc_dc=2,Sales!P72/Sales!P$80*(P$333-P$314)+P306,P$333*$F343)),0))</f>
        <v>215.74536845034868</v>
      </c>
      <c r="Q343" s="695">
        <f>IF(Q$6=0,0,IFERROR(IF(alloc_dc=1,Q291/Q$299*(Q$333-Q$314)+Q306,IF(alloc_dc=2,Sales!Q72/Sales!Q$80*(Q$333-Q$314)+Q306,Q$333*$F343)),0))</f>
        <v>307.2648133547915</v>
      </c>
      <c r="R343" s="695">
        <f>IF(R$6=0,0,IFERROR(IF(alloc_dc=1,R291/R$299*(R$333-R$314)+R306,IF(alloc_dc=2,Sales!R72/Sales!R$80*(R$333-R$314)+R306,R$333*$F343)),0))</f>
        <v>311.27377751142672</v>
      </c>
      <c r="S343" s="695">
        <f>IF(S$6=0,0,IFERROR(IF(alloc_dc=1,S291/S$299*(S$333-S$314)+S306,IF(alloc_dc=2,Sales!S72/Sales!S$80*(S$333-S$314)+S306,S$333*$F343)),0))</f>
        <v>248.34947424475678</v>
      </c>
      <c r="T343" s="695">
        <f>IF(T$6=0,0,IFERROR(IF(alloc_dc=1,T291/T$299*(T$333-T$314)+T306,IF(alloc_dc=2,Sales!T72/Sales!T$80*(T$333-T$314)+T306,T$333*$F343)),0))</f>
        <v>320.26791734626687</v>
      </c>
      <c r="U343" s="695">
        <f>IF(U$6=0,0,IFERROR(IF(alloc_dc=1,U291/U$299*(U$333-U$314)+U306,IF(alloc_dc=2,Sales!U72/Sales!U$80*(U$333-U$314)+U306,U$333*$F343)),0))</f>
        <v>329.14567921601412</v>
      </c>
      <c r="V343" s="695">
        <f>IF(V$6=0,0,IFERROR(IF(alloc_dc=1,V291/V$299*(V$333-V$314)+V306,IF(alloc_dc=2,Sales!V72/Sales!V$80*(V$333-V$314)+V306,V$333*$F343)),0))</f>
        <v>262.66188679166055</v>
      </c>
      <c r="W343" s="695">
        <f>IF(W$6=0,0,IFERROR(IF(alloc_dc=1,W291/W$299*(W$333-W$314)+W306,IF(alloc_dc=2,Sales!W72/Sales!W$80*(W$333-W$314)+W306,W$333*$F343)),0))</f>
        <v>345.15089426290518</v>
      </c>
      <c r="X343" s="695">
        <f>IF(X$6=0,0,IFERROR(IF(alloc_dc=1,X291/X$299*(X$333-X$314)+X306,IF(alloc_dc=2,Sales!X72/Sales!X$80*(X$333-X$314)+X306,X$333*$F343)),0))</f>
        <v>353.73491002023411</v>
      </c>
      <c r="Y343" s="695">
        <f>IF(Y$6=0,0,IFERROR(IF(alloc_dc=1,Y291/Y$299*(Y$333-Y$314)+Y306,IF(alloc_dc=2,Sales!Y72/Sales!Y$80*(Y$333-Y$314)+Y306,Y$333*$F343)),0))</f>
        <v>278.59141997234491</v>
      </c>
      <c r="Z343" s="695">
        <f>IF(Z$6=0,0,IFERROR(IF(alloc_dc=1,Z291/Z$299*(Z$333-Z$314)+Z306,IF(alloc_dc=2,Sales!Z72/Sales!Z$80*(Z$333-Z$314)+Z306,Z$333*$F343)),0))</f>
        <v>387.83561594382491</v>
      </c>
      <c r="AA343" s="695">
        <f>IF(AA$6=0,0,IFERROR(IF(alloc_dc=1,AA291/AA$299*(AA$333-AA$314)+AA306,IF(alloc_dc=2,Sales!AA72/Sales!AA$80*(AA$333-AA$314)+AA306,AA$333*$F343)),0))</f>
        <v>398.11694861908228</v>
      </c>
      <c r="AB343" s="695">
        <f>IF(AB$6=0,0,IFERROR(IF(alloc_dc=1,AB291/AB$299*(AB$333-AB$314)+AB306,IF(alloc_dc=2,Sales!AB72/Sales!AB$80*(AB$333-AB$314)+AB306,AB$333*$F343)),0))</f>
        <v>309.86292770442492</v>
      </c>
      <c r="AC343" s="695">
        <f>IF(AC$6=0,0,IFERROR(IF(alloc_dc=1,AC291/AC$299*(AC$333-AC$314)+AC306,IF(alloc_dc=2,Sales!AC72/Sales!AC$80*(AC$333-AC$314)+AC306,AC$333*$F343)),0))</f>
        <v>424.12042844596505</v>
      </c>
      <c r="AD343" s="695">
        <f>IF(AD$6=0,0,IFERROR(IF(alloc_dc=1,AD291/AD$299*(AD$333-AD$314)+AD306,IF(alloc_dc=2,Sales!AD72/Sales!AD$80*(AD$333-AD$314)+AD306,AD$333*$F343)),0))</f>
        <v>418.02430529813961</v>
      </c>
      <c r="AE343" s="695">
        <f>IF(AE$6=0,0,IFERROR(IF(alloc_dc=1,AE291/AE$299*(AE$333-AE$314)+AE306,IF(alloc_dc=2,Sales!AE72/Sales!AE$80*(AE$333-AE$314)+AE306,AE$333*$F343)),0))</f>
        <v>0</v>
      </c>
      <c r="AF343" s="695">
        <f>IF(AF$6=0,0,IFERROR(IF(alloc_dc=1,AF291/AF$299*(AF$333-AF$314)+AF306,IF(alloc_dc=2,Sales!AF72/Sales!AF$80*(AF$333-AF$314)+AF306,AF$333*$F343)),0))</f>
        <v>0</v>
      </c>
      <c r="AG343" s="695">
        <f>IF(AG$6=0,0,IFERROR(IF(alloc_dc=1,AG291/AG$299*(AG$333-AG$314)+AG306,IF(alloc_dc=2,Sales!AG72/Sales!AG$80*(AG$333-AG$314)+AG306,AG$333*$F343)),0))</f>
        <v>0</v>
      </c>
    </row>
    <row r="344" spans="1:33" s="894" customFormat="1" ht="17.25" customHeight="1" outlineLevel="2">
      <c r="C344" s="24" t="str">
        <f>Product_04</f>
        <v>Software Products</v>
      </c>
      <c r="D344" s="8" t="str">
        <f t="shared" si="132"/>
        <v>USD</v>
      </c>
      <c r="F344" s="1034">
        <v>0.12</v>
      </c>
      <c r="I344" s="71">
        <f t="shared" si="133"/>
        <v>21319.018371091872</v>
      </c>
      <c r="J344" s="695">
        <f>IF(J$6=0,0,IFERROR(IF(alloc_dc=1,J292/J$299*(J$333-J$314)+J307,IF(alloc_dc=2,Sales!J73/Sales!J$80*(J$333-J$314)+J307,J$333*$F344)),0))</f>
        <v>976.4309437272841</v>
      </c>
      <c r="K344" s="695">
        <f>IF(K$6=0,0,IFERROR(IF(alloc_dc=1,K292/K$299*(K$333-K$314)+K307,IF(alloc_dc=2,Sales!K73/Sales!K$80*(K$333-K$314)+K307,K$333*$F344)),0))</f>
        <v>1011.0624628824939</v>
      </c>
      <c r="L344" s="695">
        <f>IF(L$6=0,0,IFERROR(IF(alloc_dc=1,L292/L$299*(L$333-L$314)+L307,IF(alloc_dc=2,Sales!L73/Sales!L$80*(L$333-L$314)+L307,L$333*$F344)),0))</f>
        <v>1013.9332675941109</v>
      </c>
      <c r="M344" s="695">
        <f>IF(M$6=0,0,IFERROR(IF(alloc_dc=1,M292/M$299*(M$333-M$314)+M307,IF(alloc_dc=2,Sales!M73/Sales!M$80*(M$333-M$314)+M307,M$333*$F344)),0))</f>
        <v>1016.9436769998076</v>
      </c>
      <c r="N344" s="695">
        <f>IF(N$6=0,0,IFERROR(IF(alloc_dc=1,N292/N$299*(N$333-N$314)+N307,IF(alloc_dc=2,Sales!N73/Sales!N$80*(N$333-N$314)+N307,N$333*$F344)),0))</f>
        <v>1020.1004155199594</v>
      </c>
      <c r="O344" s="695">
        <f>IF(O$6=0,0,IFERROR(IF(alloc_dc=1,O292/O$299*(O$333-O$314)+O307,IF(alloc_dc=2,Sales!O73/Sales!O$80*(O$333-O$314)+O307,O$333*$F344)),0))</f>
        <v>1023.4105289942438</v>
      </c>
      <c r="P344" s="695">
        <f>IF(P$6=0,0,IFERROR(IF(alloc_dc=1,P292/P$299*(P$333-P$314)+P307,IF(alloc_dc=2,Sales!P73/Sales!P$80*(P$333-P$314)+P307,P$333*$F344)),0))</f>
        <v>992.658425391827</v>
      </c>
      <c r="Q344" s="695">
        <f>IF(Q$6=0,0,IFERROR(IF(alloc_dc=1,Q292/Q$299*(Q$333-Q$314)+Q307,IF(alloc_dc=2,Sales!Q73/Sales!Q$80*(Q$333-Q$314)+Q307,Q$333*$F344)),0))</f>
        <v>996.97657463887583</v>
      </c>
      <c r="R344" s="695">
        <f>IF(R$6=0,0,IFERROR(IF(alloc_dc=1,R292/R$299*(R$333-R$314)+R307,IF(alloc_dc=2,Sales!R73/Sales!R$80*(R$333-R$314)+R307,R$333*$F344)),0))</f>
        <v>999.22039786087316</v>
      </c>
      <c r="S344" s="695">
        <f>IF(S$6=0,0,IFERROR(IF(alloc_dc=1,S292/S$299*(S$333-S$314)+S307,IF(alloc_dc=2,Sales!S73/Sales!S$80*(S$333-S$314)+S307,S$333*$F344)),0))</f>
        <v>964.0015714056475</v>
      </c>
      <c r="T344" s="695">
        <f>IF(T$6=0,0,IFERROR(IF(alloc_dc=1,T292/T$299*(T$333-T$314)+T307,IF(alloc_dc=2,Sales!T73/Sales!T$80*(T$333-T$314)+T307,T$333*$F344)),0))</f>
        <v>1004.2544313505225</v>
      </c>
      <c r="U344" s="695">
        <f>IF(U$6=0,0,IFERROR(IF(alloc_dc=1,U292/U$299*(U$333-U$314)+U307,IF(alloc_dc=2,Sales!U73/Sales!U$80*(U$333-U$314)+U307,U$333*$F344)),0))</f>
        <v>1009.2233279194108</v>
      </c>
      <c r="V344" s="695">
        <f>IF(V$6=0,0,IFERROR(IF(alloc_dc=1,V292/V$299*(V$333-V$314)+V307,IF(alloc_dc=2,Sales!V73/Sales!V$80*(V$333-V$314)+V307,V$333*$F344)),0))</f>
        <v>972.01225006995924</v>
      </c>
      <c r="W344" s="695">
        <f>IF(W$6=0,0,IFERROR(IF(alloc_dc=1,W292/W$299*(W$333-W$314)+W307,IF(alloc_dc=2,Sales!W73/Sales!W$80*(W$333-W$314)+W307,W$333*$F344)),0))</f>
        <v>1018.1814706695365</v>
      </c>
      <c r="X344" s="695">
        <f>IF(X$6=0,0,IFERROR(IF(alloc_dc=1,X292/X$299*(X$333-X$314)+X307,IF(alloc_dc=2,Sales!X73/Sales!X$80*(X$333-X$314)+X307,X$333*$F344)),0))</f>
        <v>1022.9859571008773</v>
      </c>
      <c r="Y344" s="695">
        <f>IF(Y$6=0,0,IFERROR(IF(alloc_dc=1,Y292/Y$299*(Y$333-Y$314)+Y307,IF(alloc_dc=2,Sales!Y73/Sales!Y$80*(Y$333-Y$314)+Y307,Y$333*$F344)),0))</f>
        <v>980.92803356661091</v>
      </c>
      <c r="Z344" s="695">
        <f>IF(Z$6=0,0,IFERROR(IF(alloc_dc=1,Z292/Z$299*(Z$333-Z$314)+Z307,IF(alloc_dc=2,Sales!Z73/Sales!Z$80*(Z$333-Z$314)+Z307,Z$333*$F344)),0))</f>
        <v>1032.7690799699062</v>
      </c>
      <c r="AA344" s="695">
        <f>IF(AA$6=0,0,IFERROR(IF(alloc_dc=1,AA292/AA$299*(AA$333-AA$314)+AA307,IF(alloc_dc=2,Sales!AA73/Sales!AA$80*(AA$333-AA$314)+AA307,AA$333*$F344)),0))</f>
        <v>1038.2769367602227</v>
      </c>
      <c r="AB344" s="695">
        <f>IF(AB$6=0,0,IFERROR(IF(alloc_dc=1,AB292/AB$299*(AB$333-AB$314)+AB307,IF(alloc_dc=2,Sales!AB73/Sales!AB$80*(AB$333-AB$314)+AB307,AB$333*$F344)),0))</f>
        <v>990.99799698451329</v>
      </c>
      <c r="AC344" s="695">
        <f>IF(AC$6=0,0,IFERROR(IF(alloc_dc=1,AC292/AC$299*(AC$333-AC$314)+AC307,IF(alloc_dc=2,Sales!AC73/Sales!AC$80*(AC$333-AC$314)+AC307,AC$333*$F344)),0))</f>
        <v>1052.2073723817671</v>
      </c>
      <c r="AD344" s="695">
        <f>IF(AD$6=0,0,IFERROR(IF(alloc_dc=1,AD292/AD$299*(AD$333-AD$314)+AD307,IF(alloc_dc=2,Sales!AD73/Sales!AD$80*(AD$333-AD$314)+AD307,AD$333*$F344)),0))</f>
        <v>1182.4432493034219</v>
      </c>
      <c r="AE344" s="695">
        <f>IF(AE$6=0,0,IFERROR(IF(alloc_dc=1,AE292/AE$299*(AE$333-AE$314)+AE307,IF(alloc_dc=2,Sales!AE73/Sales!AE$80*(AE$333-AE$314)+AE307,AE$333*$F344)),0))</f>
        <v>0</v>
      </c>
      <c r="AF344" s="695">
        <f>IF(AF$6=0,0,IFERROR(IF(alloc_dc=1,AF292/AF$299*(AF$333-AF$314)+AF307,IF(alloc_dc=2,Sales!AF73/Sales!AF$80*(AF$333-AF$314)+AF307,AF$333*$F344)),0))</f>
        <v>0</v>
      </c>
      <c r="AG344" s="695">
        <f>IF(AG$6=0,0,IFERROR(IF(alloc_dc=1,AG292/AG$299*(AG$333-AG$314)+AG307,IF(alloc_dc=2,Sales!AG73/Sales!AG$80*(AG$333-AG$314)+AG307,AG$333*$F344)),0))</f>
        <v>0</v>
      </c>
    </row>
    <row r="345" spans="1:33" s="894" customFormat="1" ht="17.25" customHeight="1" outlineLevel="2">
      <c r="C345" s="24" t="str">
        <f>Product_05</f>
        <v>Net work infrastructure solutions</v>
      </c>
      <c r="D345" s="8" t="str">
        <f t="shared" si="132"/>
        <v>USD</v>
      </c>
      <c r="F345" s="1034">
        <v>0.1</v>
      </c>
      <c r="I345" s="71">
        <f t="shared" si="133"/>
        <v>2217.4516062148896</v>
      </c>
      <c r="J345" s="695">
        <f>IF(J$6=0,0,IFERROR(IF(alloc_dc=1,J293/J$299*(J$333-J$314)+J308,IF(alloc_dc=2,Sales!J74/Sales!J$80*(J$333-J$314)+J308,J$333*$F345)),0))</f>
        <v>82.598696578518613</v>
      </c>
      <c r="K345" s="695">
        <f>IF(K$6=0,0,IFERROR(IF(alloc_dc=1,K293/K$299*(K$333-K$314)+K308,IF(alloc_dc=2,Sales!K74/Sales!K$80*(K$333-K$314)+K308,K$333*$F345)),0))</f>
        <v>82.138138359207346</v>
      </c>
      <c r="L345" s="695">
        <f>IF(L$6=0,0,IFERROR(IF(alloc_dc=1,L293/L$299*(L$333-L$314)+L308,IF(alloc_dc=2,Sales!L74/Sales!L$80*(L$333-L$314)+L308,L$333*$F345)),0))</f>
        <v>83.649088207426814</v>
      </c>
      <c r="M345" s="695">
        <f>IF(M$6=0,0,IFERROR(IF(alloc_dc=1,M293/M$299*(M$333-M$314)+M308,IF(alloc_dc=2,Sales!M74/Sales!M$80*(M$333-M$314)+M308,M$333*$F345)),0))</f>
        <v>85.233514210425085</v>
      </c>
      <c r="N345" s="695">
        <f>IF(N$6=0,0,IFERROR(IF(alloc_dc=1,N293/N$299*(N$333-N$314)+N308,IF(alloc_dc=2,Sales!N74/Sales!N$80*(N$333-N$314)+N308,N$333*$F345)),0))</f>
        <v>86.894955536820746</v>
      </c>
      <c r="O345" s="695">
        <f>IF(O$6=0,0,IFERROR(IF(alloc_dc=1,O293/O$299*(O$333-O$314)+O308,IF(alloc_dc=2,Sales!O74/Sales!O$80*(O$333-O$314)+O308,O$333*$F345)),0))</f>
        <v>88.6371205232862</v>
      </c>
      <c r="P345" s="695">
        <f>IF(P$6=0,0,IFERROR(IF(alloc_dc=1,P293/P$299*(P$333-P$314)+P308,IF(alloc_dc=2,Sales!P74/Sales!P$80*(P$333-P$314)+P308,P$333*$F345)),0))</f>
        <v>72.451802837803669</v>
      </c>
      <c r="Q345" s="695">
        <f>IF(Q$6=0,0,IFERROR(IF(alloc_dc=1,Q293/Q$299*(Q$333-Q$314)+Q308,IF(alloc_dc=2,Sales!Q74/Sales!Q$80*(Q$333-Q$314)+Q308,Q$333*$F345)),0))</f>
        <v>93.805404348477737</v>
      </c>
      <c r="R345" s="695">
        <f>IF(R$6=0,0,IFERROR(IF(alloc_dc=1,R293/R$299*(R$333-R$314)+R308,IF(alloc_dc=2,Sales!R74/Sales!R$80*(R$333-R$314)+R308,R$333*$F345)),0))</f>
        <v>105.58811991568071</v>
      </c>
      <c r="S345" s="695">
        <f>IF(S$6=0,0,IFERROR(IF(alloc_dc=1,S293/S$299*(S$333-S$314)+S308,IF(alloc_dc=2,Sales!S74/Sales!S$80*(S$333-S$314)+S308,S$333*$F345)),0))</f>
        <v>84.243376609483306</v>
      </c>
      <c r="T345" s="695">
        <f>IF(T$6=0,0,IFERROR(IF(alloc_dc=1,T293/T$299*(T$333-T$314)+T308,IF(alloc_dc=2,Sales!T74/Sales!T$80*(T$333-T$314)+T308,T$333*$F345)),0))</f>
        <v>109.72543979638044</v>
      </c>
      <c r="U345" s="695">
        <f>IF(U$6=0,0,IFERROR(IF(alloc_dc=1,U293/U$299*(U$333-U$314)+U308,IF(alloc_dc=2,Sales!U74/Sales!U$80*(U$333-U$314)+U308,U$333*$F345)),0))</f>
        <v>113.89467685490365</v>
      </c>
      <c r="V345" s="695">
        <f>IF(V$6=0,0,IFERROR(IF(alloc_dc=1,V293/V$299*(V$333-V$314)+V308,IF(alloc_dc=2,Sales!V74/Sales!V$80*(V$333-V$314)+V308,V$333*$F345)),0))</f>
        <v>91.798101975350974</v>
      </c>
      <c r="W345" s="695">
        <f>IF(W$6=0,0,IFERROR(IF(alloc_dc=1,W293/W$299*(W$333-W$314)+W308,IF(alloc_dc=2,Sales!W74/Sales!W$80*(W$333-W$314)+W308,W$333*$F345)),0))</f>
        <v>121.83358365843459</v>
      </c>
      <c r="X345" s="695">
        <f>IF(X$6=0,0,IFERROR(IF(alloc_dc=1,X293/X$299*(X$333-X$314)+X308,IF(alloc_dc=2,Sales!X74/Sales!X$80*(X$333-X$314)+X308,X$333*$F345)),0))</f>
        <v>126.11226102526639</v>
      </c>
      <c r="Y345" s="695">
        <f>IF(Y$6=0,0,IFERROR(IF(alloc_dc=1,Y293/Y$299*(Y$333-Y$314)+Y308,IF(alloc_dc=2,Sales!Y74/Sales!Y$80*(Y$333-Y$314)+Y308,Y$333*$F345)),0))</f>
        <v>100.3156058633616</v>
      </c>
      <c r="Z345" s="695">
        <f>IF(Z$6=0,0,IFERROR(IF(alloc_dc=1,Z293/Z$299*(Z$333-Z$314)+Z308,IF(alloc_dc=2,Sales!Z74/Sales!Z$80*(Z$333-Z$314)+Z308,Z$333*$F345)),0))</f>
        <v>135.00398527908175</v>
      </c>
      <c r="AA345" s="695">
        <f>IF(AA$6=0,0,IFERROR(IF(alloc_dc=1,AA293/AA$299*(AA$333-AA$314)+AA308,IF(alloc_dc=2,Sales!AA74/Sales!AA$80*(AA$333-AA$314)+AA308,AA$333*$F345)),0))</f>
        <v>139.96870371310493</v>
      </c>
      <c r="AB345" s="695">
        <f>IF(AB$6=0,0,IFERROR(IF(alloc_dc=1,AB293/AB$299*(AB$333-AB$314)+AB308,IF(alloc_dc=2,Sales!AB74/Sales!AB$80*(AB$333-AB$314)+AB308,AB$333*$F345)),0))</f>
        <v>110.0300391497365</v>
      </c>
      <c r="AC345" s="695">
        <f>IF(AC$6=0,0,IFERROR(IF(alloc_dc=1,AC293/AC$299*(AC$333-AC$314)+AC308,IF(alloc_dc=2,Sales!AC74/Sales!AC$80*(AC$333-AC$314)+AC308,AC$333*$F345)),0))</f>
        <v>152.10805490269243</v>
      </c>
      <c r="AD345" s="695">
        <f>IF(AD$6=0,0,IFERROR(IF(alloc_dc=1,AD293/AD$299*(AD$333-AD$314)+AD308,IF(alloc_dc=2,Sales!AD74/Sales!AD$80*(AD$333-AD$314)+AD308,AD$333*$F345)),0))</f>
        <v>151.42093686944577</v>
      </c>
      <c r="AE345" s="695">
        <f>IF(AE$6=0,0,IFERROR(IF(alloc_dc=1,AE293/AE$299*(AE$333-AE$314)+AE308,IF(alloc_dc=2,Sales!AE74/Sales!AE$80*(AE$333-AE$314)+AE308,AE$333*$F345)),0))</f>
        <v>0</v>
      </c>
      <c r="AF345" s="695">
        <f>IF(AF$6=0,0,IFERROR(IF(alloc_dc=1,AF293/AF$299*(AF$333-AF$314)+AF308,IF(alloc_dc=2,Sales!AF74/Sales!AF$80*(AF$333-AF$314)+AF308,AF$333*$F345)),0))</f>
        <v>0</v>
      </c>
      <c r="AG345" s="695">
        <f>IF(AG$6=0,0,IFERROR(IF(alloc_dc=1,AG293/AG$299*(AG$333-AG$314)+AG308,IF(alloc_dc=2,Sales!AG74/Sales!AG$80*(AG$333-AG$314)+AG308,AG$333*$F345)),0))</f>
        <v>0</v>
      </c>
    </row>
    <row r="346" spans="1:33" s="894" customFormat="1" ht="17.25" customHeight="1" outlineLevel="2">
      <c r="C346" s="24" t="str">
        <f>Product_06</f>
        <v>Repair Services</v>
      </c>
      <c r="D346" s="8" t="str">
        <f t="shared" si="132"/>
        <v>USD</v>
      </c>
      <c r="F346" s="1034">
        <v>0.1</v>
      </c>
      <c r="I346" s="71">
        <f t="shared" si="133"/>
        <v>5890.2424001831141</v>
      </c>
      <c r="J346" s="695">
        <f>IF(J$6=0,0,IFERROR(IF(alloc_dc=1,J294/J$299*(J$333-J$314)+J309,IF(alloc_dc=2,Sales!J75/Sales!J$80*(J$333-J$314)+J309,J$333*$F346)),0))</f>
        <v>256.8268805614739</v>
      </c>
      <c r="K346" s="695">
        <f>IF(K$6=0,0,IFERROR(IF(alloc_dc=1,K294/K$299*(K$333-K$314)+K309,IF(alloc_dc=2,Sales!K75/Sales!K$80*(K$333-K$314)+K309,K$333*$F346)),0))</f>
        <v>255.39485153822869</v>
      </c>
      <c r="L346" s="695">
        <f>IF(L$6=0,0,IFERROR(IF(alloc_dc=1,L294/L$299*(L$333-L$314)+L309,IF(alloc_dc=2,Sales!L75/Sales!L$80*(L$333-L$314)+L309,L$333*$F346)),0))</f>
        <v>260.09289826629242</v>
      </c>
      <c r="M346" s="695">
        <f>IF(M$6=0,0,IFERROR(IF(alloc_dc=1,M294/M$299*(M$333-M$314)+M309,IF(alloc_dc=2,Sales!M75/Sales!M$80*(M$333-M$314)+M309,M$333*$F346)),0))</f>
        <v>265.01940685161509</v>
      </c>
      <c r="N346" s="695">
        <f>IF(N$6=0,0,IFERROR(IF(alloc_dc=1,N294/N$299*(N$333-N$314)+N309,IF(alloc_dc=2,Sales!N75/Sales!N$80*(N$333-N$314)+N309,N$333*$F346)),0))</f>
        <v>270.18538174915466</v>
      </c>
      <c r="O346" s="695">
        <f>IF(O$6=0,0,IFERROR(IF(alloc_dc=1,O294/O$299*(O$333-O$314)+O309,IF(alloc_dc=2,Sales!O75/Sales!O$80*(O$333-O$314)+O309,O$333*$F346)),0))</f>
        <v>275.60235341373783</v>
      </c>
      <c r="P346" s="695">
        <f>IF(P$6=0,0,IFERROR(IF(alloc_dc=1,P294/P$299*(P$333-P$314)+P309,IF(alloc_dc=2,Sales!P75/Sales!P$80*(P$333-P$314)+P309,P$333*$F346)),0))</f>
        <v>225.27680562367752</v>
      </c>
      <c r="Q346" s="695">
        <f>IF(Q$6=0,0,IFERROR(IF(alloc_dc=1,Q294/Q$299*(Q$333-Q$314)+Q309,IF(alloc_dc=2,Sales!Q75/Sales!Q$80*(Q$333-Q$314)+Q309,Q$333*$F346)),0))</f>
        <v>291.67227058753343</v>
      </c>
      <c r="R346" s="695">
        <f>IF(R$6=0,0,IFERROR(IF(alloc_dc=1,R294/R$299*(R$333-R$314)+R309,IF(alloc_dc=2,Sales!R75/Sales!R$80*(R$333-R$314)+R309,R$333*$F346)),0))</f>
        <v>295.47779477204091</v>
      </c>
      <c r="S346" s="695">
        <f>IF(S$6=0,0,IFERROR(IF(alloc_dc=1,S294/S$299*(S$333-S$314)+S309,IF(alloc_dc=2,Sales!S75/Sales!S$80*(S$333-S$314)+S309,S$333*$F346)),0))</f>
        <v>235.74666510397807</v>
      </c>
      <c r="T346" s="695">
        <f>IF(T$6=0,0,IFERROR(IF(alloc_dc=1,T294/T$299*(T$333-T$314)+T309,IF(alloc_dc=2,Sales!T75/Sales!T$80*(T$333-T$314)+T309,T$333*$F346)),0))</f>
        <v>304.01551557048617</v>
      </c>
      <c r="U346" s="695">
        <f>IF(U$6=0,0,IFERROR(IF(alloc_dc=1,U294/U$299*(U$333-U$314)+U309,IF(alloc_dc=2,Sales!U75/Sales!U$80*(U$333-U$314)+U309,U$333*$F346)),0))</f>
        <v>284.03887650120078</v>
      </c>
      <c r="V346" s="695">
        <f>IF(V$6=0,0,IFERROR(IF(alloc_dc=1,V294/V$299*(V$333-V$314)+V309,IF(alloc_dc=2,Sales!V75/Sales!V$80*(V$333-V$314)+V309,V$333*$F346)),0))</f>
        <v>226.66616010786447</v>
      </c>
      <c r="W346" s="695">
        <f>IF(W$6=0,0,IFERROR(IF(alloc_dc=1,W294/W$299*(W$333-W$314)+W309,IF(alloc_dc=2,Sales!W75/Sales!W$80*(W$333-W$314)+W309,W$333*$F346)),0))</f>
        <v>297.85070386866721</v>
      </c>
      <c r="X346" s="695">
        <f>IF(X$6=0,0,IFERROR(IF(alloc_dc=1,X294/X$299*(X$333-X$314)+X309,IF(alloc_dc=2,Sales!X75/Sales!X$80*(X$333-X$314)+X309,X$333*$F346)),0))</f>
        <v>305.2583484028072</v>
      </c>
      <c r="Y346" s="695">
        <f>IF(Y$6=0,0,IFERROR(IF(alloc_dc=1,Y294/Y$299*(Y$333-Y$314)+Y309,IF(alloc_dc=2,Sales!Y75/Sales!Y$80*(Y$333-Y$314)+Y309,Y$333*$F346)),0))</f>
        <v>240.41267720815651</v>
      </c>
      <c r="Z346" s="695">
        <f>IF(Z$6=0,0,IFERROR(IF(alloc_dc=1,Z294/Z$299*(Z$333-Z$314)+Z309,IF(alloc_dc=2,Sales!Z75/Sales!Z$80*(Z$333-Z$314)+Z309,Z$333*$F346)),0))</f>
        <v>320.34214511723712</v>
      </c>
      <c r="AA346" s="695">
        <f>IF(AA$6=0,0,IFERROR(IF(alloc_dc=1,AA294/AA$299*(AA$333-AA$314)+AA309,IF(alloc_dc=2,Sales!AA75/Sales!AA$80*(AA$333-AA$314)+AA309,AA$333*$F346)),0))</f>
        <v>328.83425885939783</v>
      </c>
      <c r="AB346" s="695">
        <f>IF(AB$6=0,0,IFERROR(IF(alloc_dc=1,AB294/AB$299*(AB$333-AB$314)+AB309,IF(alloc_dc=2,Sales!AB75/Sales!AB$80*(AB$333-AB$314)+AB309,AB$333*$F346)),0))</f>
        <v>255.93872989612242</v>
      </c>
      <c r="AC346" s="695">
        <f>IF(AC$6=0,0,IFERROR(IF(alloc_dc=1,AC294/AC$299*(AC$333-AC$314)+AC309,IF(alloc_dc=2,Sales!AC75/Sales!AC$80*(AC$333-AC$314)+AC309,AC$333*$F346)),0))</f>
        <v>350.31245778134263</v>
      </c>
      <c r="AD346" s="695">
        <f>IF(AD$6=0,0,IFERROR(IF(alloc_dc=1,AD294/AD$299*(AD$333-AD$314)+AD309,IF(alloc_dc=2,Sales!AD75/Sales!AD$80*(AD$333-AD$314)+AD309,AD$333*$F346)),0))</f>
        <v>345.27721840209966</v>
      </c>
      <c r="AE346" s="695">
        <f>IF(AE$6=0,0,IFERROR(IF(alloc_dc=1,AE294/AE$299*(AE$333-AE$314)+AE309,IF(alloc_dc=2,Sales!AE75/Sales!AE$80*(AE$333-AE$314)+AE309,AE$333*$F346)),0))</f>
        <v>0</v>
      </c>
      <c r="AF346" s="695">
        <f>IF(AF$6=0,0,IFERROR(IF(alloc_dc=1,AF294/AF$299*(AF$333-AF$314)+AF309,IF(alloc_dc=2,Sales!AF75/Sales!AF$80*(AF$333-AF$314)+AF309,AF$333*$F346)),0))</f>
        <v>0</v>
      </c>
      <c r="AG346" s="695">
        <f>IF(AG$6=0,0,IFERROR(IF(alloc_dc=1,AG294/AG$299*(AG$333-AG$314)+AG309,IF(alloc_dc=2,Sales!AG75/Sales!AG$80*(AG$333-AG$314)+AG309,AG$333*$F346)),0))</f>
        <v>0</v>
      </c>
    </row>
    <row r="347" spans="1:33" s="894" customFormat="1" ht="17.25" customHeight="1" outlineLevel="2">
      <c r="C347" s="24" t="str">
        <f>Product_07</f>
        <v>Integration Services</v>
      </c>
      <c r="D347" s="8" t="str">
        <f t="shared" si="132"/>
        <v>USD</v>
      </c>
      <c r="F347" s="1034">
        <v>0.08</v>
      </c>
      <c r="I347" s="71">
        <f t="shared" si="133"/>
        <v>8541.6358961384121</v>
      </c>
      <c r="J347" s="695">
        <f>IF(J$6=0,0,IFERROR(IF(alloc_dc=1,J295/J$299*(J$333-J$314)+J310,IF(alloc_dc=2,Sales!J76/Sales!J$80*(J$333-J$314)+J310,J$333*$F347)),0))</f>
        <v>330.39478631407445</v>
      </c>
      <c r="K347" s="695">
        <f>IF(K$6=0,0,IFERROR(IF(alloc_dc=1,K295/K$299*(K$333-K$314)+K310,IF(alloc_dc=2,Sales!K76/Sales!K$80*(K$333-K$314)+K310,K$333*$F347)),0))</f>
        <v>328.55255343682938</v>
      </c>
      <c r="L347" s="695">
        <f>IF(L$6=0,0,IFERROR(IF(alloc_dc=1,L295/L$299*(L$333-L$314)+L310,IF(alloc_dc=2,Sales!L76/Sales!L$80*(L$333-L$314)+L310,L$333*$F347)),0))</f>
        <v>334.59635282970726</v>
      </c>
      <c r="M347" s="695">
        <f>IF(M$6=0,0,IFERROR(IF(alloc_dc=1,M295/M$299*(M$333-M$314)+M310,IF(alloc_dc=2,Sales!M76/Sales!M$80*(M$333-M$314)+M310,M$333*$F347)),0))</f>
        <v>340.93405684170034</v>
      </c>
      <c r="N347" s="695">
        <f>IF(N$6=0,0,IFERROR(IF(alloc_dc=1,N295/N$299*(N$333-N$314)+N310,IF(alloc_dc=2,Sales!N76/Sales!N$80*(N$333-N$314)+N310,N$333*$F347)),0))</f>
        <v>347.57982214728298</v>
      </c>
      <c r="O347" s="695">
        <f>IF(O$6=0,0,IFERROR(IF(alloc_dc=1,O295/O$299*(O$333-O$314)+O310,IF(alloc_dc=2,Sales!O76/Sales!O$80*(O$333-O$314)+O310,O$333*$F347)),0))</f>
        <v>354.5484820931448</v>
      </c>
      <c r="P347" s="695">
        <f>IF(P$6=0,0,IFERROR(IF(alloc_dc=1,P295/P$299*(P$333-P$314)+P310,IF(alloc_dc=2,Sales!P76/Sales!P$80*(P$333-P$314)+P310,P$333*$F347)),0))</f>
        <v>289.80721135121468</v>
      </c>
      <c r="Q347" s="695">
        <f>IF(Q$6=0,0,IFERROR(IF(alloc_dc=1,Q295/Q$299*(Q$333-Q$314)+Q310,IF(alloc_dc=2,Sales!Q76/Sales!Q$80*(Q$333-Q$314)+Q310,Q$333*$F347)),0))</f>
        <v>375.22161739391095</v>
      </c>
      <c r="R347" s="695">
        <f>IF(R$6=0,0,IFERROR(IF(alloc_dc=1,R295/R$299*(R$333-R$314)+R310,IF(alloc_dc=2,Sales!R76/Sales!R$80*(R$333-R$314)+R310,R$333*$F347)),0))</f>
        <v>422.35247966272283</v>
      </c>
      <c r="S347" s="695">
        <f>IF(S$6=0,0,IFERROR(IF(alloc_dc=1,S295/S$299*(S$333-S$314)+S310,IF(alloc_dc=2,Sales!S76/Sales!S$80*(S$333-S$314)+S310,S$333*$F347)),0))</f>
        <v>336.97350643793322</v>
      </c>
      <c r="T347" s="695">
        <f>IF(T$6=0,0,IFERROR(IF(alloc_dc=1,T295/T$299*(T$333-T$314)+T310,IF(alloc_dc=2,Sales!T76/Sales!T$80*(T$333-T$314)+T310,T$333*$F347)),0))</f>
        <v>434.55619721338792</v>
      </c>
      <c r="U347" s="695">
        <f>IF(U$6=0,0,IFERROR(IF(alloc_dc=1,U295/U$299*(U$333-U$314)+U310,IF(alloc_dc=2,Sales!U76/Sales!U$80*(U$333-U$314)+U310,U$333*$F347)),0))</f>
        <v>446.6020070773597</v>
      </c>
      <c r="V347" s="695">
        <f>IF(V$6=0,0,IFERROR(IF(alloc_dc=1,V295/V$299*(V$333-V$314)+V310,IF(alloc_dc=2,Sales!V76/Sales!V$80*(V$333-V$314)+V310,V$333*$F347)),0))</f>
        <v>356.39333350293157</v>
      </c>
      <c r="W347" s="695">
        <f>IF(W$6=0,0,IFERROR(IF(alloc_dc=1,W295/W$299*(W$333-W$314)+W310,IF(alloc_dc=2,Sales!W76/Sales!W$80*(W$333-W$314)+W310,W$333*$F347)),0))</f>
        <v>468.31871677463391</v>
      </c>
      <c r="X347" s="695">
        <f>IF(X$6=0,0,IFERROR(IF(alloc_dc=1,X295/X$299*(X$333-X$314)+X310,IF(alloc_dc=2,Sales!X76/Sales!X$80*(X$333-X$314)+X310,X$333*$F347)),0))</f>
        <v>479.96595660818741</v>
      </c>
      <c r="Y347" s="695">
        <f>IF(Y$6=0,0,IFERROR(IF(alloc_dc=1,Y295/Y$299*(Y$333-Y$314)+Y310,IF(alloc_dc=2,Sales!Y76/Sales!Y$80*(Y$333-Y$314)+Y310,Y$333*$F347)),0))</f>
        <v>378.00735410087498</v>
      </c>
      <c r="Z347" s="695">
        <f>IF(Z$6=0,0,IFERROR(IF(alloc_dc=1,Z295/Z$299*(Z$333-Z$314)+Z310,IF(alloc_dc=2,Sales!Z76/Sales!Z$80*(Z$333-Z$314)+Z310,Z$333*$F347)),0))</f>
        <v>503.68261810886349</v>
      </c>
      <c r="AA347" s="695">
        <f>IF(AA$6=0,0,IFERROR(IF(alloc_dc=1,AA295/AA$299*(AA$333-AA$314)+AA310,IF(alloc_dc=2,Sales!AA76/Sales!AA$80*(AA$333-AA$314)+AA310,AA$333*$F347)),0))</f>
        <v>517.03499820660045</v>
      </c>
      <c r="AB347" s="695">
        <f>IF(AB$6=0,0,IFERROR(IF(alloc_dc=1,AB295/AB$299*(AB$333-AB$314)+AB310,IF(alloc_dc=2,Sales!AB76/Sales!AB$80*(AB$333-AB$314)+AB310,AB$333*$F347)),0))</f>
        <v>402.41938662912332</v>
      </c>
      <c r="AC347" s="695">
        <f>IF(AC$6=0,0,IFERROR(IF(alloc_dc=1,AC295/AC$299*(AC$333-AC$314)+AC310,IF(alloc_dc=2,Sales!AC76/Sales!AC$80*(AC$333-AC$314)+AC310,AC$333*$F347)),0))</f>
        <v>550.80575122852611</v>
      </c>
      <c r="AD347" s="695">
        <f>IF(AD$6=0,0,IFERROR(IF(alloc_dc=1,AD295/AD$299*(AD$333-AD$314)+AD310,IF(alloc_dc=2,Sales!AD76/Sales!AD$80*(AD$333-AD$314)+AD310,AD$333*$F347)),0))</f>
        <v>542.8887081794021</v>
      </c>
      <c r="AE347" s="695">
        <f>IF(AE$6=0,0,IFERROR(IF(alloc_dc=1,AE295/AE$299*(AE$333-AE$314)+AE310,IF(alloc_dc=2,Sales!AE76/Sales!AE$80*(AE$333-AE$314)+AE310,AE$333*$F347)),0))</f>
        <v>0</v>
      </c>
      <c r="AF347" s="695">
        <f>IF(AF$6=0,0,IFERROR(IF(alloc_dc=1,AF295/AF$299*(AF$333-AF$314)+AF310,IF(alloc_dc=2,Sales!AF76/Sales!AF$80*(AF$333-AF$314)+AF310,AF$333*$F347)),0))</f>
        <v>0</v>
      </c>
      <c r="AG347" s="695">
        <f>IF(AG$6=0,0,IFERROR(IF(alloc_dc=1,AG295/AG$299*(AG$333-AG$314)+AG310,IF(alloc_dc=2,Sales!AG76/Sales!AG$80*(AG$333-AG$314)+AG310,AG$333*$F347)),0))</f>
        <v>0</v>
      </c>
    </row>
    <row r="348" spans="1:33" s="894" customFormat="1" ht="17.25" customHeight="1" outlineLevel="2">
      <c r="C348" s="24" t="str">
        <f>Product_08</f>
        <v>Consulting Services</v>
      </c>
      <c r="D348" s="8" t="str">
        <f t="shared" si="132"/>
        <v>USD</v>
      </c>
      <c r="F348" s="1034">
        <v>0.08</v>
      </c>
      <c r="I348" s="71">
        <f t="shared" si="133"/>
        <v>9336.8004548781028</v>
      </c>
      <c r="J348" s="695">
        <f>IF(J$6=0,0,IFERROR(IF(alloc_dc=1,J296/J$299*(J$333-J$314)+J311,IF(alloc_dc=2,Sales!J77/Sales!J$80*(J$333-J$314)+J311,J$333*$F348)),0))</f>
        <v>347.92406525462678</v>
      </c>
      <c r="K348" s="695">
        <f>IF(K$6=0,0,IFERROR(IF(alloc_dc=1,K296/K$299*(K$333-K$314)+K311,IF(alloc_dc=2,Sales!K77/Sales!K$80*(K$333-K$314)+K311,K$333*$F348)),0))</f>
        <v>349.44393260550288</v>
      </c>
      <c r="L348" s="695">
        <f>IF(L$6=0,0,IFERROR(IF(alloc_dc=1,L296/L$299*(L$333-L$314)+L311,IF(alloc_dc=2,Sales!L77/Sales!L$80*(L$333-L$314)+L311,L$333*$F348)),0))</f>
        <v>359.43075403509067</v>
      </c>
      <c r="M348" s="695">
        <f>IF(M$6=0,0,IFERROR(IF(alloc_dc=1,M296/M$299*(M$333-M$314)+M311,IF(alloc_dc=2,Sales!M77/Sales!M$80*(M$333-M$314)+M311,M$333*$F348)),0))</f>
        <v>369.90124348759673</v>
      </c>
      <c r="N348" s="695">
        <f>IF(N$6=0,0,IFERROR(IF(alloc_dc=1,N296/N$299*(N$333-N$314)+N311,IF(alloc_dc=2,Sales!N77/Sales!N$80*(N$333-N$314)+N311,N$333*$F348)),0))</f>
        <v>380.88277748094282</v>
      </c>
      <c r="O348" s="695">
        <f>IF(O$6=0,0,IFERROR(IF(alloc_dc=1,O296/O$299*(O$333-O$314)+O311,IF(alloc_dc=2,Sales!O77/Sales!O$80*(O$333-O$314)+O311,O$333*$F348)),0))</f>
        <v>392.4043227676425</v>
      </c>
      <c r="P348" s="695">
        <f>IF(P$6=0,0,IFERROR(IF(alloc_dc=1,P296/P$299*(P$333-P$314)+P311,IF(alloc_dc=2,Sales!P77/Sales!P$80*(P$333-P$314)+P311,P$333*$F348)),0))</f>
        <v>323.9580038543557</v>
      </c>
      <c r="Q348" s="695">
        <f>IF(Q$6=0,0,IFERROR(IF(alloc_dc=1,Q296/Q$299*(Q$333-Q$314)+Q311,IF(alloc_dc=2,Sales!Q77/Sales!Q$80*(Q$333-Q$314)+Q311,Q$333*$F348)),0))</f>
        <v>423.63199336295247</v>
      </c>
      <c r="R348" s="695">
        <f>IF(R$6=0,0,IFERROR(IF(alloc_dc=1,R296/R$299*(R$333-R$314)+R311,IF(alloc_dc=2,Sales!R77/Sales!R$80*(R$333-R$314)+R311,R$333*$F348)),0))</f>
        <v>433.45082277118735</v>
      </c>
      <c r="S348" s="695">
        <f>IF(S$6=0,0,IFERROR(IF(alloc_dc=1,S296/S$299*(S$333-S$314)+S311,IF(alloc_dc=2,Sales!S77/Sales!S$80*(S$333-S$314)+S311,S$333*$F348)),0))</f>
        <v>349.28659154930659</v>
      </c>
      <c r="T348" s="695">
        <f>IF(T$6=0,0,IFERROR(IF(alloc_dc=1,T296/T$299*(T$333-T$314)+T311,IF(alloc_dc=2,Sales!T77/Sales!T$80*(T$333-T$314)+T311,T$333*$F348)),0))</f>
        <v>454.93932478974313</v>
      </c>
      <c r="U348" s="695">
        <f>IF(U$6=0,0,IFERROR(IF(alloc_dc=1,U296/U$299*(U$333-U$314)+U311,IF(alloc_dc=2,Sales!U77/Sales!U$80*(U$333-U$314)+U311,U$333*$F348)),0))</f>
        <v>472.22565233431953</v>
      </c>
      <c r="V348" s="695">
        <f>IF(V$6=0,0,IFERROR(IF(alloc_dc=1,V296/V$299*(V$333-V$314)+V311,IF(alloc_dc=2,Sales!V77/Sales!V$80*(V$333-V$314)+V311,V$333*$F348)),0))</f>
        <v>380.60969823539318</v>
      </c>
      <c r="W348" s="695">
        <f>IF(W$6=0,0,IFERROR(IF(alloc_dc=1,W296/W$299*(W$333-W$314)+W311,IF(alloc_dc=2,Sales!W77/Sales!W$80*(W$333-W$314)+W311,W$333*$F348)),0))</f>
        <v>505.14163706374416</v>
      </c>
      <c r="X348" s="695">
        <f>IF(X$6=0,0,IFERROR(IF(alloc_dc=1,X296/X$299*(X$333-X$314)+X311,IF(alloc_dc=2,Sales!X77/Sales!X$80*(X$333-X$314)+X311,X$333*$F348)),0))</f>
        <v>522.88172173209307</v>
      </c>
      <c r="Y348" s="695">
        <f>IF(Y$6=0,0,IFERROR(IF(alloc_dc=1,Y296/Y$299*(Y$333-Y$314)+Y311,IF(alloc_dc=2,Sales!Y77/Sales!Y$80*(Y$333-Y$314)+Y311,Y$333*$F348)),0))</f>
        <v>415.9246395552583</v>
      </c>
      <c r="Z348" s="695">
        <f>IF(Z$6=0,0,IFERROR(IF(alloc_dc=1,Z296/Z$299*(Z$333-Z$314)+Z311,IF(alloc_dc=2,Sales!Z77/Sales!Z$80*(Z$333-Z$314)+Z311,Z$333*$F348)),0))</f>
        <v>559.74824088894582</v>
      </c>
      <c r="AA348" s="695">
        <f>IF(AA$6=0,0,IFERROR(IF(alloc_dc=1,AA296/AA$299*(AA$333-AA$314)+AA311,IF(alloc_dc=2,Sales!AA77/Sales!AA$80*(AA$333-AA$314)+AA311,AA$333*$F348)),0))</f>
        <v>580.33276218443643</v>
      </c>
      <c r="AB348" s="695">
        <f>IF(AB$6=0,0,IFERROR(IF(alloc_dc=1,AB296/AB$299*(AB$333-AB$314)+AB311,IF(alloc_dc=2,Sales!AB77/Sales!AB$80*(AB$333-AB$314)+AB311,AB$333*$F348)),0))</f>
        <v>456.20224270927349</v>
      </c>
      <c r="AC348" s="695">
        <f>IF(AC$6=0,0,IFERROR(IF(alloc_dc=1,AC296/AC$299*(AC$333-AC$314)+AC311,IF(alloc_dc=2,Sales!AC77/Sales!AC$80*(AC$333-AC$314)+AC311,AC$333*$F348)),0))</f>
        <v>630.66446505867452</v>
      </c>
      <c r="AD348" s="695">
        <f>IF(AD$6=0,0,IFERROR(IF(alloc_dc=1,AD296/AD$299*(AD$333-AD$314)+AD311,IF(alloc_dc=2,Sales!AD77/Sales!AD$80*(AD$333-AD$314)+AD311,AD$333*$F348)),0))</f>
        <v>627.81556315701721</v>
      </c>
      <c r="AE348" s="695">
        <f>IF(AE$6=0,0,IFERROR(IF(alloc_dc=1,AE296/AE$299*(AE$333-AE$314)+AE311,IF(alloc_dc=2,Sales!AE77/Sales!AE$80*(AE$333-AE$314)+AE311,AE$333*$F348)),0))</f>
        <v>0</v>
      </c>
      <c r="AF348" s="695">
        <f>IF(AF$6=0,0,IFERROR(IF(alloc_dc=1,AF296/AF$299*(AF$333-AF$314)+AF311,IF(alloc_dc=2,Sales!AF77/Sales!AF$80*(AF$333-AF$314)+AF311,AF$333*$F348)),0))</f>
        <v>0</v>
      </c>
      <c r="AG348" s="695">
        <f>IF(AG$6=0,0,IFERROR(IF(alloc_dc=1,AG296/AG$299*(AG$333-AG$314)+AG311,IF(alloc_dc=2,Sales!AG77/Sales!AG$80*(AG$333-AG$314)+AG311,AG$333*$F348)),0))</f>
        <v>0</v>
      </c>
    </row>
    <row r="349" spans="1:33" s="894" customFormat="1" ht="17.25" customHeight="1" outlineLevel="2">
      <c r="C349" s="24" t="str">
        <f>Product_09</f>
        <v>Spare Parts</v>
      </c>
      <c r="D349" s="8" t="str">
        <f t="shared" si="132"/>
        <v>USD</v>
      </c>
      <c r="F349" s="1034">
        <v>0.1</v>
      </c>
      <c r="I349" s="71">
        <f t="shared" si="133"/>
        <v>4196.3020546366133</v>
      </c>
      <c r="J349" s="695">
        <f>IF(J$6=0,0,IFERROR(IF(alloc_dc=1,J297/J$299*(J$333-J$314)+J312,IF(alloc_dc=2,Sales!J78/Sales!J$80*(J$333-J$314)+J312,J$333*$F349)),0))</f>
        <v>176.66943434849819</v>
      </c>
      <c r="K349" s="695">
        <f>IF(K$6=0,0,IFERROR(IF(alloc_dc=1,K297/K$299*(K$333-K$314)+K312,IF(alloc_dc=2,Sales!K78/Sales!K$80*(K$333-K$314)+K312,K$333*$F349)),0))</f>
        <v>185.72345728998548</v>
      </c>
      <c r="L349" s="695">
        <f>IF(L$6=0,0,IFERROR(IF(alloc_dc=1,L297/L$299*(L$333-L$314)+L312,IF(alloc_dc=2,Sales!L78/Sales!L$80*(L$333-L$314)+L312,L$333*$F349)),0))</f>
        <v>189.13988278012619</v>
      </c>
      <c r="M349" s="695">
        <f>IF(M$6=0,0,IFERROR(IF(alloc_dc=1,M297/M$299*(M$333-M$314)+M312,IF(alloc_dc=2,Sales!M78/Sales!M$80*(M$333-M$314)+M312,M$333*$F349)),0))</f>
        <v>192.72244602023895</v>
      </c>
      <c r="N349" s="695">
        <f>IF(N$6=0,0,IFERROR(IF(alloc_dc=1,N297/N$299*(N$333-N$314)+N312,IF(alloc_dc=2,Sales!N78/Sales!N$80*(N$333-N$314)+N312,N$333*$F349)),0))</f>
        <v>196.47914946381135</v>
      </c>
      <c r="O349" s="695">
        <f>IF(O$6=0,0,IFERROR(IF(alloc_dc=1,O297/O$299*(O$333-O$314)+O312,IF(alloc_dc=2,Sales!O78/Sales!O$80*(O$333-O$314)+O312,O$333*$F349)),0))</f>
        <v>200.41837807209711</v>
      </c>
      <c r="P349" s="695">
        <f>IF(P$6=0,0,IFERROR(IF(alloc_dc=1,P297/P$299*(P$333-P$314)+P312,IF(alloc_dc=2,Sales!P78/Sales!P$80*(P$333-P$314)+P312,P$333*$F349)),0))</f>
        <v>163.82157641658938</v>
      </c>
      <c r="Q349" s="695">
        <f>IF(Q$6=0,0,IFERROR(IF(alloc_dc=1,Q297/Q$299*(Q$333-Q$314)+Q312,IF(alloc_dc=2,Sales!Q78/Sales!Q$80*(Q$333-Q$314)+Q312,Q$333*$F349)),0))</f>
        <v>189.17423210276343</v>
      </c>
      <c r="R349" s="695">
        <f>IF(R$6=0,0,IFERROR(IF(alloc_dc=1,R297/R$299*(R$333-R$314)+R312,IF(alloc_dc=2,Sales!R78/Sales!R$80*(R$333-R$314)+R312,R$333*$F349)),0))</f>
        <v>191.6424376469605</v>
      </c>
      <c r="S349" s="695">
        <f>IF(S$6=0,0,IFERROR(IF(alloc_dc=1,S297/S$299*(S$333-S$314)+S312,IF(alloc_dc=2,Sales!S78/Sales!S$80*(S$333-S$314)+S312,S$333*$F349)),0))</f>
        <v>152.90172854621221</v>
      </c>
      <c r="T349" s="695">
        <f>IF(T$6=0,0,IFERROR(IF(alloc_dc=1,T297/T$299*(T$333-T$314)+T312,IF(alloc_dc=2,Sales!T78/Sales!T$80*(T$333-T$314)+T312,T$333*$F349)),0))</f>
        <v>197.17987448557474</v>
      </c>
      <c r="U349" s="695">
        <f>IF(U$6=0,0,IFERROR(IF(alloc_dc=1,U297/U$299*(U$333-U$314)+U312,IF(alloc_dc=2,Sales!U78/Sales!U$80*(U$333-U$314)+U312,U$333*$F349)),0))</f>
        <v>202.64566071135195</v>
      </c>
      <c r="V349" s="695">
        <f>IF(V$6=0,0,IFERROR(IF(alloc_dc=1,V297/V$299*(V$333-V$314)+V312,IF(alloc_dc=2,Sales!V78/Sales!V$80*(V$333-V$314)+V312,V$333*$F349)),0))</f>
        <v>161.71347507695521</v>
      </c>
      <c r="W349" s="695">
        <f>IF(W$6=0,0,IFERROR(IF(alloc_dc=1,W297/W$299*(W$333-W$314)+W312,IF(alloc_dc=2,Sales!W78/Sales!W$80*(W$333-W$314)+W312,W$333*$F349)),0))</f>
        <v>212.49961773649014</v>
      </c>
      <c r="X349" s="695">
        <f>IF(X$6=0,0,IFERROR(IF(alloc_dc=1,X297/X$299*(X$333-X$314)+X312,IF(alloc_dc=2,Sales!X78/Sales!X$80*(X$333-X$314)+X312,X$333*$F349)),0))</f>
        <v>217.78455281096504</v>
      </c>
      <c r="Y349" s="695">
        <f>IF(Y$6=0,0,IFERROR(IF(alloc_dc=1,Y297/Y$299*(Y$333-Y$314)+Y312,IF(alloc_dc=2,Sales!Y78/Sales!Y$80*(Y$333-Y$314)+Y312,Y$333*$F349)),0))</f>
        <v>171.52083692327204</v>
      </c>
      <c r="Z349" s="695">
        <f>IF(Z$6=0,0,IFERROR(IF(alloc_dc=1,Z297/Z$299*(Z$333-Z$314)+Z312,IF(alloc_dc=2,Sales!Z78/Sales!Z$80*(Z$333-Z$314)+Z312,Z$333*$F349)),0))</f>
        <v>228.5459879668968</v>
      </c>
      <c r="AA349" s="695">
        <f>IF(AA$6=0,0,IFERROR(IF(alloc_dc=1,AA297/AA$299*(AA$333-AA$314)+AA312,IF(alloc_dc=2,Sales!AA78/Sales!AA$80*(AA$333-AA$314)+AA312,AA$333*$F349)),0))</f>
        <v>234.60463043624492</v>
      </c>
      <c r="AB349" s="695">
        <f>IF(AB$6=0,0,IFERROR(IF(alloc_dc=1,AB297/AB$299*(AB$333-AB$314)+AB312,IF(alloc_dc=2,Sales!AB78/Sales!AB$80*(AB$333-AB$314)+AB312,AB$333*$F349)),0))</f>
        <v>182.59779668296468</v>
      </c>
      <c r="AC349" s="695">
        <f>IF(AC$6=0,0,IFERROR(IF(alloc_dc=1,AC297/AC$299*(AC$333-AC$314)+AC312,IF(alloc_dc=2,Sales!AC78/Sales!AC$80*(AC$333-AC$314)+AC312,AC$333*$F349)),0))</f>
        <v>249.92810961994371</v>
      </c>
      <c r="AD349" s="695">
        <f>IF(AD$6=0,0,IFERROR(IF(alloc_dc=1,AD297/AD$299*(AD$333-AD$314)+AD312,IF(alloc_dc=2,Sales!AD78/Sales!AD$80*(AD$333-AD$314)+AD312,AD$333*$F349)),0))</f>
        <v>298.58878949867113</v>
      </c>
      <c r="AE349" s="695">
        <f>IF(AE$6=0,0,IFERROR(IF(alloc_dc=1,AE297/AE$299*(AE$333-AE$314)+AE312,IF(alloc_dc=2,Sales!AE78/Sales!AE$80*(AE$333-AE$314)+AE312,AE$333*$F349)),0))</f>
        <v>0</v>
      </c>
      <c r="AF349" s="695">
        <f>IF(AF$6=0,0,IFERROR(IF(alloc_dc=1,AF297/AF$299*(AF$333-AF$314)+AF312,IF(alloc_dc=2,Sales!AF78/Sales!AF$80*(AF$333-AF$314)+AF312,AF$333*$F349)),0))</f>
        <v>0</v>
      </c>
      <c r="AG349" s="695">
        <f>IF(AG$6=0,0,IFERROR(IF(alloc_dc=1,AG297/AG$299*(AG$333-AG$314)+AG312,IF(alloc_dc=2,Sales!AG78/Sales!AG$80*(AG$333-AG$314)+AG312,AG$333*$F349)),0))</f>
        <v>0</v>
      </c>
    </row>
    <row r="350" spans="1:33" s="894" customFormat="1" ht="17.25" customHeight="1" outlineLevel="2">
      <c r="C350" s="24" t="str">
        <f>Product_10</f>
        <v>License Fees</v>
      </c>
      <c r="D350" s="8" t="str">
        <f t="shared" si="132"/>
        <v>USD</v>
      </c>
      <c r="F350" s="1034">
        <v>0</v>
      </c>
      <c r="I350" s="71">
        <f t="shared" si="133"/>
        <v>8982.7004979010344</v>
      </c>
      <c r="J350" s="695">
        <f>IF(J$6=0,0,IFERROR(IF(alloc_dc=1,J298/J$299*(J$333-J$314)+J313,IF(alloc_dc=2,Sales!J79/Sales!J$80*(J$333-J$314)+J313,J$333*$F350)),0))</f>
        <v>0</v>
      </c>
      <c r="K350" s="695">
        <f>IF(K$6=0,0,IFERROR(IF(alloc_dc=1,K298/K$299*(K$333-K$314)+K313,IF(alloc_dc=2,Sales!K79/Sales!K$80*(K$333-K$314)+K313,K$333*$F350)),0))</f>
        <v>0</v>
      </c>
      <c r="L350" s="695">
        <f>IF(L$6=0,0,IFERROR(IF(alloc_dc=1,L298/L$299*(L$333-L$314)+L313,IF(alloc_dc=2,Sales!L79/Sales!L$80*(L$333-L$314)+L313,L$333*$F350)),0))</f>
        <v>0</v>
      </c>
      <c r="M350" s="695">
        <f>IF(M$6=0,0,IFERROR(IF(alloc_dc=1,M298/M$299*(M$333-M$314)+M313,IF(alloc_dc=2,Sales!M79/Sales!M$80*(M$333-M$314)+M313,M$333*$F350)),0))</f>
        <v>0</v>
      </c>
      <c r="N350" s="695">
        <f>IF(N$6=0,0,IFERROR(IF(alloc_dc=1,N298/N$299*(N$333-N$314)+N313,IF(alloc_dc=2,Sales!N79/Sales!N$80*(N$333-N$314)+N313,N$333*$F350)),0))</f>
        <v>0</v>
      </c>
      <c r="O350" s="695">
        <f>IF(O$6=0,0,IFERROR(IF(alloc_dc=1,O298/O$299*(O$333-O$314)+O313,IF(alloc_dc=2,Sales!O79/Sales!O$80*(O$333-O$314)+O313,O$333*$F350)),0))</f>
        <v>0</v>
      </c>
      <c r="P350" s="695">
        <f>IF(P$6=0,0,IFERROR(IF(alloc_dc=1,P298/P$299*(P$333-P$314)+P313,IF(alloc_dc=2,Sales!P79/Sales!P$80*(P$333-P$314)+P313,P$333*$F350)),0))</f>
        <v>1610.362071074916</v>
      </c>
      <c r="Q350" s="695">
        <f>IF(Q$6=0,0,IFERROR(IF(alloc_dc=1,Q298/Q$299*(Q$333-Q$314)+Q313,IF(alloc_dc=2,Sales!Q79/Sales!Q$80*(Q$333-Q$314)+Q313,Q$333*$F350)),0))</f>
        <v>0</v>
      </c>
      <c r="R350" s="695">
        <f>IF(R$6=0,0,IFERROR(IF(alloc_dc=1,R298/R$299*(R$333-R$314)+R313,IF(alloc_dc=2,Sales!R79/Sales!R$80*(R$333-R$314)+R313,R$333*$F350)),0))</f>
        <v>0</v>
      </c>
      <c r="S350" s="695">
        <f>IF(S$6=0,0,IFERROR(IF(alloc_dc=1,S298/S$299*(S$333-S$314)+S313,IF(alloc_dc=2,Sales!S79/Sales!S$80*(S$333-S$314)+S313,S$333*$F350)),0))</f>
        <v>1685.3729924493227</v>
      </c>
      <c r="T350" s="695">
        <f>IF(T$6=0,0,IFERROR(IF(alloc_dc=1,T298/T$299*(T$333-T$314)+T313,IF(alloc_dc=2,Sales!T79/Sales!T$80*(T$333-T$314)+T313,T$333*$F350)),0))</f>
        <v>0</v>
      </c>
      <c r="U350" s="695">
        <f>IF(U$6=0,0,IFERROR(IF(alloc_dc=1,U298/U$299*(U$333-U$314)+U313,IF(alloc_dc=2,Sales!U79/Sales!U$80*(U$333-U$314)+U313,U$333*$F350)),0))</f>
        <v>0</v>
      </c>
      <c r="V350" s="695">
        <f>IF(V$6=0,0,IFERROR(IF(alloc_dc=1,V298/V$299*(V$333-V$314)+V313,IF(alloc_dc=2,Sales!V79/Sales!V$80*(V$333-V$314)+V313,V$333*$F350)),0))</f>
        <v>1782.6794541816637</v>
      </c>
      <c r="W350" s="695">
        <f>IF(W$6=0,0,IFERROR(IF(alloc_dc=1,W298/W$299*(W$333-W$314)+W313,IF(alloc_dc=2,Sales!W79/Sales!W$80*(W$333-W$314)+W313,W$333*$F350)),0))</f>
        <v>0</v>
      </c>
      <c r="X350" s="695">
        <f>IF(X$6=0,0,IFERROR(IF(alloc_dc=1,X298/X$299*(X$333-X$314)+X313,IF(alloc_dc=2,Sales!X79/Sales!X$80*(X$333-X$314)+X313,X$333*$F350)),0))</f>
        <v>0</v>
      </c>
      <c r="Y350" s="695">
        <f>IF(Y$6=0,0,IFERROR(IF(alloc_dc=1,Y298/Y$299*(Y$333-Y$314)+Y313,IF(alloc_dc=2,Sales!Y79/Sales!Y$80*(Y$333-Y$314)+Y313,Y$333*$F350)),0))</f>
        <v>1890.9817888896273</v>
      </c>
      <c r="Z350" s="695">
        <f>IF(Z$6=0,0,IFERROR(IF(alloc_dc=1,Z298/Z$299*(Z$333-Z$314)+Z313,IF(alloc_dc=2,Sales!Z79/Sales!Z$80*(Z$333-Z$314)+Z313,Z$333*$F350)),0))</f>
        <v>0</v>
      </c>
      <c r="AA350" s="695">
        <f>IF(AA$6=0,0,IFERROR(IF(alloc_dc=1,AA298/AA$299*(AA$333-AA$314)+AA313,IF(alloc_dc=2,Sales!AA79/Sales!AA$80*(AA$333-AA$314)+AA313,AA$333*$F350)),0))</f>
        <v>0</v>
      </c>
      <c r="AB350" s="695">
        <f>IF(AB$6=0,0,IFERROR(IF(alloc_dc=1,AB298/AB$299*(AB$333-AB$314)+AB313,IF(alloc_dc=2,Sales!AB79/Sales!AB$80*(AB$333-AB$314)+AB313,AB$333*$F350)),0))</f>
        <v>2013.304191305504</v>
      </c>
      <c r="AC350" s="695">
        <f>IF(AC$6=0,0,IFERROR(IF(alloc_dc=1,AC298/AC$299*(AC$333-AC$314)+AC313,IF(alloc_dc=2,Sales!AC79/Sales!AC$80*(AC$333-AC$314)+AC313,AC$333*$F350)),0))</f>
        <v>0</v>
      </c>
      <c r="AD350" s="695">
        <f>IF(AD$6=0,0,IFERROR(IF(alloc_dc=1,AD298/AD$299*(AD$333-AD$314)+AD313,IF(alloc_dc=2,Sales!AD79/Sales!AD$80*(AD$333-AD$314)+AD313,AD$333*$F350)),0))</f>
        <v>0</v>
      </c>
      <c r="AE350" s="695">
        <f>IF(AE$6=0,0,IFERROR(IF(alloc_dc=1,AE298/AE$299*(AE$333-AE$314)+AE313,IF(alloc_dc=2,Sales!AE79/Sales!AE$80*(AE$333-AE$314)+AE313,AE$333*$F350)),0))</f>
        <v>0</v>
      </c>
      <c r="AF350" s="695">
        <f>IF(AF$6=0,0,IFERROR(IF(alloc_dc=1,AF298/AF$299*(AF$333-AF$314)+AF313,IF(alloc_dc=2,Sales!AF79/Sales!AF$80*(AF$333-AF$314)+AF313,AF$333*$F350)),0))</f>
        <v>0</v>
      </c>
      <c r="AG350" s="695">
        <f>IF(AG$6=0,0,IFERROR(IF(alloc_dc=1,AG298/AG$299*(AG$333-AG$314)+AG313,IF(alloc_dc=2,Sales!AG79/Sales!AG$80*(AG$333-AG$314)+AG313,AG$333*$F350)),0))</f>
        <v>0</v>
      </c>
    </row>
    <row r="351" spans="1:33" s="894" customFormat="1" ht="17.25" customHeight="1" outlineLevel="2" thickBot="1">
      <c r="C351" s="268" t="s">
        <v>314</v>
      </c>
      <c r="D351" s="8" t="str">
        <f t="shared" si="132"/>
        <v>USD</v>
      </c>
      <c r="E351" s="652" t="s">
        <v>216</v>
      </c>
      <c r="F351" s="685">
        <f>IF(alloc_dc=3,IF(OR(SUM(F341:F350)=1,SUM(F341:F350)=0),0,1),0)</f>
        <v>0</v>
      </c>
      <c r="I351" s="141">
        <f t="shared" si="133"/>
        <v>121349.58618797854</v>
      </c>
      <c r="J351" s="524">
        <f t="shared" ref="J351:AG351" si="134">SUM(J341:J350)</f>
        <v>4381.2199999999993</v>
      </c>
      <c r="K351" s="524">
        <f t="shared" si="134"/>
        <v>4769.615499999999</v>
      </c>
      <c r="L351" s="524">
        <f t="shared" si="134"/>
        <v>4824.029955</v>
      </c>
      <c r="M351" s="524">
        <f t="shared" si="134"/>
        <v>4881.0885545500005</v>
      </c>
      <c r="N351" s="524">
        <f t="shared" si="134"/>
        <v>4940.9227400955006</v>
      </c>
      <c r="O351" s="524">
        <f t="shared" si="134"/>
        <v>5003.6705174964545</v>
      </c>
      <c r="P351" s="524">
        <f t="shared" si="134"/>
        <v>6069.6767851714212</v>
      </c>
      <c r="Q351" s="524">
        <f t="shared" si="134"/>
        <v>5063.8936786481336</v>
      </c>
      <c r="R351" s="524">
        <f t="shared" si="134"/>
        <v>5161.2809323408655</v>
      </c>
      <c r="S351" s="524">
        <f t="shared" si="134"/>
        <v>6513.5062594158371</v>
      </c>
      <c r="T351" s="524">
        <f t="shared" si="134"/>
        <v>5593.3457506491368</v>
      </c>
      <c r="U351" s="524">
        <f t="shared" si="134"/>
        <v>5664.669293226726</v>
      </c>
      <c r="V351" s="524">
        <f t="shared" si="134"/>
        <v>6753.2110604836453</v>
      </c>
      <c r="W351" s="524">
        <f t="shared" si="134"/>
        <v>5845.2549241293673</v>
      </c>
      <c r="X351" s="524">
        <f t="shared" si="134"/>
        <v>5942.2149390635877</v>
      </c>
      <c r="Y351" s="524">
        <f t="shared" si="134"/>
        <v>7044.4158524318027</v>
      </c>
      <c r="Z351" s="524">
        <f t="shared" si="134"/>
        <v>6157.1936381325741</v>
      </c>
      <c r="AA351" s="524">
        <f t="shared" si="134"/>
        <v>6269.0960580491783</v>
      </c>
      <c r="AB351" s="524">
        <f t="shared" si="134"/>
        <v>7387.0832513417126</v>
      </c>
      <c r="AC351" s="524">
        <f t="shared" si="134"/>
        <v>6371.628353202771</v>
      </c>
      <c r="AD351" s="524">
        <f t="shared" si="134"/>
        <v>6712.5681445498249</v>
      </c>
      <c r="AE351" s="524">
        <f t="shared" si="134"/>
        <v>0</v>
      </c>
      <c r="AF351" s="524">
        <f t="shared" si="134"/>
        <v>0</v>
      </c>
      <c r="AG351" s="524">
        <f t="shared" si="134"/>
        <v>0</v>
      </c>
    </row>
    <row r="352" spans="1:33" s="287" customFormat="1" ht="17.25" customHeight="1" outlineLevel="1" thickTop="1">
      <c r="A352" s="894"/>
      <c r="B352" s="894" t="s">
        <v>904</v>
      </c>
      <c r="G352" s="1031" t="str">
        <f>IF(I352=0,"","ERROR: Change allocation basis or add additional data to allow for correct allocation")</f>
        <v/>
      </c>
      <c r="I352" s="685">
        <f>SUMPRODUCT((J$6:AG$6),(J352:AG352))</f>
        <v>0</v>
      </c>
      <c r="J352" s="522">
        <f t="shared" ref="J352:AG352" si="135">IF(ROUND(J333-J351,2)=0,0,1)</f>
        <v>0</v>
      </c>
      <c r="K352" s="522">
        <f t="shared" si="135"/>
        <v>0</v>
      </c>
      <c r="L352" s="522">
        <f t="shared" si="135"/>
        <v>0</v>
      </c>
      <c r="M352" s="522">
        <f t="shared" si="135"/>
        <v>0</v>
      </c>
      <c r="N352" s="522">
        <f t="shared" si="135"/>
        <v>0</v>
      </c>
      <c r="O352" s="522">
        <f t="shared" si="135"/>
        <v>0</v>
      </c>
      <c r="P352" s="522">
        <f t="shared" si="135"/>
        <v>0</v>
      </c>
      <c r="Q352" s="522">
        <f t="shared" si="135"/>
        <v>0</v>
      </c>
      <c r="R352" s="522">
        <f t="shared" si="135"/>
        <v>0</v>
      </c>
      <c r="S352" s="522">
        <f t="shared" si="135"/>
        <v>0</v>
      </c>
      <c r="T352" s="522">
        <f t="shared" si="135"/>
        <v>0</v>
      </c>
      <c r="U352" s="522">
        <f t="shared" si="135"/>
        <v>0</v>
      </c>
      <c r="V352" s="522">
        <f t="shared" si="135"/>
        <v>0</v>
      </c>
      <c r="W352" s="522">
        <f t="shared" si="135"/>
        <v>0</v>
      </c>
      <c r="X352" s="522">
        <f t="shared" si="135"/>
        <v>0</v>
      </c>
      <c r="Y352" s="522">
        <f t="shared" si="135"/>
        <v>0</v>
      </c>
      <c r="Z352" s="522">
        <f t="shared" si="135"/>
        <v>0</v>
      </c>
      <c r="AA352" s="522">
        <f t="shared" si="135"/>
        <v>0</v>
      </c>
      <c r="AB352" s="522">
        <f t="shared" si="135"/>
        <v>0</v>
      </c>
      <c r="AC352" s="522">
        <f t="shared" si="135"/>
        <v>0</v>
      </c>
      <c r="AD352" s="522">
        <f t="shared" si="135"/>
        <v>0</v>
      </c>
      <c r="AE352" s="522">
        <f t="shared" si="135"/>
        <v>0</v>
      </c>
      <c r="AF352" s="522">
        <f t="shared" si="135"/>
        <v>0</v>
      </c>
      <c r="AG352" s="522">
        <f t="shared" si="135"/>
        <v>0</v>
      </c>
    </row>
    <row r="353" spans="3:33" s="894" customFormat="1" ht="17.25" customHeight="1" outlineLevel="1"/>
    <row r="354" spans="3:33" s="894" customFormat="1" ht="24.75" customHeight="1" outlineLevel="1">
      <c r="C354" s="279" t="s">
        <v>851</v>
      </c>
    </row>
    <row r="355" spans="3:33" s="894" customFormat="1" ht="17.25" customHeight="1" outlineLevel="2">
      <c r="C355" s="894" t="s">
        <v>849</v>
      </c>
    </row>
    <row r="356" spans="3:33" s="894" customFormat="1" ht="17.25" customHeight="1" outlineLevel="2">
      <c r="C356" s="24" t="str">
        <f>Product_01</f>
        <v>Desktops</v>
      </c>
      <c r="D356" s="8" t="str">
        <f t="shared" ref="D356:D366" si="136">Currency_Label</f>
        <v>USD</v>
      </c>
      <c r="I356" s="71">
        <f t="shared" ref="I356:I366" si="137">SUM(J356:AG356)</f>
        <v>498123.54155187984</v>
      </c>
      <c r="J356" s="695">
        <f>'Costs 01'!J112+J289+J341</f>
        <v>23873.344404060659</v>
      </c>
      <c r="K356" s="695">
        <f>'Costs 01'!K112+K289+K341</f>
        <v>25109.560495826609</v>
      </c>
      <c r="L356" s="695">
        <f>'Costs 01'!L112+L289+L341</f>
        <v>25123.226197787171</v>
      </c>
      <c r="M356" s="695">
        <f>'Costs 01'!M112+M289+M341</f>
        <v>25137.556450747623</v>
      </c>
      <c r="N356" s="695">
        <f>'Costs 01'!N112+N289+N341</f>
        <v>25152.583264521912</v>
      </c>
      <c r="O356" s="695">
        <f>'Costs 01'!O112+O289+O341</f>
        <v>25168.340178955055</v>
      </c>
      <c r="P356" s="695">
        <f>'Costs 01'!P112+P289+P341</f>
        <v>25021.952972333027</v>
      </c>
      <c r="Q356" s="695">
        <f>'Costs 01'!Q112+Q289+Q341</f>
        <v>22723.363595077721</v>
      </c>
      <c r="R356" s="695">
        <f>'Costs 01'!R112+R289+R341</f>
        <v>22733.236417254509</v>
      </c>
      <c r="S356" s="695">
        <f>'Costs 01'!S112+S289+S341</f>
        <v>22578.273580851517</v>
      </c>
      <c r="T356" s="695">
        <f>'Costs 01'!T112+T289+T341</f>
        <v>22777.052831275632</v>
      </c>
      <c r="U356" s="695">
        <f>'Costs 01'!U112+U289+U341</f>
        <v>22798.915976178741</v>
      </c>
      <c r="V356" s="695">
        <f>'Costs 01'!V112+V289+V341</f>
        <v>22635.187233641154</v>
      </c>
      <c r="W356" s="695">
        <f>'Costs 01'!W112+W289+W341</f>
        <v>22838.331804279293</v>
      </c>
      <c r="X356" s="695">
        <f>'Costs 01'!X112+X289+X341</f>
        <v>22859.471544577191</v>
      </c>
      <c r="Y356" s="695">
        <f>'Costs 01'!Y112+Y289+Y341</f>
        <v>22674.416681026421</v>
      </c>
      <c r="Z356" s="695">
        <f>'Costs 01'!Z112+Z289+Z341</f>
        <v>22902.51728520092</v>
      </c>
      <c r="AA356" s="695">
        <f>'Costs 01'!AA112+AA289+AA341</f>
        <v>22926.751855078313</v>
      </c>
      <c r="AB356" s="695">
        <f>'Costs 01'!AB112+AB289+AB341</f>
        <v>22718.724520065192</v>
      </c>
      <c r="AC356" s="695">
        <f>'Costs 01'!AC112+AC289+AC341</f>
        <v>22988.045771813107</v>
      </c>
      <c r="AD356" s="695">
        <f>'Costs 01'!AD112+AD289+AD341</f>
        <v>27382.688491328016</v>
      </c>
      <c r="AE356" s="695">
        <f>'Costs 01'!AE112+AE289+AE341</f>
        <v>0</v>
      </c>
      <c r="AF356" s="695">
        <f>'Costs 01'!AF112+AF289+AF341</f>
        <v>0</v>
      </c>
      <c r="AG356" s="695">
        <f>'Costs 01'!AG112+AG289+AG341</f>
        <v>0</v>
      </c>
    </row>
    <row r="357" spans="3:33" s="894" customFormat="1" ht="17.25" customHeight="1" outlineLevel="2">
      <c r="C357" s="24" t="str">
        <f>Product_02</f>
        <v>Workstations</v>
      </c>
      <c r="D357" s="8" t="str">
        <f t="shared" si="136"/>
        <v>USD</v>
      </c>
      <c r="I357" s="71">
        <f t="shared" si="137"/>
        <v>437133.10692570143</v>
      </c>
      <c r="J357" s="695">
        <f>'Costs 01'!J113+J290+J342</f>
        <v>14057.73689267661</v>
      </c>
      <c r="K357" s="695">
        <f>'Costs 01'!K113+K290+K342</f>
        <v>17569.817151613726</v>
      </c>
      <c r="L357" s="695">
        <f>'Costs 01'!L113+L290+L342</f>
        <v>17577.539784171291</v>
      </c>
      <c r="M357" s="695">
        <f>'Costs 01'!M113+M290+M342</f>
        <v>17585.637961519951</v>
      </c>
      <c r="N357" s="695">
        <f>'Costs 01'!N113+N290+N342</f>
        <v>17594.129772743749</v>
      </c>
      <c r="O357" s="695">
        <f>'Costs 01'!O113+O290+O342</f>
        <v>17603.034171563464</v>
      </c>
      <c r="P357" s="695">
        <f>'Costs 01'!P113+P290+P342</f>
        <v>19603.642547837662</v>
      </c>
      <c r="Q357" s="695">
        <f>'Costs 01'!Q113+Q290+Q342</f>
        <v>19712.783177781108</v>
      </c>
      <c r="R357" s="695">
        <f>'Costs 01'!R113+R290+R342</f>
        <v>19719.038684945463</v>
      </c>
      <c r="S357" s="695">
        <f>'Costs 01'!S113+S290+S342</f>
        <v>23128.356772217681</v>
      </c>
      <c r="T357" s="695">
        <f>'Costs 01'!T113+T290+T342</f>
        <v>23283.854218821143</v>
      </c>
      <c r="U357" s="695">
        <f>'Costs 01'!U113+U290+U342</f>
        <v>23300.477436433423</v>
      </c>
      <c r="V357" s="695">
        <f>'Costs 01'!V113+V290+V342</f>
        <v>23175.989466900712</v>
      </c>
      <c r="W357" s="695">
        <f>'Costs 01'!W113+W290+W342</f>
        <v>23330.446495815664</v>
      </c>
      <c r="X357" s="695">
        <f>'Costs 01'!X113+X290+X342</f>
        <v>23346.519686785967</v>
      </c>
      <c r="Y357" s="695">
        <f>'Costs 01'!Y113+Y290+Y342</f>
        <v>23205.816815325874</v>
      </c>
      <c r="Z357" s="695">
        <f>'Costs 01'!Z113+Z290+Z342</f>
        <v>23379.248679656899</v>
      </c>
      <c r="AA357" s="695">
        <f>'Costs 01'!AA113+AA290+AA342</f>
        <v>23397.674964191778</v>
      </c>
      <c r="AB357" s="695">
        <f>'Costs 01'!AB113+AB290+AB342</f>
        <v>23239.505420214857</v>
      </c>
      <c r="AC357" s="695">
        <f>'Costs 01'!AC113+AC290+AC342</f>
        <v>21665.935941970754</v>
      </c>
      <c r="AD357" s="695">
        <f>'Costs 01'!AD113+AD290+AD342</f>
        <v>21655.920882513612</v>
      </c>
      <c r="AE357" s="695">
        <f>'Costs 01'!AE113+AE290+AE342</f>
        <v>0</v>
      </c>
      <c r="AF357" s="695">
        <f>'Costs 01'!AF113+AF290+AF342</f>
        <v>0</v>
      </c>
      <c r="AG357" s="695">
        <f>'Costs 01'!AG113+AG290+AG342</f>
        <v>0</v>
      </c>
    </row>
    <row r="358" spans="3:33" s="894" customFormat="1" ht="17.25" customHeight="1" outlineLevel="2">
      <c r="C358" s="24" t="str">
        <f>Product_03</f>
        <v>Notebooks</v>
      </c>
      <c r="D358" s="8" t="str">
        <f t="shared" si="136"/>
        <v>USD</v>
      </c>
      <c r="I358" s="71">
        <f t="shared" si="137"/>
        <v>185626.28642935332</v>
      </c>
      <c r="J358" s="695">
        <f>'Costs 01'!J114+J291+J343</f>
        <v>8245.9605631449213</v>
      </c>
      <c r="K358" s="695">
        <f>'Costs 01'!K114+K291+K343</f>
        <v>8244.5891231140849</v>
      </c>
      <c r="L358" s="695">
        <f>'Costs 01'!L114+L291+L343</f>
        <v>8249.0883959954481</v>
      </c>
      <c r="M358" s="695">
        <f>'Costs 01'!M114+M291+M343</f>
        <v>8253.8064645377108</v>
      </c>
      <c r="N358" s="695">
        <f>'Costs 01'!N114+N291+N343</f>
        <v>8258.7538675985325</v>
      </c>
      <c r="O358" s="695">
        <f>'Costs 01'!O114+O291+O343</f>
        <v>8263.9416477804516</v>
      </c>
      <c r="P358" s="695">
        <f>'Costs 01'!P114+P291+P343</f>
        <v>8215.7453684503489</v>
      </c>
      <c r="Q358" s="695">
        <f>'Costs 01'!Q114+Q291+Q343</f>
        <v>9107.2648133547918</v>
      </c>
      <c r="R358" s="695">
        <f>'Costs 01'!R114+R291+R343</f>
        <v>9111.2737775114274</v>
      </c>
      <c r="S358" s="695">
        <f>'Costs 01'!S114+S291+S343</f>
        <v>9048.3494742447565</v>
      </c>
      <c r="T358" s="695">
        <f>'Costs 01'!T114+T291+T343</f>
        <v>9120.2679173462675</v>
      </c>
      <c r="U358" s="695">
        <f>'Costs 01'!U114+U291+U343</f>
        <v>9129.1456792160134</v>
      </c>
      <c r="V358" s="695">
        <f>'Costs 01'!V114+V291+V343</f>
        <v>9062.6618867916604</v>
      </c>
      <c r="W358" s="695">
        <f>'Costs 01'!W114+W291+W343</f>
        <v>9145.1508942629043</v>
      </c>
      <c r="X358" s="695">
        <f>'Costs 01'!X114+X291+X343</f>
        <v>9153.7349100202337</v>
      </c>
      <c r="Y358" s="695">
        <f>'Costs 01'!Y114+Y291+Y343</f>
        <v>9078.5914199723447</v>
      </c>
      <c r="Z358" s="695">
        <f>'Costs 01'!Z114+Z291+Z343</f>
        <v>9187.8356159438245</v>
      </c>
      <c r="AA358" s="695">
        <f>'Costs 01'!AA114+AA291+AA343</f>
        <v>9198.1169486190829</v>
      </c>
      <c r="AB358" s="695">
        <f>'Costs 01'!AB114+AB291+AB343</f>
        <v>9109.8629277044256</v>
      </c>
      <c r="AC358" s="695">
        <f>'Costs 01'!AC114+AC291+AC343</f>
        <v>9224.1204284459654</v>
      </c>
      <c r="AD358" s="695">
        <f>'Costs 01'!AD114+AD291+AD343</f>
        <v>9218.0243052981405</v>
      </c>
      <c r="AE358" s="695">
        <f>'Costs 01'!AE114+AE291+AE343</f>
        <v>0</v>
      </c>
      <c r="AF358" s="695">
        <f>'Costs 01'!AF114+AF291+AF343</f>
        <v>0</v>
      </c>
      <c r="AG358" s="695">
        <f>'Costs 01'!AG114+AG291+AG343</f>
        <v>0</v>
      </c>
    </row>
    <row r="359" spans="3:33" s="894" customFormat="1" ht="17.25" customHeight="1" outlineLevel="2">
      <c r="C359" s="24" t="str">
        <f>Product_04</f>
        <v>Software Products</v>
      </c>
      <c r="D359" s="8" t="str">
        <f t="shared" si="136"/>
        <v>USD</v>
      </c>
      <c r="I359" s="71">
        <f t="shared" si="137"/>
        <v>150459.01837109184</v>
      </c>
      <c r="J359" s="695">
        <f>'Costs 01'!J115+J292+J344</f>
        <v>7026.4309437272841</v>
      </c>
      <c r="K359" s="695">
        <f>'Costs 01'!K115+K292+K344</f>
        <v>7281.0624628824935</v>
      </c>
      <c r="L359" s="695">
        <f>'Costs 01'!L115+L292+L344</f>
        <v>7283.9332675941114</v>
      </c>
      <c r="M359" s="695">
        <f>'Costs 01'!M115+M292+M344</f>
        <v>7286.9436769998074</v>
      </c>
      <c r="N359" s="695">
        <f>'Costs 01'!N115+N292+N344</f>
        <v>7290.1004155199589</v>
      </c>
      <c r="O359" s="695">
        <f>'Costs 01'!O115+O292+O344</f>
        <v>7293.4105289942436</v>
      </c>
      <c r="P359" s="695">
        <f>'Costs 01'!P115+P292+P344</f>
        <v>7262.6584253918272</v>
      </c>
      <c r="Q359" s="695">
        <f>'Costs 01'!Q115+Q292+Q344</f>
        <v>7046.9765746388757</v>
      </c>
      <c r="R359" s="695">
        <f>'Costs 01'!R115+R292+R344</f>
        <v>7049.2203978608732</v>
      </c>
      <c r="S359" s="695">
        <f>'Costs 01'!S115+S292+S344</f>
        <v>7014.0015714056472</v>
      </c>
      <c r="T359" s="695">
        <f>'Costs 01'!T115+T292+T344</f>
        <v>7054.2544313505223</v>
      </c>
      <c r="U359" s="695">
        <f>'Costs 01'!U115+U292+U344</f>
        <v>7059.2233279194106</v>
      </c>
      <c r="V359" s="695">
        <f>'Costs 01'!V115+V292+V344</f>
        <v>7022.012250069959</v>
      </c>
      <c r="W359" s="695">
        <f>'Costs 01'!W115+W292+W344</f>
        <v>7068.1814706695368</v>
      </c>
      <c r="X359" s="695">
        <f>'Costs 01'!X115+X292+X344</f>
        <v>7072.9859571008774</v>
      </c>
      <c r="Y359" s="695">
        <f>'Costs 01'!Y115+Y292+Y344</f>
        <v>7030.9280335666108</v>
      </c>
      <c r="Z359" s="695">
        <f>'Costs 01'!Z115+Z292+Z344</f>
        <v>7082.7690799699067</v>
      </c>
      <c r="AA359" s="695">
        <f>'Costs 01'!AA115+AA292+AA344</f>
        <v>7088.2769367602232</v>
      </c>
      <c r="AB359" s="695">
        <f>'Costs 01'!AB115+AB292+AB344</f>
        <v>7040.9979969845135</v>
      </c>
      <c r="AC359" s="695">
        <f>'Costs 01'!AC115+AC292+AC344</f>
        <v>7102.2073723817666</v>
      </c>
      <c r="AD359" s="695">
        <f>'Costs 01'!AD115+AD292+AD344</f>
        <v>8002.4432493034219</v>
      </c>
      <c r="AE359" s="695">
        <f>'Costs 01'!AE115+AE292+AE344</f>
        <v>0</v>
      </c>
      <c r="AF359" s="695">
        <f>'Costs 01'!AF115+AF292+AF344</f>
        <v>0</v>
      </c>
      <c r="AG359" s="695">
        <f>'Costs 01'!AG115+AG292+AG344</f>
        <v>0</v>
      </c>
    </row>
    <row r="360" spans="3:33" s="894" customFormat="1" ht="17.25" customHeight="1" outlineLevel="2">
      <c r="C360" s="24" t="str">
        <f>Product_05</f>
        <v>Net work infrastructure solutions</v>
      </c>
      <c r="D360" s="8" t="str">
        <f t="shared" si="136"/>
        <v>USD</v>
      </c>
      <c r="I360" s="71">
        <f t="shared" si="137"/>
        <v>29488.830674030803</v>
      </c>
      <c r="J360" s="695">
        <f>'Costs 01'!J116+J293+J345</f>
        <v>1207.5986965785187</v>
      </c>
      <c r="K360" s="695">
        <f>'Costs 01'!K116+K293+K345</f>
        <v>1207.1381383592075</v>
      </c>
      <c r="L360" s="695">
        <f>'Costs 01'!L116+L293+L345</f>
        <v>1208.6490882074268</v>
      </c>
      <c r="M360" s="695">
        <f>'Costs 01'!M116+M293+M345</f>
        <v>1210.233514210425</v>
      </c>
      <c r="N360" s="695">
        <f>'Costs 01'!N116+N293+N345</f>
        <v>1211.8949555368208</v>
      </c>
      <c r="O360" s="695">
        <f>'Costs 01'!O116+O293+O345</f>
        <v>1213.6371205232863</v>
      </c>
      <c r="P360" s="695">
        <f>'Costs 01'!P116+P293+P345</f>
        <v>1197.4518028378036</v>
      </c>
      <c r="Q360" s="695">
        <f>'Costs 01'!Q116+Q293+Q345</f>
        <v>1218.8054043484776</v>
      </c>
      <c r="R360" s="695">
        <f>'Costs 01'!R116+R293+R345</f>
        <v>1355.5881199156806</v>
      </c>
      <c r="S360" s="695">
        <f>'Costs 01'!S116+S293+S345</f>
        <v>1334.2433766094832</v>
      </c>
      <c r="T360" s="695">
        <f>'Costs 01'!T116+T293+T345</f>
        <v>1473.2254397963804</v>
      </c>
      <c r="U360" s="695">
        <f>'Costs 01'!U116+U293+U345</f>
        <v>1491.0296768549038</v>
      </c>
      <c r="V360" s="695">
        <f>'Costs 01'!V116+V293+V345</f>
        <v>1482.7044519753513</v>
      </c>
      <c r="W360" s="695">
        <f>'Costs 01'!W116+W293+W345</f>
        <v>1526.6489971584349</v>
      </c>
      <c r="X360" s="695">
        <f>'Costs 01'!X116+X293+X345</f>
        <v>1544.9758286602666</v>
      </c>
      <c r="Y360" s="695">
        <f>'Costs 01'!Y116+Y293+Y345</f>
        <v>1533.3678091747115</v>
      </c>
      <c r="Z360" s="695">
        <f>'Costs 01'!Z116+Z293+Z345</f>
        <v>1582.3867106235455</v>
      </c>
      <c r="AA360" s="695">
        <f>'Costs 01'!AA116+AA293+AA345</f>
        <v>1601.8252563110134</v>
      </c>
      <c r="AB360" s="695">
        <f>'Costs 01'!AB116+AB293+AB345</f>
        <v>1586.505157273624</v>
      </c>
      <c r="AC360" s="695">
        <f>'Costs 01'!AC116+AC293+AC345</f>
        <v>1643.3479242078188</v>
      </c>
      <c r="AD360" s="695">
        <f>'Costs 01'!AD116+AD293+AD345</f>
        <v>1657.5732048676234</v>
      </c>
      <c r="AE360" s="695">
        <f>'Costs 01'!AE116+AE293+AE345</f>
        <v>0</v>
      </c>
      <c r="AF360" s="695">
        <f>'Costs 01'!AF116+AF293+AF345</f>
        <v>0</v>
      </c>
      <c r="AG360" s="695">
        <f>'Costs 01'!AG116+AG293+AG345</f>
        <v>0</v>
      </c>
    </row>
    <row r="361" spans="3:33" s="894" customFormat="1" ht="17.25" customHeight="1" outlineLevel="2">
      <c r="C361" s="24" t="str">
        <f>Product_06</f>
        <v>Repair Services</v>
      </c>
      <c r="D361" s="8" t="str">
        <f t="shared" si="136"/>
        <v>USD</v>
      </c>
      <c r="I361" s="71">
        <f t="shared" si="137"/>
        <v>240872.84240018314</v>
      </c>
      <c r="J361" s="695">
        <f>'Costs 01'!J117+J294+J346</f>
        <v>10735.360213894806</v>
      </c>
      <c r="K361" s="695">
        <f>'Costs 01'!K117+K294+K346</f>
        <v>10733.928184871562</v>
      </c>
      <c r="L361" s="695">
        <f>'Costs 01'!L117+L294+L346</f>
        <v>10738.626231599625</v>
      </c>
      <c r="M361" s="695">
        <f>'Costs 01'!M117+M294+M346</f>
        <v>10743.552740184949</v>
      </c>
      <c r="N361" s="695">
        <f>'Costs 01'!N117+N294+N346</f>
        <v>10748.718715082487</v>
      </c>
      <c r="O361" s="695">
        <f>'Costs 01'!O117+O294+O346</f>
        <v>10754.135686747071</v>
      </c>
      <c r="P361" s="695">
        <f>'Costs 01'!P117+P294+P346</f>
        <v>10703.810138957011</v>
      </c>
      <c r="Q361" s="695">
        <f>'Costs 01'!Q117+Q294+Q346</f>
        <v>12853.538937254198</v>
      </c>
      <c r="R361" s="695">
        <f>'Costs 01'!R117+R294+R346</f>
        <v>12857.344461438706</v>
      </c>
      <c r="S361" s="695">
        <f>'Costs 01'!S117+S294+S346</f>
        <v>12797.613331770643</v>
      </c>
      <c r="T361" s="695">
        <f>'Costs 01'!T117+T294+T346</f>
        <v>12207.948848903821</v>
      </c>
      <c r="U361" s="695">
        <f>'Costs 01'!U117+U294+U346</f>
        <v>11488.372209834535</v>
      </c>
      <c r="V361" s="695">
        <f>'Costs 01'!V117+V294+V346</f>
        <v>11430.999493441199</v>
      </c>
      <c r="W361" s="695">
        <f>'Costs 01'!W117+W294+W346</f>
        <v>11502.184037202001</v>
      </c>
      <c r="X361" s="695">
        <f>'Costs 01'!X117+X294+X346</f>
        <v>11509.591681736141</v>
      </c>
      <c r="Y361" s="695">
        <f>'Costs 01'!Y117+Y294+Y346</f>
        <v>11444.74601054149</v>
      </c>
      <c r="Z361" s="695">
        <f>'Costs 01'!Z117+Z294+Z346</f>
        <v>11524.675478450572</v>
      </c>
      <c r="AA361" s="695">
        <f>'Costs 01'!AA117+AA294+AA346</f>
        <v>11533.167592192733</v>
      </c>
      <c r="AB361" s="695">
        <f>'Costs 01'!AB117+AB294+AB346</f>
        <v>11460.272063229457</v>
      </c>
      <c r="AC361" s="695">
        <f>'Costs 01'!AC117+AC294+AC346</f>
        <v>11554.645791114677</v>
      </c>
      <c r="AD361" s="695">
        <f>'Costs 01'!AD117+AD294+AD346</f>
        <v>11549.610551735434</v>
      </c>
      <c r="AE361" s="695">
        <f>'Costs 01'!AE117+AE294+AE346</f>
        <v>0</v>
      </c>
      <c r="AF361" s="695">
        <f>'Costs 01'!AF117+AF294+AF346</f>
        <v>0</v>
      </c>
      <c r="AG361" s="695">
        <f>'Costs 01'!AG117+AG294+AG346</f>
        <v>0</v>
      </c>
    </row>
    <row r="362" spans="3:33" s="894" customFormat="1" ht="17.25" customHeight="1" outlineLevel="2">
      <c r="C362" s="24" t="str">
        <f>Product_07</f>
        <v>Integration Services</v>
      </c>
      <c r="D362" s="8" t="str">
        <f t="shared" si="136"/>
        <v>USD</v>
      </c>
      <c r="I362" s="71">
        <f t="shared" si="137"/>
        <v>28741.63589613841</v>
      </c>
      <c r="J362" s="695">
        <f>'Costs 01'!J118+J295+J347</f>
        <v>1230.3947863140745</v>
      </c>
      <c r="K362" s="695">
        <f>'Costs 01'!K118+K295+K347</f>
        <v>1228.5525534368294</v>
      </c>
      <c r="L362" s="695">
        <f>'Costs 01'!L118+L295+L347</f>
        <v>1234.5963528297073</v>
      </c>
      <c r="M362" s="695">
        <f>'Costs 01'!M118+M295+M347</f>
        <v>1240.9340568417003</v>
      </c>
      <c r="N362" s="695">
        <f>'Costs 01'!N118+N295+N347</f>
        <v>1247.579822147283</v>
      </c>
      <c r="O362" s="695">
        <f>'Costs 01'!O118+O295+O347</f>
        <v>1254.5484820931447</v>
      </c>
      <c r="P362" s="695">
        <f>'Costs 01'!P118+P295+P347</f>
        <v>1189.8072113512146</v>
      </c>
      <c r="Q362" s="695">
        <f>'Costs 01'!Q118+Q295+Q347</f>
        <v>1275.2216173939109</v>
      </c>
      <c r="R362" s="695">
        <f>'Costs 01'!R118+R295+R347</f>
        <v>1422.3524796627228</v>
      </c>
      <c r="S362" s="695">
        <f>'Costs 01'!S118+S295+S347</f>
        <v>1336.9735064379333</v>
      </c>
      <c r="T362" s="695">
        <f>'Costs 01'!T118+T295+T347</f>
        <v>1434.5561972133878</v>
      </c>
      <c r="U362" s="695">
        <f>'Costs 01'!U118+U295+U347</f>
        <v>1446.6020070773598</v>
      </c>
      <c r="V362" s="695">
        <f>'Costs 01'!V118+V295+V347</f>
        <v>1356.3933335029315</v>
      </c>
      <c r="W362" s="695">
        <f>'Costs 01'!W118+W295+W347</f>
        <v>1468.3187167746339</v>
      </c>
      <c r="X362" s="695">
        <f>'Costs 01'!X118+X295+X347</f>
        <v>1479.9659566081873</v>
      </c>
      <c r="Y362" s="695">
        <f>'Costs 01'!Y118+Y295+Y347</f>
        <v>1378.0073541008751</v>
      </c>
      <c r="Z362" s="695">
        <f>'Costs 01'!Z118+Z295+Z347</f>
        <v>1503.6826181088636</v>
      </c>
      <c r="AA362" s="695">
        <f>'Costs 01'!AA118+AA295+AA347</f>
        <v>1517.0349982066004</v>
      </c>
      <c r="AB362" s="695">
        <f>'Costs 01'!AB118+AB295+AB347</f>
        <v>1402.4193866291234</v>
      </c>
      <c r="AC362" s="695">
        <f>'Costs 01'!AC118+AC295+AC347</f>
        <v>1550.8057512285261</v>
      </c>
      <c r="AD362" s="695">
        <f>'Costs 01'!AD118+AD295+AD347</f>
        <v>1542.8887081794021</v>
      </c>
      <c r="AE362" s="695">
        <f>'Costs 01'!AE118+AE295+AE347</f>
        <v>0</v>
      </c>
      <c r="AF362" s="695">
        <f>'Costs 01'!AF118+AF295+AF347</f>
        <v>0</v>
      </c>
      <c r="AG362" s="695">
        <f>'Costs 01'!AG118+AG295+AG347</f>
        <v>0</v>
      </c>
    </row>
    <row r="363" spans="3:33" s="894" customFormat="1" ht="17.25" customHeight="1" outlineLevel="2">
      <c r="C363" s="24" t="str">
        <f>Product_08</f>
        <v>Consulting Services</v>
      </c>
      <c r="D363" s="8" t="str">
        <f t="shared" si="136"/>
        <v>USD</v>
      </c>
      <c r="I363" s="71">
        <f t="shared" si="137"/>
        <v>42374.219674521977</v>
      </c>
      <c r="J363" s="695">
        <f>'Costs 01'!J119+J296+J348</f>
        <v>1769.5490652546268</v>
      </c>
      <c r="K363" s="695">
        <f>'Costs 01'!K119+K296+K348</f>
        <v>1785.2851826055028</v>
      </c>
      <c r="L363" s="695">
        <f>'Costs 01'!L119+L296+L348</f>
        <v>1809.6304165350907</v>
      </c>
      <c r="M363" s="695">
        <f>'Costs 01'!M119+M296+M348</f>
        <v>1834.6029026125968</v>
      </c>
      <c r="N363" s="695">
        <f>'Costs 01'!N119+N296+N348</f>
        <v>1860.2314531971929</v>
      </c>
      <c r="O363" s="695">
        <f>'Costs 01'!O119+O296+O348</f>
        <v>1886.5464852410553</v>
      </c>
      <c r="P363" s="695">
        <f>'Costs 01'!P119+P296+P348</f>
        <v>1833.0415879525026</v>
      </c>
      <c r="Q363" s="695">
        <f>'Costs 01'!Q119+Q296+Q348</f>
        <v>1947.806413302081</v>
      </c>
      <c r="R363" s="695">
        <f>'Costs 01'!R119+R296+R348</f>
        <v>1972.8669869097073</v>
      </c>
      <c r="S363" s="695">
        <f>'Costs 01'!S119+S296+S348</f>
        <v>1904.0969173292119</v>
      </c>
      <c r="T363" s="695">
        <f>'Costs 01'!T119+T296+T348</f>
        <v>2025.2977538274474</v>
      </c>
      <c r="U363" s="695">
        <f>'Costs 01'!U119+U296+U348</f>
        <v>2058.2876656624012</v>
      </c>
      <c r="V363" s="695">
        <f>'Costs 01'!V119+V296+V348</f>
        <v>1982.5323316967556</v>
      </c>
      <c r="W363" s="695">
        <f>'Costs 01'!W119+W296+W348</f>
        <v>2123.0834968597201</v>
      </c>
      <c r="X363" s="695">
        <f>'Costs 01'!X119+X296+X348</f>
        <v>2157.0030001260288</v>
      </c>
      <c r="Y363" s="695">
        <f>'Costs 01'!Y119+Y296+Y348</f>
        <v>2066.3871307331337</v>
      </c>
      <c r="Z363" s="695">
        <f>'Costs 01'!Z119+Z296+Z348</f>
        <v>2226.7153569785996</v>
      </c>
      <c r="AA363" s="695">
        <f>'Costs 01'!AA119+AA296+AA348</f>
        <v>2263.9695494349871</v>
      </c>
      <c r="AB363" s="695">
        <f>'Costs 01'!AB119+AB296+AB348</f>
        <v>2156.6753978323295</v>
      </c>
      <c r="AC363" s="695">
        <f>'Costs 01'!AC119+AC296+AC348</f>
        <v>2348.1423517329613</v>
      </c>
      <c r="AD363" s="695">
        <f>'Costs 01'!AD119+AD296+AD348</f>
        <v>2362.4682286980465</v>
      </c>
      <c r="AE363" s="695">
        <f>'Costs 01'!AE119+AE296+AE348</f>
        <v>0</v>
      </c>
      <c r="AF363" s="695">
        <f>'Costs 01'!AF119+AF296+AF348</f>
        <v>0</v>
      </c>
      <c r="AG363" s="695">
        <f>'Costs 01'!AG119+AG296+AG348</f>
        <v>0</v>
      </c>
    </row>
    <row r="364" spans="3:33" s="894" customFormat="1" ht="17.25" customHeight="1" outlineLevel="2">
      <c r="C364" s="24" t="str">
        <f>Product_09</f>
        <v>Spare Parts</v>
      </c>
      <c r="D364" s="8" t="str">
        <f t="shared" si="136"/>
        <v>USD</v>
      </c>
      <c r="I364" s="71">
        <f t="shared" si="137"/>
        <v>153933.80205463662</v>
      </c>
      <c r="J364" s="695">
        <f>'Costs 01'!J120+J297+J349</f>
        <v>7395.4194343484978</v>
      </c>
      <c r="K364" s="695">
        <f>'Costs 01'!K120+K297+K349</f>
        <v>7816.9734572899852</v>
      </c>
      <c r="L364" s="695">
        <f>'Costs 01'!L120+L297+L349</f>
        <v>7820.3898827801258</v>
      </c>
      <c r="M364" s="695">
        <f>'Costs 01'!M120+M297+M349</f>
        <v>7823.9724460202387</v>
      </c>
      <c r="N364" s="695">
        <f>'Costs 01'!N120+N297+N349</f>
        <v>7827.7291494638112</v>
      </c>
      <c r="O364" s="695">
        <f>'Costs 01'!O120+O297+O349</f>
        <v>7831.6683780720969</v>
      </c>
      <c r="P364" s="695">
        <f>'Costs 01'!P120+P297+P349</f>
        <v>7795.0715764165898</v>
      </c>
      <c r="Q364" s="695">
        <f>'Costs 01'!Q120+Q297+Q349</f>
        <v>6995.4242321027632</v>
      </c>
      <c r="R364" s="695">
        <f>'Costs 01'!R120+R297+R349</f>
        <v>6997.8924376469604</v>
      </c>
      <c r="S364" s="695">
        <f>'Costs 01'!S120+S297+S349</f>
        <v>6959.1517285462123</v>
      </c>
      <c r="T364" s="695">
        <f>'Costs 01'!T120+T297+T349</f>
        <v>7003.4298744855751</v>
      </c>
      <c r="U364" s="695">
        <f>'Costs 01'!U120+U297+U349</f>
        <v>7008.8956607113523</v>
      </c>
      <c r="V364" s="695">
        <f>'Costs 01'!V120+V297+V349</f>
        <v>6967.9634750769555</v>
      </c>
      <c r="W364" s="695">
        <f>'Costs 01'!W120+W297+W349</f>
        <v>7018.7496177364901</v>
      </c>
      <c r="X364" s="695">
        <f>'Costs 01'!X120+X297+X349</f>
        <v>7024.0345528109647</v>
      </c>
      <c r="Y364" s="695">
        <f>'Costs 01'!Y120+Y297+Y349</f>
        <v>6977.7708369232723</v>
      </c>
      <c r="Z364" s="695">
        <f>'Costs 01'!Z120+Z297+Z349</f>
        <v>7034.795987966897</v>
      </c>
      <c r="AA364" s="695">
        <f>'Costs 01'!AA120+AA297+AA349</f>
        <v>7040.8546304362453</v>
      </c>
      <c r="AB364" s="695">
        <f>'Costs 01'!AB120+AB297+AB349</f>
        <v>6988.8477966829651</v>
      </c>
      <c r="AC364" s="695">
        <f>'Costs 01'!AC120+AC297+AC349</f>
        <v>7056.1781096199438</v>
      </c>
      <c r="AD364" s="695">
        <f>'Costs 01'!AD120+AD297+AD349</f>
        <v>8548.5887894986718</v>
      </c>
      <c r="AE364" s="695">
        <f>'Costs 01'!AE120+AE297+AE349</f>
        <v>0</v>
      </c>
      <c r="AF364" s="695">
        <f>'Costs 01'!AF120+AF297+AF349</f>
        <v>0</v>
      </c>
      <c r="AG364" s="695">
        <f>'Costs 01'!AG120+AG297+AG349</f>
        <v>0</v>
      </c>
    </row>
    <row r="365" spans="3:33" s="894" customFormat="1" ht="17.25" customHeight="1" outlineLevel="2">
      <c r="C365" s="24" t="str">
        <f>Product_10</f>
        <v>License Fees</v>
      </c>
      <c r="D365" s="8" t="str">
        <f t="shared" si="136"/>
        <v>USD</v>
      </c>
      <c r="I365" s="71">
        <f t="shared" si="137"/>
        <v>8982.7004979010344</v>
      </c>
      <c r="J365" s="695">
        <f>'Costs 01'!J121+J298+J350</f>
        <v>0</v>
      </c>
      <c r="K365" s="695">
        <f>'Costs 01'!K121+K298+K350</f>
        <v>0</v>
      </c>
      <c r="L365" s="695">
        <f>'Costs 01'!L121+L298+L350</f>
        <v>0</v>
      </c>
      <c r="M365" s="695">
        <f>'Costs 01'!M121+M298+M350</f>
        <v>0</v>
      </c>
      <c r="N365" s="695">
        <f>'Costs 01'!N121+N298+N350</f>
        <v>0</v>
      </c>
      <c r="O365" s="695">
        <f>'Costs 01'!O121+O298+O350</f>
        <v>0</v>
      </c>
      <c r="P365" s="695">
        <f>'Costs 01'!P121+P298+P350</f>
        <v>1610.362071074916</v>
      </c>
      <c r="Q365" s="695">
        <f>'Costs 01'!Q121+Q298+Q350</f>
        <v>0</v>
      </c>
      <c r="R365" s="695">
        <f>'Costs 01'!R121+R298+R350</f>
        <v>0</v>
      </c>
      <c r="S365" s="695">
        <f>'Costs 01'!S121+S298+S350</f>
        <v>1685.3729924493227</v>
      </c>
      <c r="T365" s="695">
        <f>'Costs 01'!T121+T298+T350</f>
        <v>0</v>
      </c>
      <c r="U365" s="695">
        <f>'Costs 01'!U121+U298+U350</f>
        <v>0</v>
      </c>
      <c r="V365" s="695">
        <f>'Costs 01'!V121+V298+V350</f>
        <v>1782.6794541816637</v>
      </c>
      <c r="W365" s="695">
        <f>'Costs 01'!W121+W298+W350</f>
        <v>0</v>
      </c>
      <c r="X365" s="695">
        <f>'Costs 01'!X121+X298+X350</f>
        <v>0</v>
      </c>
      <c r="Y365" s="695">
        <f>'Costs 01'!Y121+Y298+Y350</f>
        <v>1890.9817888896273</v>
      </c>
      <c r="Z365" s="695">
        <f>'Costs 01'!Z121+Z298+Z350</f>
        <v>0</v>
      </c>
      <c r="AA365" s="695">
        <f>'Costs 01'!AA121+AA298+AA350</f>
        <v>0</v>
      </c>
      <c r="AB365" s="695">
        <f>'Costs 01'!AB121+AB298+AB350</f>
        <v>2013.304191305504</v>
      </c>
      <c r="AC365" s="695">
        <f>'Costs 01'!AC121+AC298+AC350</f>
        <v>0</v>
      </c>
      <c r="AD365" s="695">
        <f>'Costs 01'!AD121+AD298+AD350</f>
        <v>0</v>
      </c>
      <c r="AE365" s="695">
        <f>'Costs 01'!AE121+AE298+AE350</f>
        <v>0</v>
      </c>
      <c r="AF365" s="695">
        <f>'Costs 01'!AF121+AF298+AF350</f>
        <v>0</v>
      </c>
      <c r="AG365" s="695">
        <f>'Costs 01'!AG121+AG298+AG350</f>
        <v>0</v>
      </c>
    </row>
    <row r="366" spans="3:33" s="894" customFormat="1" ht="17.25" customHeight="1" outlineLevel="2" thickBot="1">
      <c r="C366" s="268" t="s">
        <v>852</v>
      </c>
      <c r="D366" s="8" t="str">
        <f t="shared" si="136"/>
        <v>USD</v>
      </c>
      <c r="E366" s="8"/>
      <c r="F366" s="652" t="s">
        <v>216</v>
      </c>
      <c r="G366" s="685">
        <f>IFS!I27-'Costs 02'!I366</f>
        <v>0</v>
      </c>
      <c r="H366" s="8"/>
      <c r="I366" s="141">
        <f t="shared" si="137"/>
        <v>1775735.9844754385</v>
      </c>
      <c r="J366" s="524">
        <f t="shared" ref="J366:AG366" si="138">SUM(J356:J365)</f>
        <v>75541.794999999998</v>
      </c>
      <c r="K366" s="524">
        <f t="shared" si="138"/>
        <v>80976.906750000009</v>
      </c>
      <c r="L366" s="524">
        <f t="shared" si="138"/>
        <v>81045.67961750002</v>
      </c>
      <c r="M366" s="524">
        <f t="shared" si="138"/>
        <v>81117.240213675002</v>
      </c>
      <c r="N366" s="524">
        <f t="shared" si="138"/>
        <v>81191.721415811742</v>
      </c>
      <c r="O366" s="524">
        <f t="shared" si="138"/>
        <v>81269.262679969863</v>
      </c>
      <c r="P366" s="524">
        <f t="shared" si="138"/>
        <v>84433.54370260291</v>
      </c>
      <c r="Q366" s="524">
        <f t="shared" si="138"/>
        <v>82881.184765253944</v>
      </c>
      <c r="R366" s="524">
        <f t="shared" si="138"/>
        <v>83218.813763146056</v>
      </c>
      <c r="S366" s="524">
        <f t="shared" si="138"/>
        <v>87786.433251862414</v>
      </c>
      <c r="T366" s="524">
        <f t="shared" si="138"/>
        <v>86379.887513020178</v>
      </c>
      <c r="U366" s="524">
        <f t="shared" si="138"/>
        <v>85780.949639888146</v>
      </c>
      <c r="V366" s="524">
        <f t="shared" si="138"/>
        <v>86899.123377278345</v>
      </c>
      <c r="W366" s="524">
        <f t="shared" si="138"/>
        <v>86021.095530758685</v>
      </c>
      <c r="X366" s="524">
        <f t="shared" si="138"/>
        <v>86148.283118425854</v>
      </c>
      <c r="Y366" s="524">
        <f t="shared" si="138"/>
        <v>87281.013880254352</v>
      </c>
      <c r="Z366" s="524">
        <f t="shared" si="138"/>
        <v>86424.626812900038</v>
      </c>
      <c r="AA366" s="524">
        <f t="shared" si="138"/>
        <v>86567.672731230967</v>
      </c>
      <c r="AB366" s="524">
        <f t="shared" si="138"/>
        <v>87717.114857921988</v>
      </c>
      <c r="AC366" s="524">
        <f t="shared" si="138"/>
        <v>85133.429442515524</v>
      </c>
      <c r="AD366" s="524">
        <f t="shared" si="138"/>
        <v>91920.206411422376</v>
      </c>
      <c r="AE366" s="524">
        <f t="shared" si="138"/>
        <v>0</v>
      </c>
      <c r="AF366" s="524">
        <f t="shared" si="138"/>
        <v>0</v>
      </c>
      <c r="AG366" s="524">
        <f t="shared" si="138"/>
        <v>0</v>
      </c>
    </row>
    <row r="367" spans="3:33" s="894" customFormat="1" ht="17.25" customHeight="1" outlineLevel="2" thickTop="1"/>
    <row r="368" spans="3:33" s="894" customFormat="1" ht="17.25" customHeight="1" outlineLevel="1"/>
    <row r="369" spans="1:1" s="287" customFormat="1" ht="17.25" customHeight="1">
      <c r="A369" s="894"/>
    </row>
    <row r="370" spans="1:1" s="287" customFormat="1" ht="17.25" customHeight="1">
      <c r="A370" s="894"/>
    </row>
    <row r="371" spans="1:1" s="287" customFormat="1" ht="17.25" customHeight="1">
      <c r="A371" s="894"/>
    </row>
    <row r="372" spans="1:1" s="287" customFormat="1" ht="17.25" customHeight="1">
      <c r="A372" s="894"/>
    </row>
    <row r="373" spans="1:1" s="287" customFormat="1" ht="17.25" customHeight="1">
      <c r="A373" s="894"/>
    </row>
    <row r="374" spans="1:1" s="287" customFormat="1" ht="17.25" customHeight="1">
      <c r="A374" s="894"/>
    </row>
    <row r="375" spans="1:1" s="287" customFormat="1" ht="17.25" customHeight="1">
      <c r="A375" s="894"/>
    </row>
    <row r="376" spans="1:1" s="287" customFormat="1" ht="17.25" customHeight="1">
      <c r="A376" s="894"/>
    </row>
    <row r="377" spans="1:1" s="287" customFormat="1" ht="17.25" customHeight="1"/>
    <row r="378" spans="1:1" s="287" customFormat="1" ht="17.25" customHeight="1"/>
    <row r="379" spans="1:1" s="287" customFormat="1" ht="17.25" customHeight="1"/>
    <row r="380" spans="1:1" s="894" customFormat="1" ht="17.25" customHeight="1"/>
    <row r="381" spans="1:1" s="894" customFormat="1" ht="17.25" customHeight="1"/>
    <row r="382" spans="1:1" s="894" customFormat="1" ht="17.25" customHeight="1"/>
    <row r="383" spans="1:1" s="894" customFormat="1" ht="17.25" customHeight="1"/>
    <row r="384" spans="1:1" s="287" customFormat="1" ht="17.25" customHeight="1"/>
    <row r="385" spans="6:6" s="287" customFormat="1" ht="17.25" customHeight="1">
      <c r="F385" s="894"/>
    </row>
    <row r="386" spans="6:6" s="287" customFormat="1" ht="17.25" customHeight="1">
      <c r="F386" s="894"/>
    </row>
    <row r="387" spans="6:6" s="287" customFormat="1" ht="17.25" customHeight="1"/>
    <row r="388" spans="6:6" s="287" customFormat="1" ht="17.25" customHeight="1"/>
    <row r="389" spans="6:6" s="287" customFormat="1" ht="17.25" customHeight="1"/>
    <row r="390" spans="6:6" s="287" customFormat="1" ht="17.25" customHeight="1"/>
    <row r="391" spans="6:6" s="287" customFormat="1" ht="17.25" customHeight="1"/>
    <row r="392" spans="6:6" s="287" customFormat="1" ht="17.25" customHeight="1"/>
    <row r="393" spans="6:6" s="287" customFormat="1" ht="17.25" customHeight="1"/>
    <row r="394" spans="6:6" s="287" customFormat="1" ht="17.25" customHeight="1"/>
    <row r="395" spans="6:6" s="287" customFormat="1" ht="17.25" customHeight="1"/>
    <row r="396" spans="6:6" s="287" customFormat="1" ht="17.25" customHeight="1"/>
    <row r="397" spans="6:6" s="287" customFormat="1" ht="17.25" customHeight="1"/>
  </sheetData>
  <sheetProtection password="F66A" sheet="1"/>
  <conditionalFormatting sqref="J84:X84">
    <cfRule type="iconSet" priority="154">
      <iconSet iconSet="3Arrows">
        <cfvo type="percent" val="0"/>
        <cfvo type="num" val="0"/>
        <cfvo type="num" val="1"/>
      </iconSet>
    </cfRule>
  </conditionalFormatting>
  <conditionalFormatting sqref="J84:X84">
    <cfRule type="iconSet" priority="153">
      <iconSet iconSet="3Arrows">
        <cfvo type="percent" val="0"/>
        <cfvo type="num" val="0"/>
        <cfvo type="num" val="1"/>
      </iconSet>
    </cfRule>
  </conditionalFormatting>
  <conditionalFormatting sqref="J14:AG16 K17:AG17 J21:AG24 J28:AG31 J35:AG38 J77:AG80 J42:AG45 J49:AG52 J56:AG59 J63:AG63 J65:AG66 J70:AG73 J236:AG236 J241:AG241 J246:AG246 J251:AG251 J256:AG256 J261:AG261 J266:AG266 J271:AG271 J276:AG276 J281:AG281 J317:AG319 J321:AG323 J325:AG330 AE64:AG64">
    <cfRule type="expression" dxfId="319" priority="124" stopIfTrue="1">
      <formula>J$6=0</formula>
    </cfRule>
  </conditionalFormatting>
  <conditionalFormatting sqref="J17">
    <cfRule type="expression" dxfId="318" priority="120" stopIfTrue="1">
      <formula>J$6=0</formula>
    </cfRule>
  </conditionalFormatting>
  <conditionalFormatting sqref="D3">
    <cfRule type="cellIs" dxfId="317" priority="104" operator="notEqual">
      <formula>0</formula>
    </cfRule>
  </conditionalFormatting>
  <conditionalFormatting sqref="E162">
    <cfRule type="cellIs" dxfId="316" priority="93" stopIfTrue="1" operator="equal">
      <formula>1</formula>
    </cfRule>
  </conditionalFormatting>
  <conditionalFormatting sqref="E163:E165">
    <cfRule type="cellIs" dxfId="315" priority="92" stopIfTrue="1" operator="equal">
      <formula>1</formula>
    </cfRule>
  </conditionalFormatting>
  <conditionalFormatting sqref="E169">
    <cfRule type="cellIs" dxfId="314" priority="91" stopIfTrue="1" operator="equal">
      <formula>1</formula>
    </cfRule>
  </conditionalFormatting>
  <conditionalFormatting sqref="E170">
    <cfRule type="cellIs" dxfId="313" priority="90" stopIfTrue="1" operator="equal">
      <formula>1</formula>
    </cfRule>
  </conditionalFormatting>
  <conditionalFormatting sqref="E171">
    <cfRule type="cellIs" dxfId="312" priority="89" stopIfTrue="1" operator="equal">
      <formula>1</formula>
    </cfRule>
  </conditionalFormatting>
  <conditionalFormatting sqref="E172">
    <cfRule type="cellIs" dxfId="311" priority="88" stopIfTrue="1" operator="equal">
      <formula>1</formula>
    </cfRule>
  </conditionalFormatting>
  <conditionalFormatting sqref="E177">
    <cfRule type="cellIs" dxfId="310" priority="87" stopIfTrue="1" operator="equal">
      <formula>1</formula>
    </cfRule>
  </conditionalFormatting>
  <conditionalFormatting sqref="E178">
    <cfRule type="cellIs" dxfId="309" priority="86" stopIfTrue="1" operator="equal">
      <formula>1</formula>
    </cfRule>
  </conditionalFormatting>
  <conditionalFormatting sqref="E179">
    <cfRule type="cellIs" dxfId="308" priority="85" stopIfTrue="1" operator="equal">
      <formula>1</formula>
    </cfRule>
  </conditionalFormatting>
  <conditionalFormatting sqref="E183">
    <cfRule type="cellIs" dxfId="307" priority="84" stopIfTrue="1" operator="equal">
      <formula>1</formula>
    </cfRule>
  </conditionalFormatting>
  <conditionalFormatting sqref="E184">
    <cfRule type="cellIs" dxfId="306" priority="83" stopIfTrue="1" operator="equal">
      <formula>1</formula>
    </cfRule>
  </conditionalFormatting>
  <conditionalFormatting sqref="E185">
    <cfRule type="cellIs" dxfId="305" priority="82" stopIfTrue="1" operator="equal">
      <formula>1</formula>
    </cfRule>
  </conditionalFormatting>
  <conditionalFormatting sqref="E186">
    <cfRule type="cellIs" dxfId="304" priority="81" stopIfTrue="1" operator="equal">
      <formula>1</formula>
    </cfRule>
  </conditionalFormatting>
  <conditionalFormatting sqref="E225">
    <cfRule type="cellIs" dxfId="303" priority="80" stopIfTrue="1" operator="equal">
      <formula>1</formula>
    </cfRule>
  </conditionalFormatting>
  <conditionalFormatting sqref="E226">
    <cfRule type="cellIs" dxfId="302" priority="79" stopIfTrue="1" operator="equal">
      <formula>1</formula>
    </cfRule>
  </conditionalFormatting>
  <conditionalFormatting sqref="E227">
    <cfRule type="cellIs" dxfId="301" priority="78" stopIfTrue="1" operator="equal">
      <formula>1</formula>
    </cfRule>
  </conditionalFormatting>
  <conditionalFormatting sqref="E228">
    <cfRule type="cellIs" dxfId="300" priority="77" stopIfTrue="1" operator="equal">
      <formula>1</formula>
    </cfRule>
  </conditionalFormatting>
  <conditionalFormatting sqref="E176">
    <cfRule type="cellIs" dxfId="299" priority="76" stopIfTrue="1" operator="equal">
      <formula>1</formula>
    </cfRule>
  </conditionalFormatting>
  <conditionalFormatting sqref="J64:AD64">
    <cfRule type="expression" dxfId="298" priority="65" stopIfTrue="1">
      <formula>J$6=0</formula>
    </cfRule>
  </conditionalFormatting>
  <conditionalFormatting sqref="E190">
    <cfRule type="cellIs" dxfId="297" priority="60" stopIfTrue="1" operator="equal">
      <formula>1</formula>
    </cfRule>
  </conditionalFormatting>
  <conditionalFormatting sqref="E191">
    <cfRule type="cellIs" dxfId="296" priority="59" stopIfTrue="1" operator="equal">
      <formula>1</formula>
    </cfRule>
  </conditionalFormatting>
  <conditionalFormatting sqref="E192">
    <cfRule type="cellIs" dxfId="295" priority="58" stopIfTrue="1" operator="equal">
      <formula>1</formula>
    </cfRule>
  </conditionalFormatting>
  <conditionalFormatting sqref="E193">
    <cfRule type="cellIs" dxfId="294" priority="57" stopIfTrue="1" operator="equal">
      <formula>1</formula>
    </cfRule>
  </conditionalFormatting>
  <conditionalFormatting sqref="E197">
    <cfRule type="cellIs" dxfId="293" priority="56" stopIfTrue="1" operator="equal">
      <formula>1</formula>
    </cfRule>
  </conditionalFormatting>
  <conditionalFormatting sqref="E198">
    <cfRule type="cellIs" dxfId="292" priority="55" stopIfTrue="1" operator="equal">
      <formula>1</formula>
    </cfRule>
  </conditionalFormatting>
  <conditionalFormatting sqref="E199">
    <cfRule type="cellIs" dxfId="291" priority="54" stopIfTrue="1" operator="equal">
      <formula>1</formula>
    </cfRule>
  </conditionalFormatting>
  <conditionalFormatting sqref="E200">
    <cfRule type="cellIs" dxfId="290" priority="53" stopIfTrue="1" operator="equal">
      <formula>1</formula>
    </cfRule>
  </conditionalFormatting>
  <conditionalFormatting sqref="E204">
    <cfRule type="cellIs" dxfId="289" priority="52" stopIfTrue="1" operator="equal">
      <formula>1</formula>
    </cfRule>
  </conditionalFormatting>
  <conditionalFormatting sqref="E205">
    <cfRule type="cellIs" dxfId="288" priority="51" stopIfTrue="1" operator="equal">
      <formula>1</formula>
    </cfRule>
  </conditionalFormatting>
  <conditionalFormatting sqref="E206">
    <cfRule type="cellIs" dxfId="287" priority="50" stopIfTrue="1" operator="equal">
      <formula>1</formula>
    </cfRule>
  </conditionalFormatting>
  <conditionalFormatting sqref="E207">
    <cfRule type="cellIs" dxfId="286" priority="49" stopIfTrue="1" operator="equal">
      <formula>1</formula>
    </cfRule>
  </conditionalFormatting>
  <conditionalFormatting sqref="E211">
    <cfRule type="cellIs" dxfId="285" priority="48" stopIfTrue="1" operator="equal">
      <formula>1</formula>
    </cfRule>
  </conditionalFormatting>
  <conditionalFormatting sqref="E212">
    <cfRule type="cellIs" dxfId="284" priority="47" stopIfTrue="1" operator="equal">
      <formula>1</formula>
    </cfRule>
  </conditionalFormatting>
  <conditionalFormatting sqref="E213">
    <cfRule type="cellIs" dxfId="283" priority="46" stopIfTrue="1" operator="equal">
      <formula>1</formula>
    </cfRule>
  </conditionalFormatting>
  <conditionalFormatting sqref="E214">
    <cfRule type="cellIs" dxfId="282" priority="45" stopIfTrue="1" operator="equal">
      <formula>1</formula>
    </cfRule>
  </conditionalFormatting>
  <conditionalFormatting sqref="E218">
    <cfRule type="cellIs" dxfId="281" priority="44" stopIfTrue="1" operator="equal">
      <formula>1</formula>
    </cfRule>
  </conditionalFormatting>
  <conditionalFormatting sqref="E219">
    <cfRule type="cellIs" dxfId="280" priority="43" stopIfTrue="1" operator="equal">
      <formula>1</formula>
    </cfRule>
  </conditionalFormatting>
  <conditionalFormatting sqref="E220">
    <cfRule type="cellIs" dxfId="279" priority="42" stopIfTrue="1" operator="equal">
      <formula>1</formula>
    </cfRule>
  </conditionalFormatting>
  <conditionalFormatting sqref="E221">
    <cfRule type="cellIs" dxfId="278" priority="41" stopIfTrue="1" operator="equal">
      <formula>1</formula>
    </cfRule>
  </conditionalFormatting>
  <conditionalFormatting sqref="G299">
    <cfRule type="cellIs" dxfId="277" priority="27" operator="notEqual">
      <formula>0</formula>
    </cfRule>
  </conditionalFormatting>
  <conditionalFormatting sqref="G366">
    <cfRule type="cellIs" dxfId="276" priority="25" operator="notEqual">
      <formula>0</formula>
    </cfRule>
  </conditionalFormatting>
  <conditionalFormatting sqref="F351">
    <cfRule type="cellIs" dxfId="275" priority="24" operator="notEqual">
      <formula>0</formula>
    </cfRule>
  </conditionalFormatting>
  <conditionalFormatting sqref="J352:AG352">
    <cfRule type="cellIs" dxfId="274" priority="23" stopIfTrue="1" operator="equal">
      <formula>1</formula>
    </cfRule>
  </conditionalFormatting>
  <conditionalFormatting sqref="J352">
    <cfRule type="cellIs" dxfId="273" priority="22" stopIfTrue="1" operator="equal">
      <formula>1</formula>
    </cfRule>
  </conditionalFormatting>
  <conditionalFormatting sqref="I352">
    <cfRule type="cellIs" dxfId="272" priority="15" operator="notEqual">
      <formula>0</formula>
    </cfRule>
  </conditionalFormatting>
  <conditionalFormatting sqref="F341">
    <cfRule type="expression" dxfId="271" priority="14" stopIfTrue="1">
      <formula>alloc_dc&lt;&gt;3</formula>
    </cfRule>
  </conditionalFormatting>
  <conditionalFormatting sqref="F350">
    <cfRule type="expression" dxfId="270" priority="12" stopIfTrue="1">
      <formula>alloc_dc&lt;&gt;3</formula>
    </cfRule>
  </conditionalFormatting>
  <conditionalFormatting sqref="F342:F349">
    <cfRule type="expression" dxfId="269" priority="10" stopIfTrue="1">
      <formula>alloc_dc&lt;&gt;3</formula>
    </cfRule>
  </conditionalFormatting>
  <conditionalFormatting sqref="Y84:AG84">
    <cfRule type="iconSet" priority="2954">
      <iconSet iconSet="3Arrows">
        <cfvo type="percent" val="0"/>
        <cfvo type="num" val="0"/>
        <cfvo type="num" val="1"/>
      </iconSet>
    </cfRule>
  </conditionalFormatting>
  <conditionalFormatting sqref="K6:L6">
    <cfRule type="cellIs" dxfId="268" priority="9" stopIfTrue="1" operator="equal">
      <formula>1</formula>
    </cfRule>
  </conditionalFormatting>
  <conditionalFormatting sqref="J4">
    <cfRule type="expression" dxfId="267" priority="8" stopIfTrue="1">
      <formula>J$6=1</formula>
    </cfRule>
  </conditionalFormatting>
  <conditionalFormatting sqref="M6:Q6">
    <cfRule type="cellIs" dxfId="266" priority="7" stopIfTrue="1" operator="equal">
      <formula>1</formula>
    </cfRule>
  </conditionalFormatting>
  <conditionalFormatting sqref="J5">
    <cfRule type="expression" dxfId="265" priority="6" stopIfTrue="1">
      <formula>J$6=1</formula>
    </cfRule>
  </conditionalFormatting>
  <conditionalFormatting sqref="R6:AG6">
    <cfRule type="cellIs" dxfId="264" priority="5" stopIfTrue="1" operator="equal">
      <formula>1</formula>
    </cfRule>
  </conditionalFormatting>
  <conditionalFormatting sqref="J6:AG6">
    <cfRule type="cellIs" dxfId="263" priority="4" stopIfTrue="1" operator="equal">
      <formula>1</formula>
    </cfRule>
  </conditionalFormatting>
  <conditionalFormatting sqref="K4:AG4">
    <cfRule type="expression" dxfId="262" priority="3" stopIfTrue="1">
      <formula>K$6=1</formula>
    </cfRule>
  </conditionalFormatting>
  <conditionalFormatting sqref="L5:AG5">
    <cfRule type="expression" dxfId="261" priority="2" stopIfTrue="1">
      <formula>L$6=1</formula>
    </cfRule>
  </conditionalFormatting>
  <conditionalFormatting sqref="K5:AG5">
    <cfRule type="expression" dxfId="260" priority="1" stopIfTrue="1">
      <formula>K$6=1</formula>
    </cfRule>
  </conditionalFormatting>
  <dataValidations count="2">
    <dataValidation type="list" allowBlank="1" showInputMessage="1" showErrorMessage="1" sqref="E14:E17 E21:E24 E28:E31 E35:E38 E77:E80 E42:E45 E49:E52 E56:E59 E63:E66 E70:E73">
      <formula1>"1,0"</formula1>
    </dataValidation>
    <dataValidation type="whole" allowBlank="1" showInputMessage="1" showErrorMessage="1" errorTitle="Error" error="0 for immediate cash payment or_x000a_Integers from 1 to 4 (credit periods)_x000a_=&gt; Maximum 4 months!" sqref="F317:F319 F321:F323 F325:F330">
      <formula1>0</formula1>
      <formula2>4</formula2>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Kosten03">
    <tabColor rgb="FFFFFF00"/>
    <pageSetUpPr autoPageBreaks="0"/>
  </sheetPr>
  <dimension ref="A1:BU186"/>
  <sheetViews>
    <sheetView showGridLines="0" zoomScaleNormal="100" workbookViewId="0">
      <pane ySplit="6" topLeftCell="A7" activePane="bottomLeft" state="frozenSplit"/>
      <selection activeCell="G23" sqref="G23"/>
      <selection pane="bottomLeft" activeCell="A7" sqref="A7"/>
    </sheetView>
  </sheetViews>
  <sheetFormatPr baseColWidth="10" defaultColWidth="0" defaultRowHeight="12.75" outlineLevelRow="1"/>
  <cols>
    <col min="1" max="1" width="3.28515625" style="649" customWidth="1"/>
    <col min="2" max="2" width="4.140625" style="649" customWidth="1"/>
    <col min="3" max="3" width="52.140625" style="649" customWidth="1"/>
    <col min="4" max="5" width="12.5703125" style="649" customWidth="1"/>
    <col min="6" max="6" width="17.140625" style="649" customWidth="1"/>
    <col min="7" max="7" width="8.140625" style="649" customWidth="1"/>
    <col min="8" max="8" width="6.28515625" style="649" customWidth="1"/>
    <col min="9" max="33" width="11.42578125" style="649" customWidth="1"/>
    <col min="34" max="73" width="0" style="649" hidden="1" customWidth="1"/>
    <col min="74" max="16384" width="11.42578125" style="649" hidden="1"/>
  </cols>
  <sheetData>
    <row r="1" spans="1:33" ht="20.25">
      <c r="A1" s="41" t="s">
        <v>352</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row>
    <row r="3" spans="1:33" ht="20.25">
      <c r="A3" s="128"/>
      <c r="B3" s="128"/>
      <c r="C3" s="273" t="str">
        <f>Timing!C3</f>
        <v>Model Integrity:</v>
      </c>
      <c r="D3" s="685">
        <f ca="1">Timing!D3</f>
        <v>0</v>
      </c>
      <c r="E3" s="443" t="s">
        <v>149</v>
      </c>
      <c r="F3" s="128"/>
      <c r="G3" s="285"/>
      <c r="H3" s="285"/>
      <c r="I3" s="285"/>
      <c r="J3" s="285"/>
      <c r="K3" s="285"/>
      <c r="L3" s="286"/>
      <c r="M3" s="287"/>
      <c r="N3" s="287"/>
      <c r="O3" s="287"/>
      <c r="P3" s="287"/>
      <c r="Q3" s="287"/>
      <c r="R3" s="287"/>
      <c r="S3" s="287"/>
      <c r="T3" s="287"/>
      <c r="U3" s="287"/>
      <c r="V3" s="287"/>
      <c r="W3" s="287"/>
      <c r="X3" s="287"/>
      <c r="Y3" s="287"/>
      <c r="Z3" s="287"/>
      <c r="AA3" s="287"/>
      <c r="AB3" s="287"/>
      <c r="AC3" s="287"/>
      <c r="AD3" s="287"/>
      <c r="AE3" s="287"/>
      <c r="AF3" s="287"/>
      <c r="AG3" s="287"/>
    </row>
    <row r="4" spans="1:33" ht="15.75" customHeight="1">
      <c r="A4" s="280"/>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ht="15.75" customHeight="1">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ht="15.75" customHeight="1">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ht="15.75" customHeight="1">
      <c r="A7" s="894"/>
      <c r="B7" s="287"/>
      <c r="C7" s="287" t="str">
        <f>Timing!C17</f>
        <v>Month of model</v>
      </c>
      <c r="D7" s="275" t="str">
        <f>Timing!D17</f>
        <v>#</v>
      </c>
      <c r="E7" s="287"/>
      <c r="F7" s="287"/>
      <c r="G7" s="287"/>
      <c r="H7" s="287"/>
      <c r="I7" s="287"/>
      <c r="J7" s="287">
        <f>Timing!J17</f>
        <v>1</v>
      </c>
      <c r="K7" s="287">
        <f>Timing!K17</f>
        <v>2</v>
      </c>
      <c r="L7" s="287">
        <f>Timing!L17</f>
        <v>3</v>
      </c>
      <c r="M7" s="287">
        <f>Timing!M17</f>
        <v>4</v>
      </c>
      <c r="N7" s="287">
        <f>Timing!N17</f>
        <v>5</v>
      </c>
      <c r="O7" s="287">
        <f>Timing!O17</f>
        <v>6</v>
      </c>
      <c r="P7" s="287">
        <f>Timing!P17</f>
        <v>7</v>
      </c>
      <c r="Q7" s="287">
        <f>Timing!Q17</f>
        <v>8</v>
      </c>
      <c r="R7" s="287">
        <f>Timing!R17</f>
        <v>9</v>
      </c>
      <c r="S7" s="287">
        <f>Timing!S17</f>
        <v>10</v>
      </c>
      <c r="T7" s="287">
        <f>Timing!T17</f>
        <v>11</v>
      </c>
      <c r="U7" s="287">
        <f>Timing!U17</f>
        <v>12</v>
      </c>
      <c r="V7" s="287">
        <f>Timing!V17</f>
        <v>13</v>
      </c>
      <c r="W7" s="287">
        <f>Timing!W17</f>
        <v>14</v>
      </c>
      <c r="X7" s="287">
        <f>Timing!X17</f>
        <v>15</v>
      </c>
      <c r="Y7" s="287">
        <f>Timing!Y17</f>
        <v>16</v>
      </c>
      <c r="Z7" s="287">
        <f>Timing!Z17</f>
        <v>17</v>
      </c>
      <c r="AA7" s="287">
        <f>Timing!AA17</f>
        <v>18</v>
      </c>
      <c r="AB7" s="287">
        <f>Timing!AB17</f>
        <v>19</v>
      </c>
      <c r="AC7" s="287">
        <f>Timing!AC17</f>
        <v>20</v>
      </c>
      <c r="AD7" s="287">
        <f>Timing!AD17</f>
        <v>21</v>
      </c>
      <c r="AE7" s="287">
        <f>Timing!AE17</f>
        <v>22</v>
      </c>
      <c r="AF7" s="287">
        <f>Timing!AF17</f>
        <v>23</v>
      </c>
      <c r="AG7" s="287">
        <f>Timing!AG17</f>
        <v>24</v>
      </c>
    </row>
    <row r="8" spans="1:33" ht="17.25" customHeight="1">
      <c r="A8" s="894"/>
      <c r="B8" s="287"/>
      <c r="C8" s="287"/>
      <c r="D8" s="287"/>
      <c r="E8" s="287"/>
      <c r="F8" s="287"/>
      <c r="G8" s="287"/>
      <c r="H8" s="287"/>
      <c r="I8" s="287"/>
      <c r="J8" s="287"/>
      <c r="K8" s="287"/>
      <c r="L8" s="287"/>
      <c r="M8" s="287"/>
      <c r="N8" s="287"/>
      <c r="O8" s="287"/>
      <c r="P8" s="287"/>
      <c r="Q8" s="287"/>
      <c r="R8" s="287"/>
      <c r="S8" s="287"/>
      <c r="T8" s="287"/>
      <c r="U8" s="287"/>
      <c r="V8" s="287"/>
      <c r="W8" s="287"/>
      <c r="X8" s="287"/>
      <c r="Y8" s="287"/>
      <c r="Z8" s="287"/>
      <c r="AA8" s="287"/>
      <c r="AB8" s="287"/>
      <c r="AC8" s="287"/>
      <c r="AD8" s="287"/>
      <c r="AE8" s="287"/>
      <c r="AF8" s="287"/>
      <c r="AG8" s="287"/>
    </row>
    <row r="9" spans="1:33" ht="27.75" customHeight="1" thickBot="1">
      <c r="A9" s="441"/>
      <c r="B9" s="441"/>
      <c r="C9" s="441" t="str">
        <f>CHOOSE(language,"Overheads - Indirect Costs","Overhead/Indirect Expenses")</f>
        <v>Overhead/Indirect Expenses</v>
      </c>
      <c r="D9" s="441"/>
      <c r="E9" s="441"/>
      <c r="F9" s="441"/>
      <c r="G9" s="441"/>
      <c r="H9" s="441"/>
      <c r="I9" s="441"/>
      <c r="J9" s="441"/>
      <c r="K9" s="441"/>
      <c r="L9" s="441"/>
      <c r="M9" s="441"/>
      <c r="N9" s="441"/>
      <c r="O9" s="441"/>
      <c r="P9" s="441"/>
      <c r="Q9" s="441"/>
      <c r="R9" s="441"/>
      <c r="S9" s="441"/>
      <c r="T9" s="441"/>
      <c r="U9" s="441"/>
      <c r="V9" s="441"/>
      <c r="W9" s="441"/>
      <c r="X9" s="441"/>
      <c r="Y9" s="441"/>
      <c r="Z9" s="441"/>
      <c r="AA9" s="441"/>
      <c r="AB9" s="441"/>
      <c r="AC9" s="441"/>
      <c r="AD9" s="441"/>
      <c r="AE9" s="441"/>
      <c r="AF9" s="441"/>
      <c r="AG9" s="441"/>
    </row>
    <row r="10" spans="1:33" ht="17.25" customHeight="1" outlineLevel="1">
      <c r="A10" s="894"/>
      <c r="B10" s="287"/>
      <c r="C10" s="275" t="s">
        <v>266</v>
      </c>
      <c r="D10" s="287"/>
      <c r="E10" s="287"/>
      <c r="F10" s="287"/>
      <c r="G10" s="287"/>
      <c r="H10" s="287"/>
      <c r="I10" s="287"/>
      <c r="J10" s="325"/>
      <c r="K10" s="287"/>
      <c r="L10" s="287"/>
      <c r="M10" s="287"/>
      <c r="N10" s="287"/>
      <c r="O10" s="287"/>
      <c r="P10" s="287"/>
      <c r="Q10" s="287"/>
      <c r="R10" s="287"/>
      <c r="S10" s="287"/>
      <c r="T10" s="287"/>
      <c r="U10" s="287"/>
      <c r="V10" s="287"/>
      <c r="W10" s="287"/>
      <c r="X10" s="287"/>
      <c r="Y10" s="287"/>
      <c r="Z10" s="287"/>
      <c r="AA10" s="287"/>
      <c r="AB10" s="287"/>
      <c r="AC10" s="287"/>
      <c r="AD10" s="287"/>
      <c r="AE10" s="287"/>
      <c r="AF10" s="287"/>
      <c r="AG10" s="287"/>
    </row>
    <row r="11" spans="1:33" ht="22.5" customHeight="1" outlineLevel="1">
      <c r="A11" s="894"/>
      <c r="B11" s="279">
        <v>1</v>
      </c>
      <c r="C11" s="279" t="str">
        <f>CHOOSE(language,"Management &amp; Administration Costs","Management &amp;Administration Expenses")</f>
        <v>Management &amp;Administration Expenses</v>
      </c>
      <c r="D11" s="287"/>
      <c r="E11" s="287"/>
      <c r="F11" s="688" t="s">
        <v>244</v>
      </c>
      <c r="G11" s="287"/>
      <c r="H11" s="287"/>
      <c r="I11" s="287"/>
      <c r="J11" s="325" t="s">
        <v>207</v>
      </c>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row>
    <row r="12" spans="1:33" ht="17.25" customHeight="1" outlineLevel="1">
      <c r="A12" s="894"/>
      <c r="B12" s="287"/>
      <c r="C12" s="40" t="str">
        <f>"Payroll "&amp;Inputs!$C$54</f>
        <v>Payroll Management &amp; Administration Staff</v>
      </c>
      <c r="D12" s="8" t="str">
        <f>Currency_Label</f>
        <v>USD</v>
      </c>
      <c r="E12" s="287"/>
      <c r="F12" s="275" t="s">
        <v>319</v>
      </c>
      <c r="G12" s="287"/>
      <c r="H12" s="287"/>
      <c r="I12" s="71">
        <f t="shared" ref="I12:I19" si="0">SUMPRODUCT((J$6:AG$6),(J12:AG12))</f>
        <v>198347.08333333334</v>
      </c>
      <c r="J12" s="233">
        <f>'Human Resources'!J57+'Human Resources'!J91+'Human Resources'!J126</f>
        <v>11183.333333333334</v>
      </c>
      <c r="K12" s="233">
        <f>'Human Resources'!K57+'Human Resources'!K91+'Human Resources'!K126</f>
        <v>6183.3333333333339</v>
      </c>
      <c r="L12" s="233">
        <f>'Human Resources'!L57+'Human Resources'!L91+'Human Resources'!L126</f>
        <v>6183.3333333333339</v>
      </c>
      <c r="M12" s="233">
        <f>'Human Resources'!M57+'Human Resources'!M91+'Human Resources'!M126</f>
        <v>6183.3333333333339</v>
      </c>
      <c r="N12" s="233">
        <f>'Human Resources'!N57+'Human Resources'!N91+'Human Resources'!N126</f>
        <v>6183.3333333333339</v>
      </c>
      <c r="O12" s="233">
        <f>'Human Resources'!O57+'Human Resources'!O91+'Human Resources'!O126</f>
        <v>6183.3333333333339</v>
      </c>
      <c r="P12" s="233">
        <f>'Human Resources'!P57+'Human Resources'!P91+'Human Resources'!P126</f>
        <v>6183.3333333333339</v>
      </c>
      <c r="Q12" s="233">
        <f>'Human Resources'!Q57+'Human Resources'!Q91+'Human Resources'!Q126</f>
        <v>6183.3333333333339</v>
      </c>
      <c r="R12" s="233">
        <f>'Human Resources'!R57+'Human Resources'!R91+'Human Resources'!R126</f>
        <v>6183.3333333333339</v>
      </c>
      <c r="S12" s="233">
        <f>'Human Resources'!S57+'Human Resources'!S91+'Human Resources'!S126</f>
        <v>6183.3333333333339</v>
      </c>
      <c r="T12" s="233">
        <f>'Human Resources'!T57+'Human Resources'!T91+'Human Resources'!T126</f>
        <v>16501.25</v>
      </c>
      <c r="U12" s="233">
        <f>'Human Resources'!U57+'Human Resources'!U91+'Human Resources'!U126</f>
        <v>11501.25</v>
      </c>
      <c r="V12" s="233">
        <f>'Human Resources'!V57+'Human Resources'!V91+'Human Resources'!V126</f>
        <v>11501.25</v>
      </c>
      <c r="W12" s="233">
        <f>'Human Resources'!W57+'Human Resources'!W91+'Human Resources'!W126</f>
        <v>11501.25</v>
      </c>
      <c r="X12" s="233">
        <f>'Human Resources'!X57+'Human Resources'!X91+'Human Resources'!X126</f>
        <v>11501.25</v>
      </c>
      <c r="Y12" s="233">
        <f>'Human Resources'!Y57+'Human Resources'!Y91+'Human Resources'!Y126</f>
        <v>11501.25</v>
      </c>
      <c r="Z12" s="233">
        <f>'Human Resources'!Z57+'Human Resources'!Z91+'Human Resources'!Z126</f>
        <v>11501.25</v>
      </c>
      <c r="AA12" s="233">
        <f>'Human Resources'!AA57+'Human Resources'!AA91+'Human Resources'!AA126</f>
        <v>11501.25</v>
      </c>
      <c r="AB12" s="233">
        <f>'Human Resources'!AB57+'Human Resources'!AB91+'Human Resources'!AB126</f>
        <v>11501.25</v>
      </c>
      <c r="AC12" s="233">
        <f>'Human Resources'!AC57+'Human Resources'!AC91+'Human Resources'!AC126</f>
        <v>11501.25</v>
      </c>
      <c r="AD12" s="233">
        <f>'Human Resources'!AD57+'Human Resources'!AD91+'Human Resources'!AD126</f>
        <v>11501.25</v>
      </c>
      <c r="AE12" s="233">
        <f>'Human Resources'!AE57+'Human Resources'!AE91+'Human Resources'!AE126</f>
        <v>0</v>
      </c>
      <c r="AF12" s="233">
        <f>'Human Resources'!AF57+'Human Resources'!AF91+'Human Resources'!AF126</f>
        <v>0</v>
      </c>
      <c r="AG12" s="233">
        <f>'Human Resources'!AG57+'Human Resources'!AG91+'Human Resources'!AG126</f>
        <v>0</v>
      </c>
    </row>
    <row r="13" spans="1:33" ht="17.25" customHeight="1" outlineLevel="1">
      <c r="A13" s="894"/>
      <c r="B13" s="894"/>
      <c r="C13" s="641" t="s">
        <v>332</v>
      </c>
      <c r="D13" s="8" t="str">
        <f t="shared" ref="D13:D19" si="1">Currency_Label</f>
        <v>USD</v>
      </c>
      <c r="E13" s="287"/>
      <c r="F13" s="1036">
        <v>1</v>
      </c>
      <c r="G13" s="287"/>
      <c r="H13" s="287"/>
      <c r="I13" s="71">
        <f t="shared" si="0"/>
        <v>4647.8388069489301</v>
      </c>
      <c r="J13" s="269">
        <v>200</v>
      </c>
      <c r="K13" s="269">
        <f>J13*1.01</f>
        <v>202</v>
      </c>
      <c r="L13" s="269">
        <f t="shared" ref="L13:AG13" si="2">K13*1.01</f>
        <v>204.02</v>
      </c>
      <c r="M13" s="269">
        <f t="shared" si="2"/>
        <v>206.06020000000001</v>
      </c>
      <c r="N13" s="269">
        <f t="shared" si="2"/>
        <v>208.120802</v>
      </c>
      <c r="O13" s="269">
        <f t="shared" si="2"/>
        <v>210.20201001999999</v>
      </c>
      <c r="P13" s="269">
        <f t="shared" si="2"/>
        <v>212.3040301202</v>
      </c>
      <c r="Q13" s="269">
        <f t="shared" si="2"/>
        <v>214.42707042140199</v>
      </c>
      <c r="R13" s="269">
        <f t="shared" si="2"/>
        <v>216.57134112561602</v>
      </c>
      <c r="S13" s="269">
        <f t="shared" si="2"/>
        <v>218.73705453687217</v>
      </c>
      <c r="T13" s="269">
        <f t="shared" si="2"/>
        <v>220.9244250822409</v>
      </c>
      <c r="U13" s="269">
        <f t="shared" si="2"/>
        <v>223.13366933306332</v>
      </c>
      <c r="V13" s="269">
        <f t="shared" si="2"/>
        <v>225.36500602639396</v>
      </c>
      <c r="W13" s="269">
        <f t="shared" si="2"/>
        <v>227.61865608665789</v>
      </c>
      <c r="X13" s="269">
        <f t="shared" si="2"/>
        <v>229.89484264752448</v>
      </c>
      <c r="Y13" s="269">
        <f t="shared" si="2"/>
        <v>232.19379107399973</v>
      </c>
      <c r="Z13" s="269">
        <f t="shared" si="2"/>
        <v>234.51572898473972</v>
      </c>
      <c r="AA13" s="269">
        <f t="shared" si="2"/>
        <v>236.86088627458713</v>
      </c>
      <c r="AB13" s="269">
        <f t="shared" si="2"/>
        <v>239.229495137333</v>
      </c>
      <c r="AC13" s="269">
        <f t="shared" si="2"/>
        <v>241.62179008870635</v>
      </c>
      <c r="AD13" s="269">
        <f t="shared" si="2"/>
        <v>244.03800798959341</v>
      </c>
      <c r="AE13" s="269">
        <f t="shared" si="2"/>
        <v>246.47838806948934</v>
      </c>
      <c r="AF13" s="269">
        <f t="shared" si="2"/>
        <v>248.94317195018425</v>
      </c>
      <c r="AG13" s="269">
        <f t="shared" si="2"/>
        <v>251.4326036696861</v>
      </c>
    </row>
    <row r="14" spans="1:33" ht="17.25" customHeight="1" outlineLevel="1">
      <c r="A14" s="894"/>
      <c r="B14" s="894"/>
      <c r="C14" s="641" t="str">
        <f>CHOOSE(language,"Post, stationery and printing","Office Supplies")</f>
        <v>Office Supplies</v>
      </c>
      <c r="D14" s="8" t="str">
        <f t="shared" si="1"/>
        <v>USD</v>
      </c>
      <c r="E14" s="287"/>
      <c r="F14" s="1036">
        <v>1</v>
      </c>
      <c r="G14" s="287"/>
      <c r="H14" s="287"/>
      <c r="I14" s="71">
        <f t="shared" si="0"/>
        <v>1050</v>
      </c>
      <c r="J14" s="269">
        <v>50</v>
      </c>
      <c r="K14" s="269">
        <v>50</v>
      </c>
      <c r="L14" s="269">
        <v>50</v>
      </c>
      <c r="M14" s="269">
        <v>50</v>
      </c>
      <c r="N14" s="269">
        <v>50</v>
      </c>
      <c r="O14" s="269">
        <v>50</v>
      </c>
      <c r="P14" s="269">
        <v>50</v>
      </c>
      <c r="Q14" s="269">
        <v>50</v>
      </c>
      <c r="R14" s="269">
        <v>50</v>
      </c>
      <c r="S14" s="269">
        <v>50</v>
      </c>
      <c r="T14" s="269">
        <v>50</v>
      </c>
      <c r="U14" s="269">
        <v>50</v>
      </c>
      <c r="V14" s="269">
        <v>50</v>
      </c>
      <c r="W14" s="269">
        <v>50</v>
      </c>
      <c r="X14" s="269">
        <v>50</v>
      </c>
      <c r="Y14" s="269">
        <v>50</v>
      </c>
      <c r="Z14" s="269">
        <v>50</v>
      </c>
      <c r="AA14" s="269">
        <v>50</v>
      </c>
      <c r="AB14" s="269">
        <v>50</v>
      </c>
      <c r="AC14" s="269">
        <v>50</v>
      </c>
      <c r="AD14" s="269">
        <v>50</v>
      </c>
      <c r="AE14" s="269">
        <v>50</v>
      </c>
      <c r="AF14" s="269">
        <v>50</v>
      </c>
      <c r="AG14" s="269">
        <v>50</v>
      </c>
    </row>
    <row r="15" spans="1:33" ht="17.25" customHeight="1" outlineLevel="1">
      <c r="A15" s="894"/>
      <c r="B15" s="894"/>
      <c r="C15" s="641" t="s">
        <v>331</v>
      </c>
      <c r="D15" s="8" t="str">
        <f t="shared" si="1"/>
        <v>USD</v>
      </c>
      <c r="E15" s="287"/>
      <c r="F15" s="1036">
        <v>0</v>
      </c>
      <c r="G15" s="287"/>
      <c r="H15" s="287"/>
      <c r="I15" s="71">
        <f t="shared" si="0"/>
        <v>14050</v>
      </c>
      <c r="J15" s="269">
        <v>650</v>
      </c>
      <c r="K15" s="269">
        <v>650</v>
      </c>
      <c r="L15" s="269">
        <v>650</v>
      </c>
      <c r="M15" s="269">
        <v>650</v>
      </c>
      <c r="N15" s="269">
        <v>650</v>
      </c>
      <c r="O15" s="269">
        <v>650</v>
      </c>
      <c r="P15" s="269">
        <v>650</v>
      </c>
      <c r="Q15" s="269">
        <v>650</v>
      </c>
      <c r="R15" s="269">
        <v>650</v>
      </c>
      <c r="S15" s="269">
        <v>650</v>
      </c>
      <c r="T15" s="269">
        <v>650</v>
      </c>
      <c r="U15" s="269">
        <v>650</v>
      </c>
      <c r="V15" s="269">
        <v>650</v>
      </c>
      <c r="W15" s="269">
        <v>700</v>
      </c>
      <c r="X15" s="269">
        <v>700</v>
      </c>
      <c r="Y15" s="269">
        <v>700</v>
      </c>
      <c r="Z15" s="269">
        <v>700</v>
      </c>
      <c r="AA15" s="269">
        <v>700</v>
      </c>
      <c r="AB15" s="269">
        <v>700</v>
      </c>
      <c r="AC15" s="269">
        <v>700</v>
      </c>
      <c r="AD15" s="269">
        <v>700</v>
      </c>
      <c r="AE15" s="269">
        <v>700</v>
      </c>
      <c r="AF15" s="269">
        <v>700</v>
      </c>
      <c r="AG15" s="269">
        <v>700</v>
      </c>
    </row>
    <row r="16" spans="1:33" ht="17.25" customHeight="1" outlineLevel="1">
      <c r="A16" s="894"/>
      <c r="B16" s="894"/>
      <c r="C16" s="937" t="str">
        <f>CHOOSE(language,"Vehicle's costs","Vehicle Expenses")</f>
        <v>Vehicle Expenses</v>
      </c>
      <c r="D16" s="8" t="str">
        <f t="shared" si="1"/>
        <v>USD</v>
      </c>
      <c r="E16" s="287"/>
      <c r="F16" s="1036"/>
      <c r="G16" s="287"/>
      <c r="H16" s="287"/>
      <c r="I16" s="71">
        <f t="shared" si="0"/>
        <v>0</v>
      </c>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row>
    <row r="17" spans="1:33" ht="17.25" customHeight="1" outlineLevel="1">
      <c r="A17" s="894"/>
      <c r="B17" s="894"/>
      <c r="C17" s="641" t="s">
        <v>324</v>
      </c>
      <c r="D17" s="8" t="str">
        <f t="shared" si="1"/>
        <v>USD</v>
      </c>
      <c r="E17" s="287"/>
      <c r="F17" s="1036"/>
      <c r="G17" s="287"/>
      <c r="H17" s="287"/>
      <c r="I17" s="71">
        <f t="shared" si="0"/>
        <v>0</v>
      </c>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row>
    <row r="18" spans="1:33" ht="17.25" customHeight="1" outlineLevel="1">
      <c r="A18" s="894"/>
      <c r="B18" s="894"/>
      <c r="C18" s="641" t="s">
        <v>326</v>
      </c>
      <c r="D18" s="8" t="str">
        <f t="shared" si="1"/>
        <v>USD</v>
      </c>
      <c r="E18" s="287"/>
      <c r="F18" s="1036"/>
      <c r="G18" s="287"/>
      <c r="H18" s="287"/>
      <c r="I18" s="71">
        <f t="shared" si="0"/>
        <v>0</v>
      </c>
      <c r="J18" s="269"/>
      <c r="K18" s="269"/>
      <c r="L18" s="269"/>
      <c r="M18" s="269"/>
      <c r="N18" s="269"/>
      <c r="O18" s="269"/>
      <c r="P18" s="269"/>
      <c r="Q18" s="269"/>
      <c r="R18" s="269"/>
      <c r="S18" s="269"/>
      <c r="T18" s="269"/>
      <c r="U18" s="269"/>
      <c r="V18" s="269"/>
      <c r="W18" s="269"/>
      <c r="X18" s="269"/>
      <c r="Y18" s="269"/>
      <c r="Z18" s="269"/>
      <c r="AA18" s="269"/>
      <c r="AB18" s="269"/>
      <c r="AC18" s="269"/>
      <c r="AD18" s="269"/>
      <c r="AE18" s="269"/>
      <c r="AF18" s="269"/>
      <c r="AG18" s="269"/>
    </row>
    <row r="19" spans="1:33" ht="17.25" customHeight="1" outlineLevel="1">
      <c r="A19" s="894"/>
      <c r="B19" s="894"/>
      <c r="C19" s="641" t="s">
        <v>325</v>
      </c>
      <c r="D19" s="8" t="str">
        <f t="shared" si="1"/>
        <v>USD</v>
      </c>
      <c r="E19" s="287"/>
      <c r="F19" s="1036"/>
      <c r="G19" s="287"/>
      <c r="H19" s="287"/>
      <c r="I19" s="71">
        <f t="shared" si="0"/>
        <v>0</v>
      </c>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row>
    <row r="20" spans="1:33" ht="17.25" customHeight="1" outlineLevel="1">
      <c r="A20" s="894"/>
      <c r="B20" s="894"/>
      <c r="C20" s="75" t="str">
        <f>"   Subtotal "&amp;C11</f>
        <v xml:space="preserve">   Subtotal Management &amp;Administration Expenses</v>
      </c>
      <c r="D20" s="8" t="str">
        <f>Currency_Label</f>
        <v>USD</v>
      </c>
      <c r="E20" s="36"/>
      <c r="F20" s="36"/>
      <c r="G20" s="36"/>
      <c r="H20" s="36"/>
      <c r="I20" s="71">
        <f>SUM(J20:AG20)</f>
        <v>218094.92214028223</v>
      </c>
      <c r="J20" s="715">
        <f>SUM(J12:J19)*J$6</f>
        <v>12083.333333333334</v>
      </c>
      <c r="K20" s="715">
        <f t="shared" ref="K20:AG20" si="3">SUM(K12:K19)*K$6</f>
        <v>7085.3333333333339</v>
      </c>
      <c r="L20" s="715">
        <f t="shared" si="3"/>
        <v>7087.3533333333344</v>
      </c>
      <c r="M20" s="715">
        <f t="shared" si="3"/>
        <v>7089.3935333333338</v>
      </c>
      <c r="N20" s="715">
        <f t="shared" si="3"/>
        <v>7091.4541353333343</v>
      </c>
      <c r="O20" s="715">
        <f t="shared" si="3"/>
        <v>7093.5353433533337</v>
      </c>
      <c r="P20" s="715">
        <f t="shared" si="3"/>
        <v>7095.6373634535339</v>
      </c>
      <c r="Q20" s="715">
        <f t="shared" si="3"/>
        <v>7097.7604037547362</v>
      </c>
      <c r="R20" s="715">
        <f t="shared" si="3"/>
        <v>7099.9046744589496</v>
      </c>
      <c r="S20" s="715">
        <f t="shared" si="3"/>
        <v>7102.0703878702061</v>
      </c>
      <c r="T20" s="715">
        <f t="shared" si="3"/>
        <v>17422.174425082241</v>
      </c>
      <c r="U20" s="715">
        <f t="shared" si="3"/>
        <v>12424.383669333063</v>
      </c>
      <c r="V20" s="715">
        <f t="shared" si="3"/>
        <v>12426.615006026394</v>
      </c>
      <c r="W20" s="715">
        <f t="shared" si="3"/>
        <v>12478.868656086657</v>
      </c>
      <c r="X20" s="715">
        <f t="shared" si="3"/>
        <v>12481.144842647525</v>
      </c>
      <c r="Y20" s="715">
        <f t="shared" si="3"/>
        <v>12483.443791074</v>
      </c>
      <c r="Z20" s="715">
        <f t="shared" si="3"/>
        <v>12485.765728984739</v>
      </c>
      <c r="AA20" s="715">
        <f t="shared" si="3"/>
        <v>12488.110886274588</v>
      </c>
      <c r="AB20" s="715">
        <f t="shared" si="3"/>
        <v>12490.479495137333</v>
      </c>
      <c r="AC20" s="715">
        <f t="shared" si="3"/>
        <v>12492.871790088706</v>
      </c>
      <c r="AD20" s="715">
        <f t="shared" si="3"/>
        <v>12495.288007989593</v>
      </c>
      <c r="AE20" s="715">
        <f t="shared" si="3"/>
        <v>0</v>
      </c>
      <c r="AF20" s="715">
        <f t="shared" si="3"/>
        <v>0</v>
      </c>
      <c r="AG20" s="715">
        <f t="shared" si="3"/>
        <v>0</v>
      </c>
    </row>
    <row r="21" spans="1:33" ht="17.25" customHeight="1" outlineLevel="1">
      <c r="A21" s="894"/>
      <c r="B21" s="894"/>
      <c r="C21" s="287"/>
      <c r="D21" s="287"/>
      <c r="E21" s="287"/>
      <c r="F21" s="287"/>
      <c r="G21" s="287"/>
      <c r="H21" s="287"/>
      <c r="I21" s="287"/>
      <c r="J21" s="287"/>
      <c r="K21" s="287"/>
      <c r="L21" s="287"/>
      <c r="M21" s="287"/>
      <c r="N21" s="287"/>
      <c r="O21" s="287"/>
      <c r="P21" s="287"/>
      <c r="Q21" s="287"/>
      <c r="R21" s="287"/>
      <c r="S21" s="287"/>
      <c r="T21" s="287"/>
      <c r="U21" s="287"/>
      <c r="V21" s="287"/>
      <c r="W21" s="287"/>
      <c r="X21" s="287"/>
      <c r="Y21" s="287"/>
      <c r="Z21" s="287"/>
      <c r="AA21" s="287"/>
      <c r="AB21" s="287"/>
      <c r="AC21" s="287"/>
      <c r="AD21" s="287"/>
      <c r="AE21" s="287"/>
      <c r="AF21" s="287"/>
      <c r="AG21" s="287"/>
    </row>
    <row r="22" spans="1:33" ht="22.5" customHeight="1" outlineLevel="1">
      <c r="A22" s="894"/>
      <c r="B22" s="279">
        <v>2</v>
      </c>
      <c r="C22" s="279" t="str">
        <f>CHOOSE(language,"Operational Costs","Operational Expenses")</f>
        <v>Operational Expenses</v>
      </c>
      <c r="D22" s="287"/>
      <c r="E22" s="287"/>
      <c r="F22" s="688" t="s">
        <v>244</v>
      </c>
      <c r="G22" s="287"/>
      <c r="H22" s="287"/>
      <c r="I22" s="287"/>
      <c r="J22" s="287"/>
      <c r="K22" s="287"/>
      <c r="L22" s="287"/>
      <c r="M22" s="287"/>
      <c r="N22" s="287"/>
      <c r="O22" s="287"/>
      <c r="P22" s="287"/>
      <c r="Q22" s="287"/>
      <c r="R22" s="287"/>
      <c r="S22" s="287"/>
      <c r="T22" s="287"/>
      <c r="U22" s="287"/>
      <c r="V22" s="287"/>
      <c r="W22" s="287"/>
      <c r="X22" s="287"/>
      <c r="Y22" s="287"/>
      <c r="Z22" s="287"/>
      <c r="AA22" s="287"/>
      <c r="AB22" s="287"/>
      <c r="AC22" s="287"/>
      <c r="AD22" s="287"/>
      <c r="AE22" s="287"/>
      <c r="AF22" s="287"/>
      <c r="AG22" s="287"/>
    </row>
    <row r="23" spans="1:33" ht="17.25" customHeight="1" outlineLevel="1">
      <c r="A23" s="894"/>
      <c r="B23" s="894"/>
      <c r="C23" s="40" t="str">
        <f>"Payroll "&amp;Inputs!$C$60</f>
        <v>Payroll Operational Staff</v>
      </c>
      <c r="D23" s="8" t="str">
        <f>Currency_Label</f>
        <v>USD</v>
      </c>
      <c r="E23" s="287"/>
      <c r="F23" s="275" t="s">
        <v>319</v>
      </c>
      <c r="G23" s="287"/>
      <c r="H23" s="287"/>
      <c r="I23" s="71">
        <f t="shared" ref="I23:I28" si="4">SUMPRODUCT((J$6:AG$6),(J23:AG23))</f>
        <v>215506.66666666669</v>
      </c>
      <c r="J23" s="233">
        <f>'Human Resources'!J64+'Human Resources'!J98+'Human Resources'!J135</f>
        <v>3933.333333333333</v>
      </c>
      <c r="K23" s="233">
        <f>'Human Resources'!K64+'Human Resources'!K98+'Human Resources'!K135</f>
        <v>3933.333333333333</v>
      </c>
      <c r="L23" s="233">
        <f>'Human Resources'!L64+'Human Resources'!L98+'Human Resources'!L135</f>
        <v>3933.333333333333</v>
      </c>
      <c r="M23" s="233">
        <f>'Human Resources'!M64+'Human Resources'!M98+'Human Resources'!M135</f>
        <v>3933.333333333333</v>
      </c>
      <c r="N23" s="233">
        <f>'Human Resources'!N64+'Human Resources'!N98+'Human Resources'!N135</f>
        <v>3933.333333333333</v>
      </c>
      <c r="O23" s="233">
        <f>'Human Resources'!O64+'Human Resources'!O98+'Human Resources'!O135</f>
        <v>3933.333333333333</v>
      </c>
      <c r="P23" s="233">
        <f>'Human Resources'!P64+'Human Resources'!P98+'Human Resources'!P135</f>
        <v>3933.333333333333</v>
      </c>
      <c r="Q23" s="233">
        <f>'Human Resources'!Q64+'Human Resources'!Q98+'Human Resources'!Q135</f>
        <v>12333.333333333332</v>
      </c>
      <c r="R23" s="233">
        <f>'Human Resources'!R64+'Human Resources'!R98+'Human Resources'!R135</f>
        <v>12333.333333333332</v>
      </c>
      <c r="S23" s="233">
        <f>'Human Resources'!S64+'Human Resources'!S98+'Human Resources'!S135</f>
        <v>12333.333333333332</v>
      </c>
      <c r="T23" s="233">
        <f>'Human Resources'!T64+'Human Resources'!T98+'Human Resources'!T135</f>
        <v>12626.666666666668</v>
      </c>
      <c r="U23" s="233">
        <f>'Human Resources'!U64+'Human Resources'!U98+'Human Resources'!U135</f>
        <v>12626.666666666668</v>
      </c>
      <c r="V23" s="233">
        <f>'Human Resources'!V64+'Human Resources'!V98+'Human Resources'!V135</f>
        <v>12626.666666666668</v>
      </c>
      <c r="W23" s="233">
        <f>'Human Resources'!W64+'Human Resources'!W98+'Human Resources'!W135</f>
        <v>12626.666666666668</v>
      </c>
      <c r="X23" s="233">
        <f>'Human Resources'!X64+'Human Resources'!X98+'Human Resources'!X135</f>
        <v>12626.666666666668</v>
      </c>
      <c r="Y23" s="233">
        <f>'Human Resources'!Y64+'Human Resources'!Y98+'Human Resources'!Y135</f>
        <v>12626.666666666668</v>
      </c>
      <c r="Z23" s="233">
        <f>'Human Resources'!Z64+'Human Resources'!Z98+'Human Resources'!Z135</f>
        <v>12626.666666666668</v>
      </c>
      <c r="AA23" s="233">
        <f>'Human Resources'!AA64+'Human Resources'!AA98+'Human Resources'!AA135</f>
        <v>12626.666666666668</v>
      </c>
      <c r="AB23" s="233">
        <f>'Human Resources'!AB64+'Human Resources'!AB98+'Human Resources'!AB135</f>
        <v>16653.333333333332</v>
      </c>
      <c r="AC23" s="233">
        <f>'Human Resources'!AC64+'Human Resources'!AC98+'Human Resources'!AC135</f>
        <v>16653.333333333332</v>
      </c>
      <c r="AD23" s="233">
        <f>'Human Resources'!AD64+'Human Resources'!AD98+'Human Resources'!AD135</f>
        <v>16653.333333333332</v>
      </c>
      <c r="AE23" s="233">
        <f>'Human Resources'!AE64+'Human Resources'!AE98+'Human Resources'!AE135</f>
        <v>0</v>
      </c>
      <c r="AF23" s="233">
        <f>'Human Resources'!AF64+'Human Resources'!AF98+'Human Resources'!AF135</f>
        <v>0</v>
      </c>
      <c r="AG23" s="233">
        <f>'Human Resources'!AG64+'Human Resources'!AG98+'Human Resources'!AG135</f>
        <v>0</v>
      </c>
    </row>
    <row r="24" spans="1:33" ht="17.25" customHeight="1" outlineLevel="1">
      <c r="A24" s="894"/>
      <c r="B24" s="894"/>
      <c r="C24" s="641" t="s">
        <v>321</v>
      </c>
      <c r="D24" s="8" t="str">
        <f t="shared" ref="D24:D30" si="5">Currency_Label</f>
        <v>USD</v>
      </c>
      <c r="E24" s="287"/>
      <c r="F24" s="1036">
        <v>1</v>
      </c>
      <c r="G24" s="287"/>
      <c r="H24" s="287"/>
      <c r="I24" s="71">
        <f t="shared" si="4"/>
        <v>22000</v>
      </c>
      <c r="J24" s="269">
        <v>500</v>
      </c>
      <c r="K24" s="269">
        <v>600</v>
      </c>
      <c r="L24" s="269">
        <v>650</v>
      </c>
      <c r="M24" s="269">
        <v>700</v>
      </c>
      <c r="N24" s="269">
        <v>750</v>
      </c>
      <c r="O24" s="269">
        <v>800</v>
      </c>
      <c r="P24" s="269">
        <v>850</v>
      </c>
      <c r="Q24" s="269">
        <v>900</v>
      </c>
      <c r="R24" s="269">
        <v>950</v>
      </c>
      <c r="S24" s="269">
        <v>1000</v>
      </c>
      <c r="T24" s="269">
        <v>1050</v>
      </c>
      <c r="U24" s="269">
        <v>1100</v>
      </c>
      <c r="V24" s="269">
        <v>1150</v>
      </c>
      <c r="W24" s="269">
        <v>1200</v>
      </c>
      <c r="X24" s="269">
        <v>1250</v>
      </c>
      <c r="Y24" s="269">
        <v>1300</v>
      </c>
      <c r="Z24" s="269">
        <v>1350</v>
      </c>
      <c r="AA24" s="269">
        <v>1400</v>
      </c>
      <c r="AB24" s="269">
        <v>1450</v>
      </c>
      <c r="AC24" s="269">
        <v>1500</v>
      </c>
      <c r="AD24" s="269">
        <v>1550</v>
      </c>
      <c r="AE24" s="269">
        <v>1600</v>
      </c>
      <c r="AF24" s="269">
        <v>1650</v>
      </c>
      <c r="AG24" s="269">
        <v>1700</v>
      </c>
    </row>
    <row r="25" spans="1:33" ht="17.25" customHeight="1" outlineLevel="1">
      <c r="A25" s="894"/>
      <c r="B25" s="894"/>
      <c r="C25" s="641" t="s">
        <v>322</v>
      </c>
      <c r="D25" s="8" t="str">
        <f t="shared" si="5"/>
        <v>USD</v>
      </c>
      <c r="E25" s="287"/>
      <c r="F25" s="1036">
        <v>1</v>
      </c>
      <c r="G25" s="287"/>
      <c r="H25" s="287"/>
      <c r="I25" s="71">
        <f t="shared" si="4"/>
        <v>8800</v>
      </c>
      <c r="J25" s="269">
        <f>0.4*J24</f>
        <v>200</v>
      </c>
      <c r="K25" s="269">
        <f t="shared" ref="K25:M25" si="6">0.4*K24</f>
        <v>240</v>
      </c>
      <c r="L25" s="269">
        <f t="shared" si="6"/>
        <v>260</v>
      </c>
      <c r="M25" s="269">
        <f t="shared" si="6"/>
        <v>280</v>
      </c>
      <c r="N25" s="269">
        <f t="shared" ref="N25" si="7">0.4*N24</f>
        <v>300</v>
      </c>
      <c r="O25" s="269">
        <f t="shared" ref="O25" si="8">0.4*O24</f>
        <v>320</v>
      </c>
      <c r="P25" s="269">
        <f t="shared" ref="P25" si="9">0.4*P24</f>
        <v>340</v>
      </c>
      <c r="Q25" s="269">
        <f t="shared" ref="Q25" si="10">0.4*Q24</f>
        <v>360</v>
      </c>
      <c r="R25" s="269">
        <f t="shared" ref="R25" si="11">0.4*R24</f>
        <v>380</v>
      </c>
      <c r="S25" s="269">
        <f t="shared" ref="S25" si="12">0.4*S24</f>
        <v>400</v>
      </c>
      <c r="T25" s="269">
        <f t="shared" ref="T25" si="13">0.4*T24</f>
        <v>420</v>
      </c>
      <c r="U25" s="269">
        <f t="shared" ref="U25" si="14">0.4*U24</f>
        <v>440</v>
      </c>
      <c r="V25" s="269">
        <f t="shared" ref="V25" si="15">0.4*V24</f>
        <v>460</v>
      </c>
      <c r="W25" s="269">
        <f t="shared" ref="W25" si="16">0.4*W24</f>
        <v>480</v>
      </c>
      <c r="X25" s="269">
        <f t="shared" ref="X25" si="17">0.4*X24</f>
        <v>500</v>
      </c>
      <c r="Y25" s="269">
        <f t="shared" ref="Y25" si="18">0.4*Y24</f>
        <v>520</v>
      </c>
      <c r="Z25" s="269">
        <f t="shared" ref="Z25" si="19">0.4*Z24</f>
        <v>540</v>
      </c>
      <c r="AA25" s="269">
        <f t="shared" ref="AA25" si="20">0.4*AA24</f>
        <v>560</v>
      </c>
      <c r="AB25" s="269">
        <f t="shared" ref="AB25" si="21">0.4*AB24</f>
        <v>580</v>
      </c>
      <c r="AC25" s="269">
        <f t="shared" ref="AC25" si="22">0.4*AC24</f>
        <v>600</v>
      </c>
      <c r="AD25" s="269">
        <f t="shared" ref="AD25" si="23">0.4*AD24</f>
        <v>620</v>
      </c>
      <c r="AE25" s="269">
        <f t="shared" ref="AE25" si="24">0.4*AE24</f>
        <v>640</v>
      </c>
      <c r="AF25" s="269">
        <f t="shared" ref="AF25" si="25">0.4*AF24</f>
        <v>660</v>
      </c>
      <c r="AG25" s="269">
        <f t="shared" ref="AG25" si="26">0.4*AG24</f>
        <v>680</v>
      </c>
    </row>
    <row r="26" spans="1:33" ht="17.25" customHeight="1" outlineLevel="1">
      <c r="A26" s="894"/>
      <c r="B26" s="894"/>
      <c r="C26" s="641" t="s">
        <v>323</v>
      </c>
      <c r="D26" s="8" t="str">
        <f t="shared" si="5"/>
        <v>USD</v>
      </c>
      <c r="E26" s="287"/>
      <c r="F26" s="1036"/>
      <c r="G26" s="287"/>
      <c r="H26" s="287"/>
      <c r="I26" s="71">
        <f t="shared" si="4"/>
        <v>0</v>
      </c>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69"/>
      <c r="AG26" s="269"/>
    </row>
    <row r="27" spans="1:33" ht="17.25" customHeight="1" outlineLevel="1">
      <c r="A27" s="894"/>
      <c r="B27" s="894"/>
      <c r="C27" s="641" t="s">
        <v>320</v>
      </c>
      <c r="D27" s="8" t="str">
        <f t="shared" si="5"/>
        <v>USD</v>
      </c>
      <c r="E27" s="287"/>
      <c r="F27" s="1036"/>
      <c r="G27" s="287"/>
      <c r="H27" s="287"/>
      <c r="I27" s="71">
        <f t="shared" si="4"/>
        <v>0</v>
      </c>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row>
    <row r="28" spans="1:33" ht="17.25" customHeight="1" outlineLevel="1">
      <c r="A28" s="894"/>
      <c r="B28" s="894"/>
      <c r="C28" s="641" t="s">
        <v>318</v>
      </c>
      <c r="D28" s="8" t="str">
        <f t="shared" si="5"/>
        <v>USD</v>
      </c>
      <c r="E28" s="287"/>
      <c r="F28" s="1036"/>
      <c r="G28" s="287"/>
      <c r="H28" s="287"/>
      <c r="I28" s="71">
        <f t="shared" si="4"/>
        <v>0</v>
      </c>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row>
    <row r="29" spans="1:33" ht="17.25" customHeight="1" outlineLevel="1">
      <c r="A29" s="894"/>
      <c r="B29" s="894"/>
      <c r="C29" s="641" t="s">
        <v>324</v>
      </c>
      <c r="D29" s="8" t="str">
        <f t="shared" si="5"/>
        <v>USD</v>
      </c>
      <c r="E29" s="287"/>
      <c r="F29" s="1036"/>
      <c r="G29" s="287"/>
      <c r="H29" s="287"/>
      <c r="I29" s="71"/>
      <c r="J29" s="269"/>
      <c r="K29" s="269"/>
      <c r="L29" s="269"/>
      <c r="M29" s="269"/>
      <c r="N29" s="269"/>
      <c r="O29" s="269"/>
      <c r="P29" s="269"/>
      <c r="Q29" s="269"/>
      <c r="R29" s="269"/>
      <c r="S29" s="269"/>
      <c r="T29" s="269"/>
      <c r="U29" s="269"/>
      <c r="V29" s="269"/>
      <c r="W29" s="269"/>
      <c r="X29" s="269"/>
      <c r="Y29" s="269"/>
      <c r="Z29" s="269"/>
      <c r="AA29" s="269"/>
      <c r="AB29" s="269"/>
      <c r="AC29" s="269"/>
      <c r="AD29" s="269"/>
      <c r="AE29" s="269"/>
      <c r="AF29" s="269"/>
      <c r="AG29" s="269"/>
    </row>
    <row r="30" spans="1:33" ht="17.25" customHeight="1" outlineLevel="1">
      <c r="A30" s="894"/>
      <c r="B30" s="894"/>
      <c r="C30" s="641" t="s">
        <v>326</v>
      </c>
      <c r="D30" s="8" t="str">
        <f t="shared" si="5"/>
        <v>USD</v>
      </c>
      <c r="E30" s="287"/>
      <c r="F30" s="1036"/>
      <c r="G30" s="287"/>
      <c r="H30" s="287"/>
      <c r="I30" s="71"/>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row>
    <row r="31" spans="1:33" ht="17.25" customHeight="1" outlineLevel="1">
      <c r="A31" s="894"/>
      <c r="B31" s="894"/>
      <c r="C31" s="75" t="str">
        <f>"   Subtotal "&amp;C22</f>
        <v xml:space="preserve">   Subtotal Operational Expenses</v>
      </c>
      <c r="D31" s="8" t="str">
        <f>Currency_Label</f>
        <v>USD</v>
      </c>
      <c r="E31" s="36"/>
      <c r="F31" s="36"/>
      <c r="G31" s="36"/>
      <c r="H31" s="36"/>
      <c r="I31" s="71">
        <f>SUM(J31:AG31)</f>
        <v>246306.66666666666</v>
      </c>
      <c r="J31" s="715">
        <f>SUM(J23:J30)*J$6</f>
        <v>4633.333333333333</v>
      </c>
      <c r="K31" s="715">
        <f t="shared" ref="K31:AG31" si="27">SUM(K23:K30)*K$6</f>
        <v>4773.333333333333</v>
      </c>
      <c r="L31" s="715">
        <f t="shared" si="27"/>
        <v>4843.333333333333</v>
      </c>
      <c r="M31" s="715">
        <f t="shared" si="27"/>
        <v>4913.333333333333</v>
      </c>
      <c r="N31" s="715">
        <f t="shared" si="27"/>
        <v>4983.333333333333</v>
      </c>
      <c r="O31" s="715">
        <f t="shared" si="27"/>
        <v>5053.333333333333</v>
      </c>
      <c r="P31" s="715">
        <f t="shared" si="27"/>
        <v>5123.333333333333</v>
      </c>
      <c r="Q31" s="715">
        <f t="shared" si="27"/>
        <v>13593.333333333332</v>
      </c>
      <c r="R31" s="715">
        <f t="shared" si="27"/>
        <v>13663.333333333332</v>
      </c>
      <c r="S31" s="715">
        <f t="shared" si="27"/>
        <v>13733.333333333332</v>
      </c>
      <c r="T31" s="715">
        <f t="shared" si="27"/>
        <v>14096.666666666668</v>
      </c>
      <c r="U31" s="715">
        <f t="shared" si="27"/>
        <v>14166.666666666668</v>
      </c>
      <c r="V31" s="715">
        <f t="shared" si="27"/>
        <v>14236.666666666668</v>
      </c>
      <c r="W31" s="715">
        <f t="shared" si="27"/>
        <v>14306.666666666668</v>
      </c>
      <c r="X31" s="715">
        <f t="shared" si="27"/>
        <v>14376.666666666668</v>
      </c>
      <c r="Y31" s="715">
        <f t="shared" si="27"/>
        <v>14446.666666666668</v>
      </c>
      <c r="Z31" s="715">
        <f t="shared" si="27"/>
        <v>14516.666666666668</v>
      </c>
      <c r="AA31" s="715">
        <f t="shared" si="27"/>
        <v>14586.666666666668</v>
      </c>
      <c r="AB31" s="715">
        <f t="shared" si="27"/>
        <v>18683.333333333332</v>
      </c>
      <c r="AC31" s="715">
        <f t="shared" si="27"/>
        <v>18753.333333333332</v>
      </c>
      <c r="AD31" s="715">
        <f t="shared" si="27"/>
        <v>18823.333333333332</v>
      </c>
      <c r="AE31" s="715">
        <f t="shared" si="27"/>
        <v>0</v>
      </c>
      <c r="AF31" s="715">
        <f t="shared" si="27"/>
        <v>0</v>
      </c>
      <c r="AG31" s="715">
        <f t="shared" si="27"/>
        <v>0</v>
      </c>
    </row>
    <row r="32" spans="1:33" ht="17.25" customHeight="1" outlineLevel="1">
      <c r="A32" s="894"/>
      <c r="B32" s="894"/>
      <c r="C32" s="287"/>
      <c r="D32" s="287"/>
      <c r="E32" s="287"/>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E32" s="287"/>
      <c r="AF32" s="287"/>
      <c r="AG32" s="287"/>
    </row>
    <row r="33" spans="1:33" ht="17.25" customHeight="1" outlineLevel="1">
      <c r="A33" s="894"/>
      <c r="B33" s="279">
        <v>3</v>
      </c>
      <c r="C33" s="279" t="str">
        <f>CHOOSE(language,"Sales, Marketing and Distribution Costs","Salesforce Expenses")</f>
        <v>Salesforce Expenses</v>
      </c>
      <c r="D33" s="287"/>
      <c r="E33" s="287"/>
      <c r="F33" s="688" t="s">
        <v>244</v>
      </c>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E33" s="287"/>
      <c r="AF33" s="287"/>
      <c r="AG33" s="287"/>
    </row>
    <row r="34" spans="1:33" ht="17.25" customHeight="1" outlineLevel="1">
      <c r="A34" s="894"/>
      <c r="B34" s="894"/>
      <c r="C34" s="40" t="str">
        <f>"Payroll "&amp;Inputs!$C$66</f>
        <v>Payroll Sales, Marketing &amp; Distribution Staff</v>
      </c>
      <c r="D34" s="8" t="str">
        <f>Currency_Label</f>
        <v>USD</v>
      </c>
      <c r="E34" s="287"/>
      <c r="F34" s="275" t="s">
        <v>319</v>
      </c>
      <c r="G34" s="287"/>
      <c r="H34" s="287"/>
      <c r="I34" s="71">
        <f t="shared" ref="I34:I41" si="28">SUMPRODUCT((J$6:AG$6),(J34:AG34))</f>
        <v>235050</v>
      </c>
      <c r="J34" s="233">
        <f>'Human Resources'!J71+'Human Resources'!J105+'Human Resources'!J144</f>
        <v>6550</v>
      </c>
      <c r="K34" s="233">
        <f>'Human Resources'!K71+'Human Resources'!K105+'Human Resources'!K144</f>
        <v>5050</v>
      </c>
      <c r="L34" s="233">
        <f>'Human Resources'!L71+'Human Resources'!L105+'Human Resources'!L144</f>
        <v>5050</v>
      </c>
      <c r="M34" s="233">
        <f>'Human Resources'!M71+'Human Resources'!M105+'Human Resources'!M144</f>
        <v>5050</v>
      </c>
      <c r="N34" s="233">
        <f>'Human Resources'!N71+'Human Resources'!N105+'Human Resources'!N144</f>
        <v>5050</v>
      </c>
      <c r="O34" s="233">
        <f>'Human Resources'!O71+'Human Resources'!O105+'Human Resources'!O144</f>
        <v>11600</v>
      </c>
      <c r="P34" s="233">
        <f>'Human Resources'!P71+'Human Resources'!P105+'Human Resources'!P144</f>
        <v>10100</v>
      </c>
      <c r="Q34" s="233">
        <f>'Human Resources'!Q71+'Human Resources'!Q105+'Human Resources'!Q144</f>
        <v>10100</v>
      </c>
      <c r="R34" s="233">
        <f>'Human Resources'!R71+'Human Resources'!R105+'Human Resources'!R144</f>
        <v>10100</v>
      </c>
      <c r="S34" s="233">
        <f>'Human Resources'!S71+'Human Resources'!S105+'Human Resources'!S144</f>
        <v>10100</v>
      </c>
      <c r="T34" s="233">
        <f>'Human Resources'!T71+'Human Resources'!T105+'Human Resources'!T144</f>
        <v>10320</v>
      </c>
      <c r="U34" s="233">
        <f>'Human Resources'!U71+'Human Resources'!U105+'Human Resources'!U144</f>
        <v>10320</v>
      </c>
      <c r="V34" s="233">
        <f>'Human Resources'!V71+'Human Resources'!V105+'Human Resources'!V144</f>
        <v>10320</v>
      </c>
      <c r="W34" s="233">
        <f>'Human Resources'!W71+'Human Resources'!W105+'Human Resources'!W144</f>
        <v>16980</v>
      </c>
      <c r="X34" s="233">
        <f>'Human Resources'!X71+'Human Resources'!X105+'Human Resources'!X144</f>
        <v>15480</v>
      </c>
      <c r="Y34" s="233">
        <f>'Human Resources'!Y71+'Human Resources'!Y105+'Human Resources'!Y144</f>
        <v>15480</v>
      </c>
      <c r="Z34" s="233">
        <f>'Human Resources'!Z71+'Human Resources'!Z105+'Human Resources'!Z144</f>
        <v>15480</v>
      </c>
      <c r="AA34" s="233">
        <f>'Human Resources'!AA71+'Human Resources'!AA105+'Human Resources'!AA144</f>
        <v>15480</v>
      </c>
      <c r="AB34" s="233">
        <f>'Human Resources'!AB71+'Human Resources'!AB105+'Human Resources'!AB144</f>
        <v>15480</v>
      </c>
      <c r="AC34" s="233">
        <f>'Human Resources'!AC71+'Human Resources'!AC105+'Human Resources'!AC144</f>
        <v>15480</v>
      </c>
      <c r="AD34" s="233">
        <f>'Human Resources'!AD71+'Human Resources'!AD105+'Human Resources'!AD144</f>
        <v>15480</v>
      </c>
      <c r="AE34" s="233">
        <f>'Human Resources'!AE71+'Human Resources'!AE105+'Human Resources'!AE144</f>
        <v>0</v>
      </c>
      <c r="AF34" s="233">
        <f>'Human Resources'!AF71+'Human Resources'!AF105+'Human Resources'!AF144</f>
        <v>0</v>
      </c>
      <c r="AG34" s="233">
        <f>'Human Resources'!AG71+'Human Resources'!AG105+'Human Resources'!AG144</f>
        <v>0</v>
      </c>
    </row>
    <row r="35" spans="1:33" ht="17.25" customHeight="1" outlineLevel="1">
      <c r="A35" s="894"/>
      <c r="B35" s="894"/>
      <c r="C35" s="641" t="str">
        <f>CHOOSE(language,"Freight/distribution costs","Freight/distribution expenses")</f>
        <v>Freight/distribution expenses</v>
      </c>
      <c r="D35" s="8" t="str">
        <f t="shared" ref="D35:D41" si="29">Currency_Label</f>
        <v>USD</v>
      </c>
      <c r="E35" s="287"/>
      <c r="F35" s="1036"/>
      <c r="G35" s="287"/>
      <c r="H35" s="287"/>
      <c r="I35" s="71">
        <f t="shared" si="28"/>
        <v>57680</v>
      </c>
      <c r="J35" s="269">
        <v>2640</v>
      </c>
      <c r="K35" s="269">
        <v>2640</v>
      </c>
      <c r="L35" s="269">
        <v>2640</v>
      </c>
      <c r="M35" s="269">
        <v>2640</v>
      </c>
      <c r="N35" s="269">
        <v>2640</v>
      </c>
      <c r="O35" s="269">
        <v>2640</v>
      </c>
      <c r="P35" s="269">
        <v>2640</v>
      </c>
      <c r="Q35" s="269">
        <v>2800</v>
      </c>
      <c r="R35" s="269">
        <v>2800</v>
      </c>
      <c r="S35" s="269">
        <v>2800</v>
      </c>
      <c r="T35" s="269">
        <v>2800</v>
      </c>
      <c r="U35" s="269">
        <v>2800</v>
      </c>
      <c r="V35" s="269">
        <v>2800</v>
      </c>
      <c r="W35" s="269">
        <v>2800</v>
      </c>
      <c r="X35" s="269">
        <v>2800</v>
      </c>
      <c r="Y35" s="269">
        <v>2800</v>
      </c>
      <c r="Z35" s="269">
        <v>2800</v>
      </c>
      <c r="AA35" s="269">
        <v>2800</v>
      </c>
      <c r="AB35" s="269">
        <v>2800</v>
      </c>
      <c r="AC35" s="269">
        <v>2800</v>
      </c>
      <c r="AD35" s="269">
        <v>2800</v>
      </c>
      <c r="AE35" s="269">
        <v>2800</v>
      </c>
      <c r="AF35" s="269">
        <v>2800</v>
      </c>
      <c r="AG35" s="269">
        <v>2800</v>
      </c>
    </row>
    <row r="36" spans="1:33" ht="17.25" customHeight="1" outlineLevel="1">
      <c r="A36" s="894"/>
      <c r="B36" s="894"/>
      <c r="C36" s="641" t="s">
        <v>339</v>
      </c>
      <c r="D36" s="8" t="str">
        <f t="shared" si="29"/>
        <v>USD</v>
      </c>
      <c r="E36" s="287"/>
      <c r="F36" s="1036"/>
      <c r="G36" s="287"/>
      <c r="H36" s="287"/>
      <c r="I36" s="71">
        <f t="shared" si="28"/>
        <v>74740.6687598914</v>
      </c>
      <c r="J36" s="269">
        <f>0.02*Sales!J80</f>
        <v>2872.44</v>
      </c>
      <c r="K36" s="269">
        <f>0.02*Sales!K80</f>
        <v>3029.2309999999998</v>
      </c>
      <c r="L36" s="269">
        <f>0.02*Sales!L80</f>
        <v>3033.0599099999999</v>
      </c>
      <c r="M36" s="269">
        <f>0.02*Sales!M80</f>
        <v>3036.9271091000005</v>
      </c>
      <c r="N36" s="269">
        <f>0.02*Sales!N80</f>
        <v>3040.8329801909999</v>
      </c>
      <c r="O36" s="269">
        <f>0.02*Sales!O80</f>
        <v>3044.7779099929098</v>
      </c>
      <c r="P36" s="269">
        <f>0.02*Sales!P80</f>
        <v>5049.1622890928393</v>
      </c>
      <c r="Q36" s="269">
        <f>0.02*Sales!Q80</f>
        <v>2963.5865119837681</v>
      </c>
      <c r="R36" s="269">
        <f>0.02*Sales!R80</f>
        <v>3017.6509771036053</v>
      </c>
      <c r="S36" s="269">
        <f>0.02*Sales!S80</f>
        <v>5114.3560868746417</v>
      </c>
      <c r="T36" s="269">
        <f>0.02*Sales!T80</f>
        <v>3118.9022477433878</v>
      </c>
      <c r="U36" s="269">
        <f>0.02*Sales!U80</f>
        <v>3098.6598702208221</v>
      </c>
      <c r="V36" s="269">
        <f>0.02*Sales!V80</f>
        <v>5104.7094689230298</v>
      </c>
      <c r="W36" s="269">
        <f>0.02*Sales!W80</f>
        <v>3109.2115636122608</v>
      </c>
      <c r="X36" s="269">
        <f>0.02*Sales!X80</f>
        <v>3114.566679248383</v>
      </c>
      <c r="Y36" s="269">
        <f>0.02*Sales!Y80</f>
        <v>5120.9753460408665</v>
      </c>
      <c r="Z36" s="269">
        <f>0.02*Sales!Z80</f>
        <v>3138.6380995012755</v>
      </c>
      <c r="AA36" s="269">
        <f>0.02*Sales!AA80</f>
        <v>3144.155480496288</v>
      </c>
      <c r="AB36" s="269">
        <f>0.02*Sales!AB80</f>
        <v>5150.9280353012509</v>
      </c>
      <c r="AC36" s="269">
        <f>0.02*Sales!AC80</f>
        <v>3109.3563156542637</v>
      </c>
      <c r="AD36" s="269">
        <f>0.02*Sales!AD80</f>
        <v>3328.5408788108066</v>
      </c>
      <c r="AE36" s="269">
        <f>0.02*Sales!AE80</f>
        <v>0</v>
      </c>
      <c r="AF36" s="269">
        <f>0.02*Sales!AF80</f>
        <v>0</v>
      </c>
      <c r="AG36" s="269">
        <f>0.02*Sales!AG80</f>
        <v>0</v>
      </c>
    </row>
    <row r="37" spans="1:33" ht="17.25" customHeight="1" outlineLevel="1">
      <c r="A37" s="894"/>
      <c r="B37" s="894"/>
      <c r="C37" s="641" t="s">
        <v>342</v>
      </c>
      <c r="D37" s="8" t="str">
        <f t="shared" si="29"/>
        <v>USD</v>
      </c>
      <c r="E37" s="287"/>
      <c r="F37" s="1036"/>
      <c r="G37" s="287"/>
      <c r="H37" s="287"/>
      <c r="I37" s="71">
        <f t="shared" si="28"/>
        <v>11550</v>
      </c>
      <c r="J37" s="269">
        <v>550</v>
      </c>
      <c r="K37" s="269">
        <v>550</v>
      </c>
      <c r="L37" s="269">
        <v>550</v>
      </c>
      <c r="M37" s="269">
        <v>550</v>
      </c>
      <c r="N37" s="269">
        <v>550</v>
      </c>
      <c r="O37" s="269">
        <v>550</v>
      </c>
      <c r="P37" s="269">
        <v>550</v>
      </c>
      <c r="Q37" s="269">
        <v>550</v>
      </c>
      <c r="R37" s="269">
        <v>550</v>
      </c>
      <c r="S37" s="269">
        <v>550</v>
      </c>
      <c r="T37" s="269">
        <v>550</v>
      </c>
      <c r="U37" s="269">
        <v>550</v>
      </c>
      <c r="V37" s="269">
        <v>550</v>
      </c>
      <c r="W37" s="269">
        <v>550</v>
      </c>
      <c r="X37" s="269">
        <v>550</v>
      </c>
      <c r="Y37" s="269">
        <v>550</v>
      </c>
      <c r="Z37" s="269">
        <v>550</v>
      </c>
      <c r="AA37" s="269">
        <v>550</v>
      </c>
      <c r="AB37" s="269">
        <v>550</v>
      </c>
      <c r="AC37" s="269">
        <v>550</v>
      </c>
      <c r="AD37" s="269">
        <v>550</v>
      </c>
      <c r="AE37" s="269">
        <v>550</v>
      </c>
      <c r="AF37" s="269">
        <v>550</v>
      </c>
      <c r="AG37" s="269">
        <v>550</v>
      </c>
    </row>
    <row r="38" spans="1:33" ht="17.25" customHeight="1" outlineLevel="1">
      <c r="A38" s="894"/>
      <c r="B38" s="894"/>
      <c r="C38" s="641" t="s">
        <v>340</v>
      </c>
      <c r="D38" s="8" t="str">
        <f t="shared" si="29"/>
        <v>USD</v>
      </c>
      <c r="E38" s="287"/>
      <c r="F38" s="1036"/>
      <c r="G38" s="287"/>
      <c r="H38" s="287"/>
      <c r="I38" s="71">
        <f t="shared" si="28"/>
        <v>0</v>
      </c>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row>
    <row r="39" spans="1:33" ht="17.25" customHeight="1" outlineLevel="1">
      <c r="A39" s="894"/>
      <c r="B39" s="894"/>
      <c r="C39" s="641" t="s">
        <v>341</v>
      </c>
      <c r="D39" s="8" t="str">
        <f t="shared" si="29"/>
        <v>USD</v>
      </c>
      <c r="E39" s="287"/>
      <c r="F39" s="1036"/>
      <c r="G39" s="287"/>
      <c r="H39" s="287"/>
      <c r="I39" s="71">
        <f t="shared" si="28"/>
        <v>0</v>
      </c>
      <c r="J39" s="269"/>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row>
    <row r="40" spans="1:33" ht="17.25" customHeight="1" outlineLevel="1">
      <c r="A40" s="894"/>
      <c r="B40" s="894"/>
      <c r="C40" s="641" t="s">
        <v>343</v>
      </c>
      <c r="D40" s="8" t="str">
        <f t="shared" si="29"/>
        <v>USD</v>
      </c>
      <c r="E40" s="287"/>
      <c r="F40" s="1036"/>
      <c r="G40" s="287"/>
      <c r="H40" s="287"/>
      <c r="I40" s="71">
        <f t="shared" si="28"/>
        <v>2650</v>
      </c>
      <c r="J40" s="269">
        <v>330</v>
      </c>
      <c r="K40" s="269"/>
      <c r="L40" s="269"/>
      <c r="M40" s="269">
        <v>330</v>
      </c>
      <c r="N40" s="269"/>
      <c r="O40" s="269"/>
      <c r="P40" s="269">
        <v>500</v>
      </c>
      <c r="Q40" s="269"/>
      <c r="R40" s="269">
        <v>330</v>
      </c>
      <c r="S40" s="269"/>
      <c r="T40" s="269"/>
      <c r="U40" s="269">
        <v>330</v>
      </c>
      <c r="V40" s="269"/>
      <c r="W40" s="269"/>
      <c r="X40" s="269">
        <v>500</v>
      </c>
      <c r="Y40" s="269"/>
      <c r="Z40" s="269"/>
      <c r="AA40" s="269"/>
      <c r="AB40" s="269"/>
      <c r="AC40" s="269">
        <v>330</v>
      </c>
      <c r="AD40" s="269"/>
      <c r="AE40" s="269"/>
      <c r="AF40" s="269">
        <v>330</v>
      </c>
      <c r="AG40" s="269"/>
    </row>
    <row r="41" spans="1:33" ht="17.25" customHeight="1" outlineLevel="1">
      <c r="A41" s="894"/>
      <c r="B41" s="894"/>
      <c r="C41" s="641" t="s">
        <v>344</v>
      </c>
      <c r="D41" s="8" t="str">
        <f t="shared" si="29"/>
        <v>USD</v>
      </c>
      <c r="E41" s="287"/>
      <c r="F41" s="1036"/>
      <c r="G41" s="287"/>
      <c r="H41" s="287"/>
      <c r="I41" s="71">
        <f t="shared" si="28"/>
        <v>0</v>
      </c>
      <c r="J41" s="269"/>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row>
    <row r="42" spans="1:33" ht="17.25" customHeight="1" outlineLevel="1">
      <c r="A42" s="894"/>
      <c r="B42" s="894"/>
      <c r="C42" s="75" t="str">
        <f>"   Subtotal "&amp;C33</f>
        <v xml:space="preserve">   Subtotal Salesforce Expenses</v>
      </c>
      <c r="D42" s="8" t="str">
        <f>Currency_Label</f>
        <v>USD</v>
      </c>
      <c r="E42" s="36"/>
      <c r="F42" s="36"/>
      <c r="G42" s="36"/>
      <c r="H42" s="36"/>
      <c r="I42" s="71">
        <f>SUM(J42:AG42)</f>
        <v>381670.66875989141</v>
      </c>
      <c r="J42" s="715">
        <f>SUM(J34:J41)*J$6</f>
        <v>12942.44</v>
      </c>
      <c r="K42" s="715">
        <f t="shared" ref="K42:AG42" si="30">SUM(K34:K41)*K$6</f>
        <v>11269.231</v>
      </c>
      <c r="L42" s="715">
        <f t="shared" si="30"/>
        <v>11273.05991</v>
      </c>
      <c r="M42" s="715">
        <f t="shared" si="30"/>
        <v>11606.927109100001</v>
      </c>
      <c r="N42" s="715">
        <f t="shared" si="30"/>
        <v>11280.832980191</v>
      </c>
      <c r="O42" s="715">
        <f t="shared" si="30"/>
        <v>17834.77790999291</v>
      </c>
      <c r="P42" s="715">
        <f t="shared" si="30"/>
        <v>18839.162289092841</v>
      </c>
      <c r="Q42" s="715">
        <f t="shared" si="30"/>
        <v>16413.586511983769</v>
      </c>
      <c r="R42" s="715">
        <f t="shared" si="30"/>
        <v>16797.650977103607</v>
      </c>
      <c r="S42" s="715">
        <f t="shared" si="30"/>
        <v>18564.356086874643</v>
      </c>
      <c r="T42" s="715">
        <f t="shared" si="30"/>
        <v>16788.90224774339</v>
      </c>
      <c r="U42" s="715">
        <f t="shared" si="30"/>
        <v>17098.659870220821</v>
      </c>
      <c r="V42" s="715">
        <f t="shared" si="30"/>
        <v>18774.709468923029</v>
      </c>
      <c r="W42" s="715">
        <f t="shared" si="30"/>
        <v>23439.211563612262</v>
      </c>
      <c r="X42" s="715">
        <f t="shared" si="30"/>
        <v>22444.566679248383</v>
      </c>
      <c r="Y42" s="715">
        <f t="shared" si="30"/>
        <v>23950.975346040868</v>
      </c>
      <c r="Z42" s="715">
        <f t="shared" si="30"/>
        <v>21968.638099501277</v>
      </c>
      <c r="AA42" s="715">
        <f t="shared" si="30"/>
        <v>21974.155480496287</v>
      </c>
      <c r="AB42" s="715">
        <f t="shared" si="30"/>
        <v>23980.928035301251</v>
      </c>
      <c r="AC42" s="715">
        <f t="shared" si="30"/>
        <v>22269.356315654262</v>
      </c>
      <c r="AD42" s="715">
        <f t="shared" si="30"/>
        <v>22158.540878810807</v>
      </c>
      <c r="AE42" s="715">
        <f t="shared" si="30"/>
        <v>0</v>
      </c>
      <c r="AF42" s="715">
        <f t="shared" si="30"/>
        <v>0</v>
      </c>
      <c r="AG42" s="715">
        <f t="shared" si="30"/>
        <v>0</v>
      </c>
    </row>
    <row r="43" spans="1:33" ht="17.25" customHeight="1" outlineLevel="1">
      <c r="A43" s="894"/>
      <c r="B43" s="894"/>
      <c r="C43" s="287"/>
      <c r="D43" s="287"/>
      <c r="E43" s="287"/>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E43" s="287"/>
      <c r="AF43" s="287"/>
      <c r="AG43" s="287"/>
    </row>
    <row r="44" spans="1:33" ht="17.25" customHeight="1" outlineLevel="1">
      <c r="A44" s="894"/>
      <c r="B44" s="279">
        <v>4</v>
      </c>
      <c r="C44" s="279" t="str">
        <f>CHOOSE(language,Inputs!$C$72 &amp;" Costs",Inputs!$C$72 &amp;" Expenses")</f>
        <v>Research &amp; Development Expenses</v>
      </c>
      <c r="D44" s="287"/>
      <c r="E44" s="287"/>
      <c r="F44" s="688" t="s">
        <v>244</v>
      </c>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row>
    <row r="45" spans="1:33" ht="17.25" customHeight="1" outlineLevel="1">
      <c r="A45" s="894"/>
      <c r="B45" s="894"/>
      <c r="C45" s="40" t="str">
        <f>"Payroll "&amp;Inputs!$C$72</f>
        <v>Payroll Research &amp; Development</v>
      </c>
      <c r="D45" s="8" t="str">
        <f>Currency_Label</f>
        <v>USD</v>
      </c>
      <c r="E45" s="287"/>
      <c r="F45" s="275" t="s">
        <v>319</v>
      </c>
      <c r="G45" s="287"/>
      <c r="H45" s="287"/>
      <c r="I45" s="71">
        <f t="shared" ref="I45:I52" si="31">SUMPRODUCT((J$6:AG$6),(J45:AG45))</f>
        <v>83689</v>
      </c>
      <c r="J45" s="233">
        <f>'Human Resources'!J78+'Human Resources'!J112+'Human Resources'!J153</f>
        <v>0</v>
      </c>
      <c r="K45" s="233">
        <f>'Human Resources'!K78+'Human Resources'!K112+'Human Resources'!K153</f>
        <v>0</v>
      </c>
      <c r="L45" s="233">
        <f>'Human Resources'!L78+'Human Resources'!L112+'Human Resources'!L153</f>
        <v>0</v>
      </c>
      <c r="M45" s="233">
        <f>'Human Resources'!M78+'Human Resources'!M112+'Human Resources'!M153</f>
        <v>0</v>
      </c>
      <c r="N45" s="233">
        <f>'Human Resources'!N78+'Human Resources'!N112+'Human Resources'!N153</f>
        <v>0</v>
      </c>
      <c r="O45" s="233">
        <f>'Human Resources'!O78+'Human Resources'!O112+'Human Resources'!O153</f>
        <v>6100</v>
      </c>
      <c r="P45" s="233">
        <f>'Human Resources'!P78+'Human Resources'!P112+'Human Resources'!P153</f>
        <v>5100</v>
      </c>
      <c r="Q45" s="233">
        <f>'Human Resources'!Q78+'Human Resources'!Q112+'Human Resources'!Q153</f>
        <v>5100</v>
      </c>
      <c r="R45" s="233">
        <f>'Human Resources'!R78+'Human Resources'!R112+'Human Resources'!R153</f>
        <v>5100</v>
      </c>
      <c r="S45" s="233">
        <f>'Human Resources'!S78+'Human Resources'!S112+'Human Resources'!S153</f>
        <v>5100</v>
      </c>
      <c r="T45" s="233">
        <f>'Human Resources'!T78+'Human Resources'!T112+'Human Resources'!T153</f>
        <v>5199</v>
      </c>
      <c r="U45" s="233">
        <f>'Human Resources'!U78+'Human Resources'!U112+'Human Resources'!U153</f>
        <v>5199</v>
      </c>
      <c r="V45" s="233">
        <f>'Human Resources'!V78+'Human Resources'!V112+'Human Resources'!V153</f>
        <v>5199</v>
      </c>
      <c r="W45" s="233">
        <f>'Human Resources'!W78+'Human Resources'!W112+'Human Resources'!W153</f>
        <v>5199</v>
      </c>
      <c r="X45" s="233">
        <f>'Human Resources'!X78+'Human Resources'!X112+'Human Resources'!X153</f>
        <v>5199</v>
      </c>
      <c r="Y45" s="233">
        <f>'Human Resources'!Y78+'Human Resources'!Y112+'Human Resources'!Y153</f>
        <v>5199</v>
      </c>
      <c r="Z45" s="233">
        <f>'Human Resources'!Z78+'Human Resources'!Z112+'Human Resources'!Z153</f>
        <v>5199</v>
      </c>
      <c r="AA45" s="233">
        <f>'Human Resources'!AA78+'Human Resources'!AA112+'Human Resources'!AA153</f>
        <v>5199</v>
      </c>
      <c r="AB45" s="233">
        <f>'Human Resources'!AB78+'Human Resources'!AB112+'Human Resources'!AB153</f>
        <v>5199</v>
      </c>
      <c r="AC45" s="233">
        <f>'Human Resources'!AC78+'Human Resources'!AC112+'Human Resources'!AC153</f>
        <v>5199</v>
      </c>
      <c r="AD45" s="233">
        <f>'Human Resources'!AD78+'Human Resources'!AD112+'Human Resources'!AD153</f>
        <v>5199</v>
      </c>
      <c r="AE45" s="233">
        <f>'Human Resources'!AE78+'Human Resources'!AE112+'Human Resources'!AE153</f>
        <v>0</v>
      </c>
      <c r="AF45" s="233">
        <f>'Human Resources'!AF78+'Human Resources'!AF112+'Human Resources'!AF153</f>
        <v>0</v>
      </c>
      <c r="AG45" s="233">
        <f>'Human Resources'!AG78+'Human Resources'!AG112+'Human Resources'!AG153</f>
        <v>0</v>
      </c>
    </row>
    <row r="46" spans="1:33" ht="17.25" customHeight="1" outlineLevel="1">
      <c r="A46" s="894"/>
      <c r="B46" s="894"/>
      <c r="C46" s="641" t="s">
        <v>335</v>
      </c>
      <c r="D46" s="8" t="str">
        <f t="shared" ref="D46:D52" si="32">Currency_Label</f>
        <v>USD</v>
      </c>
      <c r="E46" s="287"/>
      <c r="F46" s="1036"/>
      <c r="G46" s="287"/>
      <c r="H46" s="287"/>
      <c r="I46" s="71">
        <f t="shared" si="31"/>
        <v>0</v>
      </c>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row>
    <row r="47" spans="1:33" ht="17.25" customHeight="1" outlineLevel="1">
      <c r="A47" s="894"/>
      <c r="B47" s="894"/>
      <c r="C47" s="641" t="s">
        <v>336</v>
      </c>
      <c r="D47" s="8" t="str">
        <f t="shared" si="32"/>
        <v>USD</v>
      </c>
      <c r="E47" s="287"/>
      <c r="F47" s="1036"/>
      <c r="G47" s="287"/>
      <c r="H47" s="287"/>
      <c r="I47" s="71">
        <f t="shared" si="31"/>
        <v>0</v>
      </c>
      <c r="J47" s="269"/>
      <c r="K47" s="269"/>
      <c r="L47" s="269"/>
      <c r="M47" s="269"/>
      <c r="N47" s="269"/>
      <c r="O47" s="269"/>
      <c r="P47" s="269"/>
      <c r="Q47" s="269"/>
      <c r="R47" s="269"/>
      <c r="S47" s="269"/>
      <c r="T47" s="269"/>
      <c r="U47" s="269"/>
      <c r="V47" s="269"/>
      <c r="W47" s="269"/>
      <c r="X47" s="269"/>
      <c r="Y47" s="269"/>
      <c r="Z47" s="269"/>
      <c r="AA47" s="269"/>
      <c r="AB47" s="269"/>
      <c r="AC47" s="269"/>
      <c r="AD47" s="269"/>
      <c r="AE47" s="269"/>
      <c r="AF47" s="269"/>
      <c r="AG47" s="269"/>
    </row>
    <row r="48" spans="1:33" ht="17.25" customHeight="1" outlineLevel="1">
      <c r="A48" s="894"/>
      <c r="B48" s="894"/>
      <c r="C48" s="641" t="s">
        <v>337</v>
      </c>
      <c r="D48" s="8" t="str">
        <f t="shared" si="32"/>
        <v>USD</v>
      </c>
      <c r="E48" s="287"/>
      <c r="F48" s="1036"/>
      <c r="G48" s="287"/>
      <c r="H48" s="287"/>
      <c r="I48" s="71">
        <f t="shared" si="31"/>
        <v>0</v>
      </c>
      <c r="J48" s="269"/>
      <c r="K48" s="269"/>
      <c r="L48" s="269"/>
      <c r="M48" s="269"/>
      <c r="N48" s="269"/>
      <c r="O48" s="269"/>
      <c r="P48" s="269"/>
      <c r="Q48" s="269"/>
      <c r="R48" s="269"/>
      <c r="S48" s="269"/>
      <c r="T48" s="269"/>
      <c r="U48" s="269"/>
      <c r="V48" s="269"/>
      <c r="W48" s="269"/>
      <c r="X48" s="269"/>
      <c r="Y48" s="269"/>
      <c r="Z48" s="269"/>
      <c r="AA48" s="269"/>
      <c r="AB48" s="269"/>
      <c r="AC48" s="269"/>
      <c r="AD48" s="269"/>
      <c r="AE48" s="269"/>
      <c r="AF48" s="269"/>
      <c r="AG48" s="269"/>
    </row>
    <row r="49" spans="1:33" ht="17.25" customHeight="1" outlineLevel="1">
      <c r="A49" s="894"/>
      <c r="B49" s="894"/>
      <c r="C49" s="641" t="s">
        <v>324</v>
      </c>
      <c r="D49" s="8" t="str">
        <f t="shared" si="32"/>
        <v>USD</v>
      </c>
      <c r="E49" s="287"/>
      <c r="F49" s="1036"/>
      <c r="G49" s="287"/>
      <c r="H49" s="287"/>
      <c r="I49" s="71">
        <f t="shared" si="31"/>
        <v>0</v>
      </c>
      <c r="J49" s="269"/>
      <c r="K49" s="269"/>
      <c r="L49" s="269"/>
      <c r="M49" s="269"/>
      <c r="N49" s="269"/>
      <c r="O49" s="269"/>
      <c r="P49" s="269"/>
      <c r="Q49" s="269"/>
      <c r="R49" s="269"/>
      <c r="S49" s="269"/>
      <c r="T49" s="269"/>
      <c r="U49" s="269"/>
      <c r="V49" s="269"/>
      <c r="W49" s="269"/>
      <c r="X49" s="269"/>
      <c r="Y49" s="269"/>
      <c r="Z49" s="269"/>
      <c r="AA49" s="269"/>
      <c r="AB49" s="269"/>
      <c r="AC49" s="269"/>
      <c r="AD49" s="269"/>
      <c r="AE49" s="269"/>
      <c r="AF49" s="269"/>
      <c r="AG49" s="269"/>
    </row>
    <row r="50" spans="1:33" ht="17.25" customHeight="1" outlineLevel="1">
      <c r="A50" s="894"/>
      <c r="B50" s="894"/>
      <c r="C50" s="641" t="s">
        <v>326</v>
      </c>
      <c r="D50" s="8" t="str">
        <f t="shared" si="32"/>
        <v>USD</v>
      </c>
      <c r="E50" s="287"/>
      <c r="F50" s="1036"/>
      <c r="G50" s="287"/>
      <c r="H50" s="287"/>
      <c r="I50" s="71">
        <f t="shared" si="31"/>
        <v>0</v>
      </c>
      <c r="J50" s="269"/>
      <c r="K50" s="269"/>
      <c r="L50" s="269"/>
      <c r="M50" s="269"/>
      <c r="N50" s="269"/>
      <c r="O50" s="269"/>
      <c r="P50" s="269"/>
      <c r="Q50" s="269"/>
      <c r="R50" s="269"/>
      <c r="S50" s="269"/>
      <c r="T50" s="269"/>
      <c r="U50" s="269"/>
      <c r="V50" s="269"/>
      <c r="W50" s="269"/>
      <c r="X50" s="269"/>
      <c r="Y50" s="269"/>
      <c r="Z50" s="269"/>
      <c r="AA50" s="269"/>
      <c r="AB50" s="269"/>
      <c r="AC50" s="269"/>
      <c r="AD50" s="269"/>
      <c r="AE50" s="269"/>
      <c r="AF50" s="269"/>
      <c r="AG50" s="269"/>
    </row>
    <row r="51" spans="1:33" ht="17.25" customHeight="1" outlineLevel="1">
      <c r="A51" s="894"/>
      <c r="B51" s="894"/>
      <c r="C51" s="641" t="s">
        <v>325</v>
      </c>
      <c r="D51" s="8" t="str">
        <f t="shared" si="32"/>
        <v>USD</v>
      </c>
      <c r="E51" s="287"/>
      <c r="F51" s="1036"/>
      <c r="G51" s="287"/>
      <c r="H51" s="287"/>
      <c r="I51" s="71">
        <f t="shared" si="31"/>
        <v>0</v>
      </c>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row>
    <row r="52" spans="1:33" ht="17.25" customHeight="1" outlineLevel="1">
      <c r="A52" s="894"/>
      <c r="B52" s="894"/>
      <c r="C52" s="641" t="s">
        <v>334</v>
      </c>
      <c r="D52" s="8" t="str">
        <f t="shared" si="32"/>
        <v>USD</v>
      </c>
      <c r="E52" s="287"/>
      <c r="F52" s="1036"/>
      <c r="G52" s="287"/>
      <c r="H52" s="287"/>
      <c r="I52" s="71">
        <f t="shared" si="31"/>
        <v>0</v>
      </c>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69"/>
    </row>
    <row r="53" spans="1:33" ht="17.25" customHeight="1" outlineLevel="1">
      <c r="A53" s="894"/>
      <c r="B53" s="894"/>
      <c r="C53" s="75" t="str">
        <f>"   Subtotal "&amp;C45</f>
        <v xml:space="preserve">   Subtotal Payroll Research &amp; Development</v>
      </c>
      <c r="D53" s="8" t="str">
        <f>Currency_Label</f>
        <v>USD</v>
      </c>
      <c r="E53" s="36"/>
      <c r="F53" s="36"/>
      <c r="G53" s="36"/>
      <c r="H53" s="36"/>
      <c r="I53" s="71">
        <f>SUM(J53:AG53)</f>
        <v>83689</v>
      </c>
      <c r="J53" s="715">
        <f>SUM(J45:J52)*J$6</f>
        <v>0</v>
      </c>
      <c r="K53" s="715">
        <f t="shared" ref="K53:AG53" si="33">SUM(K45:K52)*K$6</f>
        <v>0</v>
      </c>
      <c r="L53" s="715">
        <f t="shared" si="33"/>
        <v>0</v>
      </c>
      <c r="M53" s="715">
        <f t="shared" si="33"/>
        <v>0</v>
      </c>
      <c r="N53" s="715">
        <f t="shared" si="33"/>
        <v>0</v>
      </c>
      <c r="O53" s="715">
        <f t="shared" si="33"/>
        <v>6100</v>
      </c>
      <c r="P53" s="715">
        <f t="shared" si="33"/>
        <v>5100</v>
      </c>
      <c r="Q53" s="715">
        <f t="shared" si="33"/>
        <v>5100</v>
      </c>
      <c r="R53" s="715">
        <f t="shared" si="33"/>
        <v>5100</v>
      </c>
      <c r="S53" s="715">
        <f t="shared" si="33"/>
        <v>5100</v>
      </c>
      <c r="T53" s="715">
        <f t="shared" si="33"/>
        <v>5199</v>
      </c>
      <c r="U53" s="715">
        <f t="shared" si="33"/>
        <v>5199</v>
      </c>
      <c r="V53" s="715">
        <f t="shared" si="33"/>
        <v>5199</v>
      </c>
      <c r="W53" s="715">
        <f t="shared" si="33"/>
        <v>5199</v>
      </c>
      <c r="X53" s="715">
        <f t="shared" si="33"/>
        <v>5199</v>
      </c>
      <c r="Y53" s="715">
        <f t="shared" si="33"/>
        <v>5199</v>
      </c>
      <c r="Z53" s="715">
        <f t="shared" si="33"/>
        <v>5199</v>
      </c>
      <c r="AA53" s="715">
        <f t="shared" si="33"/>
        <v>5199</v>
      </c>
      <c r="AB53" s="715">
        <f t="shared" si="33"/>
        <v>5199</v>
      </c>
      <c r="AC53" s="715">
        <f t="shared" si="33"/>
        <v>5199</v>
      </c>
      <c r="AD53" s="715">
        <f t="shared" si="33"/>
        <v>5199</v>
      </c>
      <c r="AE53" s="715">
        <f t="shared" si="33"/>
        <v>0</v>
      </c>
      <c r="AF53" s="715">
        <f t="shared" si="33"/>
        <v>0</v>
      </c>
      <c r="AG53" s="715">
        <f t="shared" si="33"/>
        <v>0</v>
      </c>
    </row>
    <row r="54" spans="1:33" ht="17.25" customHeight="1" outlineLevel="1">
      <c r="A54" s="894"/>
      <c r="B54" s="894"/>
      <c r="C54" s="287"/>
      <c r="D54" s="287"/>
      <c r="E54" s="287"/>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E54" s="287"/>
      <c r="AF54" s="287"/>
      <c r="AG54" s="287"/>
    </row>
    <row r="55" spans="1:33" ht="17.25" customHeight="1" outlineLevel="1">
      <c r="A55" s="894"/>
      <c r="B55" s="279">
        <v>5</v>
      </c>
      <c r="C55" s="279" t="str">
        <f>CHOOSE(language,"General Costs &amp; Miscellaneous","General &amp; Other Expenses")</f>
        <v>General &amp; Other Expenses</v>
      </c>
      <c r="D55" s="287"/>
      <c r="E55" s="287"/>
      <c r="F55" s="688" t="s">
        <v>244</v>
      </c>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E55" s="287"/>
      <c r="AF55" s="287"/>
      <c r="AG55" s="287"/>
    </row>
    <row r="56" spans="1:33" ht="17.25" customHeight="1" outlineLevel="1">
      <c r="A56" s="894"/>
      <c r="B56" s="894"/>
      <c r="C56" s="641" t="s">
        <v>327</v>
      </c>
      <c r="D56" s="8" t="str">
        <f t="shared" ref="D56:D65" si="34">Currency_Label</f>
        <v>USD</v>
      </c>
      <c r="E56" s="287"/>
      <c r="F56" s="1036">
        <v>1</v>
      </c>
      <c r="G56" s="287"/>
      <c r="H56" s="287"/>
      <c r="I56" s="71">
        <f t="shared" ref="I56:I65" si="35">SUMPRODUCT((J$6:AG$6),(J56:AG56))</f>
        <v>63000</v>
      </c>
      <c r="J56" s="269">
        <v>3000</v>
      </c>
      <c r="K56" s="269">
        <v>3000</v>
      </c>
      <c r="L56" s="269">
        <v>3000</v>
      </c>
      <c r="M56" s="269">
        <v>3000</v>
      </c>
      <c r="N56" s="269">
        <v>3000</v>
      </c>
      <c r="O56" s="269">
        <v>3000</v>
      </c>
      <c r="P56" s="269">
        <v>3000</v>
      </c>
      <c r="Q56" s="269">
        <v>3000</v>
      </c>
      <c r="R56" s="269">
        <v>3000</v>
      </c>
      <c r="S56" s="269">
        <v>3000</v>
      </c>
      <c r="T56" s="269">
        <v>3000</v>
      </c>
      <c r="U56" s="269">
        <v>3000</v>
      </c>
      <c r="V56" s="269">
        <v>3000</v>
      </c>
      <c r="W56" s="269">
        <v>3000</v>
      </c>
      <c r="X56" s="269">
        <v>3000</v>
      </c>
      <c r="Y56" s="269">
        <v>3000</v>
      </c>
      <c r="Z56" s="269">
        <v>3000</v>
      </c>
      <c r="AA56" s="269">
        <v>3000</v>
      </c>
      <c r="AB56" s="269">
        <v>3000</v>
      </c>
      <c r="AC56" s="269">
        <v>3000</v>
      </c>
      <c r="AD56" s="269">
        <v>3000</v>
      </c>
      <c r="AE56" s="269">
        <v>3000</v>
      </c>
      <c r="AF56" s="269">
        <v>3000</v>
      </c>
      <c r="AG56" s="269">
        <v>3000</v>
      </c>
    </row>
    <row r="57" spans="1:33" ht="17.25" customHeight="1" outlineLevel="1">
      <c r="A57" s="894"/>
      <c r="B57" s="894"/>
      <c r="C57" s="641" t="s">
        <v>330</v>
      </c>
      <c r="D57" s="8" t="str">
        <f t="shared" si="34"/>
        <v>USD</v>
      </c>
      <c r="E57" s="287"/>
      <c r="F57" s="1036"/>
      <c r="G57" s="287"/>
      <c r="H57" s="287"/>
      <c r="I57" s="71">
        <f t="shared" si="35"/>
        <v>18900</v>
      </c>
      <c r="J57" s="269">
        <f>J56*0.3</f>
        <v>900</v>
      </c>
      <c r="K57" s="269">
        <f t="shared" ref="K57:AG57" si="36">K56*0.3</f>
        <v>900</v>
      </c>
      <c r="L57" s="269">
        <f t="shared" si="36"/>
        <v>900</v>
      </c>
      <c r="M57" s="269">
        <f t="shared" si="36"/>
        <v>900</v>
      </c>
      <c r="N57" s="269">
        <f t="shared" si="36"/>
        <v>900</v>
      </c>
      <c r="O57" s="269">
        <f t="shared" si="36"/>
        <v>900</v>
      </c>
      <c r="P57" s="269">
        <f t="shared" si="36"/>
        <v>900</v>
      </c>
      <c r="Q57" s="269">
        <f t="shared" si="36"/>
        <v>900</v>
      </c>
      <c r="R57" s="269">
        <f t="shared" si="36"/>
        <v>900</v>
      </c>
      <c r="S57" s="269">
        <f t="shared" si="36"/>
        <v>900</v>
      </c>
      <c r="T57" s="269">
        <f t="shared" si="36"/>
        <v>900</v>
      </c>
      <c r="U57" s="269">
        <f t="shared" si="36"/>
        <v>900</v>
      </c>
      <c r="V57" s="269">
        <f t="shared" si="36"/>
        <v>900</v>
      </c>
      <c r="W57" s="269">
        <f t="shared" si="36"/>
        <v>900</v>
      </c>
      <c r="X57" s="269">
        <f t="shared" si="36"/>
        <v>900</v>
      </c>
      <c r="Y57" s="269">
        <f t="shared" si="36"/>
        <v>900</v>
      </c>
      <c r="Z57" s="269">
        <f t="shared" si="36"/>
        <v>900</v>
      </c>
      <c r="AA57" s="269">
        <f t="shared" si="36"/>
        <v>900</v>
      </c>
      <c r="AB57" s="269">
        <f t="shared" si="36"/>
        <v>900</v>
      </c>
      <c r="AC57" s="269">
        <f t="shared" si="36"/>
        <v>900</v>
      </c>
      <c r="AD57" s="269">
        <f t="shared" si="36"/>
        <v>900</v>
      </c>
      <c r="AE57" s="269">
        <f t="shared" si="36"/>
        <v>900</v>
      </c>
      <c r="AF57" s="269">
        <f t="shared" si="36"/>
        <v>900</v>
      </c>
      <c r="AG57" s="269">
        <f t="shared" si="36"/>
        <v>900</v>
      </c>
    </row>
    <row r="58" spans="1:33" ht="17.25" customHeight="1" outlineLevel="1">
      <c r="A58" s="894"/>
      <c r="B58" s="894"/>
      <c r="C58" s="641" t="s">
        <v>328</v>
      </c>
      <c r="D58" s="8" t="str">
        <f t="shared" si="34"/>
        <v>USD</v>
      </c>
      <c r="E58" s="287"/>
      <c r="F58" s="1036">
        <v>2</v>
      </c>
      <c r="G58" s="287"/>
      <c r="H58" s="287"/>
      <c r="I58" s="71">
        <f t="shared" si="35"/>
        <v>4200</v>
      </c>
      <c r="J58" s="269">
        <v>200</v>
      </c>
      <c r="K58" s="269">
        <v>200</v>
      </c>
      <c r="L58" s="269">
        <v>200</v>
      </c>
      <c r="M58" s="269">
        <v>200</v>
      </c>
      <c r="N58" s="269">
        <v>200</v>
      </c>
      <c r="O58" s="269">
        <v>200</v>
      </c>
      <c r="P58" s="269">
        <v>200</v>
      </c>
      <c r="Q58" s="269">
        <v>200</v>
      </c>
      <c r="R58" s="269">
        <v>200</v>
      </c>
      <c r="S58" s="269">
        <v>200</v>
      </c>
      <c r="T58" s="269">
        <v>200</v>
      </c>
      <c r="U58" s="269">
        <v>200</v>
      </c>
      <c r="V58" s="269">
        <v>200</v>
      </c>
      <c r="W58" s="269">
        <v>200</v>
      </c>
      <c r="X58" s="269">
        <v>200</v>
      </c>
      <c r="Y58" s="269">
        <v>200</v>
      </c>
      <c r="Z58" s="269">
        <v>200</v>
      </c>
      <c r="AA58" s="269">
        <v>200</v>
      </c>
      <c r="AB58" s="269">
        <v>200</v>
      </c>
      <c r="AC58" s="269">
        <v>200</v>
      </c>
      <c r="AD58" s="269">
        <v>200</v>
      </c>
      <c r="AE58" s="269">
        <v>200</v>
      </c>
      <c r="AF58" s="269">
        <v>200</v>
      </c>
      <c r="AG58" s="269">
        <v>200</v>
      </c>
    </row>
    <row r="59" spans="1:33" ht="17.25" customHeight="1" outlineLevel="1">
      <c r="A59" s="894"/>
      <c r="B59" s="894"/>
      <c r="C59" s="641" t="s">
        <v>329</v>
      </c>
      <c r="D59" s="8" t="str">
        <f t="shared" si="34"/>
        <v>USD</v>
      </c>
      <c r="E59" s="287"/>
      <c r="F59" s="1036">
        <v>0</v>
      </c>
      <c r="G59" s="287"/>
      <c r="H59" s="287"/>
      <c r="I59" s="71">
        <f t="shared" si="35"/>
        <v>7350</v>
      </c>
      <c r="J59" s="269">
        <v>350</v>
      </c>
      <c r="K59" s="269">
        <v>350</v>
      </c>
      <c r="L59" s="269">
        <v>350</v>
      </c>
      <c r="M59" s="269">
        <v>350</v>
      </c>
      <c r="N59" s="269">
        <v>350</v>
      </c>
      <c r="O59" s="269">
        <v>350</v>
      </c>
      <c r="P59" s="269">
        <v>350</v>
      </c>
      <c r="Q59" s="269">
        <v>350</v>
      </c>
      <c r="R59" s="269">
        <v>350</v>
      </c>
      <c r="S59" s="269">
        <v>350</v>
      </c>
      <c r="T59" s="269">
        <v>350</v>
      </c>
      <c r="U59" s="269">
        <v>350</v>
      </c>
      <c r="V59" s="269">
        <v>350</v>
      </c>
      <c r="W59" s="269">
        <v>350</v>
      </c>
      <c r="X59" s="269">
        <v>350</v>
      </c>
      <c r="Y59" s="269">
        <v>350</v>
      </c>
      <c r="Z59" s="269">
        <v>350</v>
      </c>
      <c r="AA59" s="269">
        <v>350</v>
      </c>
      <c r="AB59" s="269">
        <v>350</v>
      </c>
      <c r="AC59" s="269">
        <v>350</v>
      </c>
      <c r="AD59" s="269">
        <v>350</v>
      </c>
      <c r="AE59" s="269">
        <v>350</v>
      </c>
      <c r="AF59" s="269">
        <v>350</v>
      </c>
      <c r="AG59" s="269">
        <v>350</v>
      </c>
    </row>
    <row r="60" spans="1:33" ht="17.25" customHeight="1" outlineLevel="1">
      <c r="A60" s="894"/>
      <c r="B60" s="894"/>
      <c r="C60" s="641" t="s">
        <v>338</v>
      </c>
      <c r="D60" s="8" t="str">
        <f t="shared" si="34"/>
        <v>USD</v>
      </c>
      <c r="E60" s="287"/>
      <c r="F60" s="1036"/>
      <c r="G60" s="287"/>
      <c r="H60" s="287"/>
      <c r="I60" s="71">
        <f t="shared" si="35"/>
        <v>0</v>
      </c>
      <c r="J60" s="269"/>
      <c r="K60" s="269"/>
      <c r="L60" s="269"/>
      <c r="M60" s="269"/>
      <c r="N60" s="269"/>
      <c r="O60" s="269"/>
      <c r="P60" s="269"/>
      <c r="Q60" s="269"/>
      <c r="R60" s="269"/>
      <c r="S60" s="269"/>
      <c r="T60" s="269"/>
      <c r="U60" s="269"/>
      <c r="V60" s="269"/>
      <c r="W60" s="269"/>
      <c r="X60" s="269"/>
      <c r="Y60" s="269"/>
      <c r="Z60" s="269"/>
      <c r="AA60" s="269"/>
      <c r="AB60" s="269"/>
      <c r="AC60" s="269"/>
      <c r="AD60" s="269"/>
      <c r="AE60" s="269"/>
      <c r="AF60" s="269"/>
      <c r="AG60" s="269"/>
    </row>
    <row r="61" spans="1:33" ht="17.25" customHeight="1" outlineLevel="1">
      <c r="A61" s="894"/>
      <c r="B61" s="894"/>
      <c r="C61" s="641" t="s">
        <v>333</v>
      </c>
      <c r="D61" s="8" t="str">
        <f t="shared" si="34"/>
        <v>USD</v>
      </c>
      <c r="E61" s="287"/>
      <c r="F61" s="1036"/>
      <c r="G61" s="287"/>
      <c r="H61" s="287"/>
      <c r="I61" s="71">
        <f t="shared" si="35"/>
        <v>0</v>
      </c>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row>
    <row r="62" spans="1:33" ht="17.25" customHeight="1" outlineLevel="1">
      <c r="A62" s="894"/>
      <c r="B62" s="894"/>
      <c r="C62" s="641" t="s">
        <v>324</v>
      </c>
      <c r="D62" s="8" t="str">
        <f t="shared" si="34"/>
        <v>USD</v>
      </c>
      <c r="E62" s="287"/>
      <c r="F62" s="1036"/>
      <c r="G62" s="287"/>
      <c r="H62" s="287"/>
      <c r="I62" s="71">
        <f t="shared" si="35"/>
        <v>0</v>
      </c>
      <c r="J62" s="269"/>
      <c r="K62" s="269"/>
      <c r="L62" s="269"/>
      <c r="M62" s="269"/>
      <c r="N62" s="269"/>
      <c r="O62" s="269"/>
      <c r="P62" s="269"/>
      <c r="Q62" s="269"/>
      <c r="R62" s="269"/>
      <c r="S62" s="269"/>
      <c r="T62" s="269"/>
      <c r="U62" s="269"/>
      <c r="V62" s="269"/>
      <c r="W62" s="269"/>
      <c r="X62" s="269"/>
      <c r="Y62" s="269"/>
      <c r="Z62" s="269"/>
      <c r="AA62" s="269"/>
      <c r="AB62" s="269"/>
      <c r="AC62" s="269"/>
      <c r="AD62" s="269"/>
      <c r="AE62" s="269"/>
      <c r="AF62" s="269"/>
      <c r="AG62" s="269"/>
    </row>
    <row r="63" spans="1:33" ht="17.25" customHeight="1" outlineLevel="1">
      <c r="A63" s="894"/>
      <c r="B63" s="894"/>
      <c r="C63" s="641" t="s">
        <v>326</v>
      </c>
      <c r="D63" s="8" t="str">
        <f t="shared" si="34"/>
        <v>USD</v>
      </c>
      <c r="E63" s="287"/>
      <c r="F63" s="1036"/>
      <c r="G63" s="287"/>
      <c r="H63" s="287"/>
      <c r="I63" s="71">
        <f t="shared" si="35"/>
        <v>0</v>
      </c>
      <c r="J63" s="269"/>
      <c r="K63" s="269"/>
      <c r="L63" s="269"/>
      <c r="M63" s="269"/>
      <c r="N63" s="269"/>
      <c r="O63" s="269"/>
      <c r="P63" s="269"/>
      <c r="Q63" s="269"/>
      <c r="R63" s="269"/>
      <c r="S63" s="269"/>
      <c r="T63" s="269"/>
      <c r="U63" s="269"/>
      <c r="V63" s="269"/>
      <c r="W63" s="269"/>
      <c r="X63" s="269"/>
      <c r="Y63" s="269"/>
      <c r="Z63" s="269"/>
      <c r="AA63" s="269"/>
      <c r="AB63" s="269"/>
      <c r="AC63" s="269"/>
      <c r="AD63" s="269"/>
      <c r="AE63" s="269"/>
      <c r="AF63" s="269"/>
      <c r="AG63" s="269"/>
    </row>
    <row r="64" spans="1:33" ht="17.25" customHeight="1" outlineLevel="1">
      <c r="A64" s="894"/>
      <c r="B64" s="894"/>
      <c r="C64" s="641" t="s">
        <v>325</v>
      </c>
      <c r="D64" s="8" t="str">
        <f t="shared" si="34"/>
        <v>USD</v>
      </c>
      <c r="E64" s="287"/>
      <c r="F64" s="1036"/>
      <c r="G64" s="287"/>
      <c r="H64" s="287"/>
      <c r="I64" s="71">
        <f t="shared" si="35"/>
        <v>0</v>
      </c>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row>
    <row r="65" spans="1:33" ht="17.25" customHeight="1" outlineLevel="1">
      <c r="A65" s="894"/>
      <c r="B65" s="894"/>
      <c r="C65" s="641" t="s">
        <v>334</v>
      </c>
      <c r="D65" s="8" t="str">
        <f t="shared" si="34"/>
        <v>USD</v>
      </c>
      <c r="E65" s="287"/>
      <c r="F65" s="1036"/>
      <c r="G65" s="287"/>
      <c r="H65" s="287"/>
      <c r="I65" s="71">
        <f t="shared" si="35"/>
        <v>0</v>
      </c>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row>
    <row r="66" spans="1:33" ht="17.25" customHeight="1" outlineLevel="1">
      <c r="A66" s="894"/>
      <c r="B66" s="894"/>
      <c r="C66" s="75" t="str">
        <f>"   Subtotal "&amp;C55</f>
        <v xml:space="preserve">   Subtotal General &amp; Other Expenses</v>
      </c>
      <c r="D66" s="8" t="str">
        <f>Currency_Label</f>
        <v>USD</v>
      </c>
      <c r="E66" s="36"/>
      <c r="F66" s="36"/>
      <c r="G66" s="36"/>
      <c r="H66" s="36"/>
      <c r="I66" s="71">
        <f>SUM(J66:AG66)</f>
        <v>93450</v>
      </c>
      <c r="J66" s="715">
        <f t="shared" ref="J66:AG66" si="37">SUM(J56:J65)*J$6</f>
        <v>4450</v>
      </c>
      <c r="K66" s="715">
        <f t="shared" si="37"/>
        <v>4450</v>
      </c>
      <c r="L66" s="715">
        <f t="shared" si="37"/>
        <v>4450</v>
      </c>
      <c r="M66" s="715">
        <f t="shared" si="37"/>
        <v>4450</v>
      </c>
      <c r="N66" s="715">
        <f t="shared" si="37"/>
        <v>4450</v>
      </c>
      <c r="O66" s="715">
        <f t="shared" si="37"/>
        <v>4450</v>
      </c>
      <c r="P66" s="715">
        <f t="shared" si="37"/>
        <v>4450</v>
      </c>
      <c r="Q66" s="715">
        <f t="shared" si="37"/>
        <v>4450</v>
      </c>
      <c r="R66" s="715">
        <f t="shared" si="37"/>
        <v>4450</v>
      </c>
      <c r="S66" s="715">
        <f t="shared" si="37"/>
        <v>4450</v>
      </c>
      <c r="T66" s="715">
        <f t="shared" si="37"/>
        <v>4450</v>
      </c>
      <c r="U66" s="715">
        <f t="shared" si="37"/>
        <v>4450</v>
      </c>
      <c r="V66" s="715">
        <f t="shared" si="37"/>
        <v>4450</v>
      </c>
      <c r="W66" s="715">
        <f t="shared" si="37"/>
        <v>4450</v>
      </c>
      <c r="X66" s="715">
        <f t="shared" si="37"/>
        <v>4450</v>
      </c>
      <c r="Y66" s="715">
        <f t="shared" si="37"/>
        <v>4450</v>
      </c>
      <c r="Z66" s="715">
        <f t="shared" si="37"/>
        <v>4450</v>
      </c>
      <c r="AA66" s="715">
        <f t="shared" si="37"/>
        <v>4450</v>
      </c>
      <c r="AB66" s="715">
        <f t="shared" si="37"/>
        <v>4450</v>
      </c>
      <c r="AC66" s="715">
        <f t="shared" si="37"/>
        <v>4450</v>
      </c>
      <c r="AD66" s="715">
        <f t="shared" si="37"/>
        <v>4450</v>
      </c>
      <c r="AE66" s="715">
        <f t="shared" si="37"/>
        <v>0</v>
      </c>
      <c r="AF66" s="715">
        <f t="shared" si="37"/>
        <v>0</v>
      </c>
      <c r="AG66" s="715">
        <f t="shared" si="37"/>
        <v>0</v>
      </c>
    </row>
    <row r="67" spans="1:33" ht="17.25" customHeight="1" outlineLevel="1">
      <c r="A67" s="894"/>
      <c r="B67" s="894"/>
      <c r="C67" s="287"/>
      <c r="D67" s="287"/>
      <c r="E67" s="287"/>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E67" s="287"/>
      <c r="AF67" s="287"/>
      <c r="AG67" s="287"/>
    </row>
    <row r="68" spans="1:33" ht="17.25" customHeight="1" outlineLevel="1" thickBot="1">
      <c r="A68" s="894"/>
      <c r="B68" s="894"/>
      <c r="C68" s="268" t="str">
        <f>CHOOSE(language,"Total Overheads","Total Overhead Expenses")</f>
        <v>Total Overhead Expenses</v>
      </c>
      <c r="D68" s="412" t="str">
        <f>Currency_Label</f>
        <v>USD</v>
      </c>
      <c r="E68" s="36"/>
      <c r="F68" s="36"/>
      <c r="G68" s="36"/>
      <c r="H68" s="36"/>
      <c r="I68" s="71">
        <f>SUM(J68:AG68)</f>
        <v>1023211.2575668404</v>
      </c>
      <c r="J68" s="711">
        <f t="shared" ref="J68:AG68" si="38">J20+J31+J42+J53+J66</f>
        <v>34109.106666666667</v>
      </c>
      <c r="K68" s="711">
        <f t="shared" si="38"/>
        <v>27577.897666666668</v>
      </c>
      <c r="L68" s="711">
        <f t="shared" si="38"/>
        <v>27653.746576666668</v>
      </c>
      <c r="M68" s="711">
        <f t="shared" si="38"/>
        <v>28059.653975766669</v>
      </c>
      <c r="N68" s="711">
        <f t="shared" si="38"/>
        <v>27805.62044885767</v>
      </c>
      <c r="O68" s="711">
        <f t="shared" si="38"/>
        <v>40531.646586679577</v>
      </c>
      <c r="P68" s="711">
        <f t="shared" si="38"/>
        <v>40608.132985879711</v>
      </c>
      <c r="Q68" s="711">
        <f t="shared" si="38"/>
        <v>46654.68024907184</v>
      </c>
      <c r="R68" s="711">
        <f t="shared" si="38"/>
        <v>47110.888984895893</v>
      </c>
      <c r="S68" s="711">
        <f t="shared" si="38"/>
        <v>48949.759808078183</v>
      </c>
      <c r="T68" s="711">
        <f t="shared" si="38"/>
        <v>57956.743339492299</v>
      </c>
      <c r="U68" s="711">
        <f t="shared" si="38"/>
        <v>53338.710206220552</v>
      </c>
      <c r="V68" s="711">
        <f t="shared" si="38"/>
        <v>55086.99114161609</v>
      </c>
      <c r="W68" s="711">
        <f t="shared" si="38"/>
        <v>59873.746886365589</v>
      </c>
      <c r="X68" s="711">
        <f t="shared" si="38"/>
        <v>58951.378188562579</v>
      </c>
      <c r="Y68" s="711">
        <f t="shared" si="38"/>
        <v>60530.085803781534</v>
      </c>
      <c r="Z68" s="711">
        <f t="shared" si="38"/>
        <v>58620.070495152686</v>
      </c>
      <c r="AA68" s="711">
        <f t="shared" si="38"/>
        <v>58697.933033437541</v>
      </c>
      <c r="AB68" s="711">
        <f t="shared" si="38"/>
        <v>64803.74086377192</v>
      </c>
      <c r="AC68" s="711">
        <f t="shared" si="38"/>
        <v>63164.5614390763</v>
      </c>
      <c r="AD68" s="711">
        <f t="shared" si="38"/>
        <v>63126.16222013373</v>
      </c>
      <c r="AE68" s="711">
        <f t="shared" si="38"/>
        <v>0</v>
      </c>
      <c r="AF68" s="711">
        <f t="shared" si="38"/>
        <v>0</v>
      </c>
      <c r="AG68" s="711">
        <f t="shared" si="38"/>
        <v>0</v>
      </c>
    </row>
    <row r="69" spans="1:33" ht="17.25" customHeight="1" outlineLevel="1" thickTop="1">
      <c r="A69" s="894"/>
      <c r="B69" s="894"/>
      <c r="C69" s="287"/>
      <c r="D69" s="287"/>
      <c r="E69" s="287"/>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E69" s="287"/>
      <c r="AF69" s="287"/>
      <c r="AG69" s="287"/>
    </row>
    <row r="70" spans="1:33" ht="17.25" customHeight="1" outlineLevel="1">
      <c r="A70" s="894"/>
      <c r="B70" s="894"/>
      <c r="C70" s="287"/>
      <c r="D70" s="287"/>
      <c r="E70" s="287"/>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E70" s="287"/>
      <c r="AF70" s="287"/>
      <c r="AG70" s="287"/>
    </row>
    <row r="71" spans="1:33" ht="17.25" customHeight="1" outlineLevel="1">
      <c r="A71" s="894"/>
      <c r="B71" s="894"/>
      <c r="C71" s="279" t="str">
        <f>CHOOSE(language,Name_VAT &amp;" on Overheads",Name_VAT &amp;" on Overhead Expenses")</f>
        <v>VAT on Overhead Expenses</v>
      </c>
      <c r="D71" s="287"/>
      <c r="E71" s="287"/>
      <c r="F71" s="287"/>
      <c r="G71" s="532"/>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E71" s="287"/>
      <c r="AF71" s="287"/>
      <c r="AG71" s="287"/>
    </row>
    <row r="72" spans="1:33" ht="17.25" customHeight="1" outlineLevel="1">
      <c r="A72" s="894"/>
      <c r="B72" s="894"/>
      <c r="C72" s="24" t="str">
        <f>CHOOSE(language,"Total Overheads (w/o payroll expenses)","Total Overhead Expenses (w/o payroll expenses)")</f>
        <v>Total Overhead Expenses (w/o payroll expenses)</v>
      </c>
      <c r="D72" s="412" t="str">
        <f>Currency_Label</f>
        <v>USD</v>
      </c>
      <c r="E72" s="287" t="s">
        <v>245</v>
      </c>
      <c r="F72" s="287"/>
      <c r="G72" s="532" t="str">
        <f>Name_VAT &amp; " Rate"</f>
        <v>VAT Rate</v>
      </c>
      <c r="H72" s="287"/>
      <c r="I72" s="71">
        <f>SUM(J72:AG72)</f>
        <v>290618.50756684033</v>
      </c>
      <c r="J72" s="695">
        <f t="shared" ref="J72:AG72" si="39">J68-J12-J23-J34-J45</f>
        <v>12442.439999999999</v>
      </c>
      <c r="K72" s="695">
        <f t="shared" si="39"/>
        <v>12411.231000000003</v>
      </c>
      <c r="L72" s="695">
        <f t="shared" si="39"/>
        <v>12487.079910000004</v>
      </c>
      <c r="M72" s="695">
        <f t="shared" si="39"/>
        <v>12892.987309100001</v>
      </c>
      <c r="N72" s="695">
        <f t="shared" si="39"/>
        <v>12638.953782191002</v>
      </c>
      <c r="O72" s="695">
        <f t="shared" si="39"/>
        <v>12714.979920012909</v>
      </c>
      <c r="P72" s="695">
        <f t="shared" si="39"/>
        <v>15291.466319213043</v>
      </c>
      <c r="Q72" s="695">
        <f t="shared" si="39"/>
        <v>12938.013582405172</v>
      </c>
      <c r="R72" s="695">
        <f t="shared" si="39"/>
        <v>13394.222318229225</v>
      </c>
      <c r="S72" s="695">
        <f t="shared" si="39"/>
        <v>15233.093141411515</v>
      </c>
      <c r="T72" s="695">
        <f t="shared" si="39"/>
        <v>13309.826672825631</v>
      </c>
      <c r="U72" s="695">
        <f t="shared" si="39"/>
        <v>13691.793539553884</v>
      </c>
      <c r="V72" s="695">
        <f t="shared" si="39"/>
        <v>15440.074474949422</v>
      </c>
      <c r="W72" s="695">
        <f t="shared" si="39"/>
        <v>13566.830219698924</v>
      </c>
      <c r="X72" s="695">
        <f t="shared" si="39"/>
        <v>14144.461521895908</v>
      </c>
      <c r="Y72" s="695">
        <f t="shared" si="39"/>
        <v>15723.169137114863</v>
      </c>
      <c r="Z72" s="695">
        <f t="shared" si="39"/>
        <v>13813.153828486014</v>
      </c>
      <c r="AA72" s="695">
        <f t="shared" si="39"/>
        <v>13891.016366770869</v>
      </c>
      <c r="AB72" s="695">
        <f t="shared" si="39"/>
        <v>15970.157530438591</v>
      </c>
      <c r="AC72" s="695">
        <f t="shared" si="39"/>
        <v>14330.978105742965</v>
      </c>
      <c r="AD72" s="695">
        <f t="shared" si="39"/>
        <v>14292.578886800402</v>
      </c>
      <c r="AE72" s="695">
        <f t="shared" si="39"/>
        <v>0</v>
      </c>
      <c r="AF72" s="695">
        <f t="shared" si="39"/>
        <v>0</v>
      </c>
      <c r="AG72" s="695">
        <f t="shared" si="39"/>
        <v>0</v>
      </c>
    </row>
    <row r="73" spans="1:33" ht="17.25" customHeight="1" outlineLevel="1">
      <c r="A73" s="894"/>
      <c r="B73" s="894"/>
      <c r="C73" s="24" t="str">
        <f>CHOOSE(language,Name_VAT &amp;" on Overheads",Name_VAT &amp;" on Overhead Expenses")</f>
        <v>VAT on Overhead Expenses</v>
      </c>
      <c r="D73" s="8" t="str">
        <f t="shared" ref="D73" si="40">Currency_Label</f>
        <v>USD</v>
      </c>
      <c r="E73" s="85">
        <f>Inputs!F191</f>
        <v>0.7</v>
      </c>
      <c r="F73" s="346"/>
      <c r="G73" s="85">
        <f>Inputs!I191</f>
        <v>0.2</v>
      </c>
      <c r="H73" s="346"/>
      <c r="I73" s="71">
        <f>SUM(J73:AG73)</f>
        <v>40686.591059357648</v>
      </c>
      <c r="J73" s="715">
        <f>$E73*$G73*J72</f>
        <v>1741.9415999999997</v>
      </c>
      <c r="K73" s="715">
        <f t="shared" ref="K73:AG73" si="41">$E73*$G73*K72</f>
        <v>1737.5723400000004</v>
      </c>
      <c r="L73" s="715">
        <f t="shared" si="41"/>
        <v>1748.1911874000004</v>
      </c>
      <c r="M73" s="715">
        <f t="shared" si="41"/>
        <v>1805.0182232739999</v>
      </c>
      <c r="N73" s="715">
        <f t="shared" si="41"/>
        <v>1769.4535295067401</v>
      </c>
      <c r="O73" s="715">
        <f t="shared" si="41"/>
        <v>1780.0971888018071</v>
      </c>
      <c r="P73" s="715">
        <f t="shared" si="41"/>
        <v>2140.8052846898258</v>
      </c>
      <c r="Q73" s="715">
        <f t="shared" si="41"/>
        <v>1811.321901536724</v>
      </c>
      <c r="R73" s="715">
        <f t="shared" si="41"/>
        <v>1875.1911245520914</v>
      </c>
      <c r="S73" s="715">
        <f t="shared" si="41"/>
        <v>2132.6330397976117</v>
      </c>
      <c r="T73" s="715">
        <f t="shared" si="41"/>
        <v>1863.3757341955882</v>
      </c>
      <c r="U73" s="715">
        <f t="shared" si="41"/>
        <v>1916.8510955375436</v>
      </c>
      <c r="V73" s="715">
        <f t="shared" si="41"/>
        <v>2161.610426492919</v>
      </c>
      <c r="W73" s="715">
        <f t="shared" si="41"/>
        <v>1899.3562307578493</v>
      </c>
      <c r="X73" s="715">
        <f t="shared" si="41"/>
        <v>1980.2246130654269</v>
      </c>
      <c r="Y73" s="715">
        <f t="shared" si="41"/>
        <v>2201.2436791960804</v>
      </c>
      <c r="Z73" s="715">
        <f t="shared" si="41"/>
        <v>1933.8415359880419</v>
      </c>
      <c r="AA73" s="715">
        <f t="shared" si="41"/>
        <v>1944.7422913479215</v>
      </c>
      <c r="AB73" s="715">
        <f t="shared" si="41"/>
        <v>2235.8220542614026</v>
      </c>
      <c r="AC73" s="715">
        <f t="shared" si="41"/>
        <v>2006.3369348040148</v>
      </c>
      <c r="AD73" s="715">
        <f t="shared" si="41"/>
        <v>2000.961044152056</v>
      </c>
      <c r="AE73" s="715">
        <f t="shared" si="41"/>
        <v>0</v>
      </c>
      <c r="AF73" s="715">
        <f t="shared" si="41"/>
        <v>0</v>
      </c>
      <c r="AG73" s="715">
        <f t="shared" si="41"/>
        <v>0</v>
      </c>
    </row>
    <row r="74" spans="1:33" ht="17.25" customHeight="1" outlineLevel="1">
      <c r="A74" s="894"/>
      <c r="B74" s="894"/>
      <c r="C74" s="287"/>
      <c r="D74" s="287"/>
      <c r="E74" s="287"/>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E74" s="287"/>
      <c r="AF74" s="287"/>
      <c r="AG74" s="287"/>
    </row>
    <row r="75" spans="1:33" ht="17.25" customHeight="1">
      <c r="A75" s="894"/>
      <c r="B75" s="894"/>
      <c r="C75" s="287"/>
      <c r="D75" s="287"/>
      <c r="E75" s="287"/>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E75" s="287"/>
      <c r="AF75" s="287"/>
      <c r="AG75" s="287"/>
    </row>
    <row r="76" spans="1:33" ht="17.25" customHeight="1">
      <c r="A76" s="894"/>
      <c r="B76" s="894"/>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E76" s="287"/>
      <c r="AF76" s="287"/>
      <c r="AG76" s="287"/>
    </row>
    <row r="77" spans="1:33" s="911" customFormat="1" ht="17.25" customHeight="1">
      <c r="A77" s="894"/>
      <c r="B77" s="894"/>
      <c r="C77" s="894"/>
      <c r="D77" s="894"/>
      <c r="E77" s="894"/>
      <c r="F77" s="894"/>
      <c r="G77" s="894"/>
      <c r="H77" s="894"/>
      <c r="I77" s="894"/>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row>
    <row r="78" spans="1:33" s="911" customFormat="1" ht="17.25" customHeight="1">
      <c r="A78" s="894"/>
      <c r="B78" s="894"/>
      <c r="C78" s="894"/>
      <c r="D78" s="894"/>
      <c r="E78" s="894"/>
      <c r="F78" s="894"/>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row>
    <row r="79" spans="1:33" s="911" customFormat="1" ht="17.25" customHeight="1">
      <c r="A79" s="894"/>
      <c r="B79" s="894"/>
      <c r="C79" s="894"/>
      <c r="D79" s="894"/>
      <c r="E79" s="894"/>
      <c r="F79" s="894"/>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row>
    <row r="80" spans="1:33" s="911" customFormat="1" ht="17.25" customHeight="1">
      <c r="A80" s="894"/>
      <c r="B80" s="894"/>
      <c r="C80" s="894"/>
      <c r="D80" s="894"/>
      <c r="E80" s="894"/>
      <c r="F80" s="894"/>
      <c r="G80" s="894"/>
      <c r="H80" s="894"/>
      <c r="I80" s="894"/>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row>
    <row r="81" spans="1:33" s="911" customFormat="1" ht="17.25" customHeight="1">
      <c r="A81" s="894"/>
      <c r="B81" s="894"/>
      <c r="C81" s="894"/>
      <c r="D81" s="894"/>
      <c r="E81" s="894"/>
      <c r="F81" s="894"/>
      <c r="G81" s="894"/>
      <c r="H81" s="894"/>
      <c r="I81" s="894"/>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row>
    <row r="82" spans="1:33" s="911" customFormat="1" ht="17.25" customHeight="1">
      <c r="A82" s="894"/>
      <c r="B82" s="894"/>
      <c r="C82" s="894"/>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row>
    <row r="83" spans="1:33" s="911" customFormat="1" ht="17.25" customHeight="1">
      <c r="A83" s="894"/>
      <c r="B83" s="894"/>
      <c r="C83" s="894"/>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row>
    <row r="84" spans="1:33" s="911" customFormat="1" ht="17.25" customHeight="1">
      <c r="A84" s="894"/>
      <c r="B84" s="894"/>
      <c r="C84" s="894"/>
      <c r="D84" s="894"/>
      <c r="E84" s="894"/>
      <c r="F84" s="894"/>
      <c r="G84" s="894"/>
      <c r="H84" s="894"/>
      <c r="I84" s="894"/>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row>
    <row r="85" spans="1:33" ht="17.25" customHeight="1">
      <c r="A85" s="894"/>
      <c r="B85" s="894"/>
      <c r="C85" s="287"/>
      <c r="D85" s="287"/>
      <c r="E85" s="287"/>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7"/>
      <c r="AG85" s="287"/>
    </row>
    <row r="86" spans="1:33" ht="17.25" customHeight="1">
      <c r="A86" s="894"/>
      <c r="B86" s="894"/>
      <c r="C86" s="287"/>
      <c r="D86" s="287"/>
      <c r="E86" s="287"/>
      <c r="F86" s="287"/>
      <c r="G86" s="287"/>
      <c r="H86" s="287"/>
      <c r="I86" s="287"/>
      <c r="J86" s="287"/>
      <c r="K86" s="287"/>
      <c r="L86" s="241"/>
      <c r="M86" s="241"/>
      <c r="N86" s="241"/>
      <c r="O86" s="241"/>
      <c r="P86" s="241"/>
      <c r="Q86" s="241"/>
      <c r="R86" s="241"/>
      <c r="S86" s="241"/>
      <c r="T86" s="241"/>
      <c r="U86" s="241"/>
      <c r="V86" s="241"/>
      <c r="W86" s="241"/>
      <c r="X86" s="241"/>
      <c r="Y86" s="241"/>
      <c r="Z86" s="241"/>
      <c r="AA86" s="241"/>
      <c r="AB86" s="241"/>
      <c r="AC86" s="241"/>
      <c r="AD86" s="241"/>
      <c r="AE86" s="241"/>
      <c r="AF86" s="241"/>
      <c r="AG86" s="241"/>
    </row>
    <row r="87" spans="1:33" ht="17.25" customHeight="1">
      <c r="A87" s="894"/>
      <c r="B87" s="894"/>
      <c r="C87" s="241"/>
      <c r="D87" s="241"/>
      <c r="E87" s="241"/>
      <c r="F87" s="287"/>
      <c r="G87" s="287"/>
      <c r="H87" s="287"/>
      <c r="I87" s="287"/>
      <c r="J87" s="287"/>
      <c r="K87" s="287"/>
      <c r="L87" s="287"/>
      <c r="M87" s="287"/>
      <c r="N87" s="287"/>
      <c r="O87" s="287"/>
      <c r="P87" s="241"/>
      <c r="Q87" s="241"/>
      <c r="R87" s="241"/>
      <c r="S87" s="241"/>
      <c r="T87" s="241"/>
      <c r="U87" s="241"/>
      <c r="V87" s="241"/>
      <c r="W87" s="241"/>
      <c r="X87" s="241"/>
      <c r="Y87" s="241"/>
      <c r="Z87" s="241"/>
      <c r="AA87" s="241"/>
      <c r="AB87" s="241"/>
      <c r="AC87" s="241"/>
      <c r="AD87" s="241"/>
      <c r="AE87" s="241"/>
      <c r="AF87" s="241"/>
      <c r="AG87" s="241"/>
    </row>
    <row r="88" spans="1:33" ht="17.25" customHeight="1">
      <c r="A88" s="894"/>
      <c r="B88" s="287"/>
      <c r="C88" s="287"/>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row>
    <row r="89" spans="1:33" ht="17.25" customHeight="1">
      <c r="A89" s="894"/>
      <c r="B89" s="287"/>
      <c r="C89" s="287"/>
      <c r="D89" s="287"/>
      <c r="E89" s="287"/>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row>
    <row r="90" spans="1:33" ht="17.25" customHeight="1">
      <c r="A90" s="287"/>
      <c r="B90" s="287"/>
      <c r="C90" s="287"/>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row>
    <row r="91" spans="1:33" ht="17.25" customHeight="1">
      <c r="A91" s="287"/>
      <c r="B91" s="287"/>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E91" s="287"/>
      <c r="AF91" s="287"/>
      <c r="AG91" s="287"/>
    </row>
    <row r="92" spans="1:33" ht="17.25" customHeight="1">
      <c r="A92" s="287"/>
      <c r="B92" s="287"/>
      <c r="C92" s="287"/>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row>
    <row r="93" spans="1:33" ht="17.25" customHeight="1"/>
    <row r="94" spans="1:33" ht="17.25" customHeight="1"/>
    <row r="95" spans="1:33" ht="17.25" customHeight="1"/>
    <row r="96" spans="1:33"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sheetData>
  <sheetProtection password="F66A" sheet="1"/>
  <conditionalFormatting sqref="D3">
    <cfRule type="cellIs" dxfId="259" priority="72" operator="notEqual">
      <formula>0</formula>
    </cfRule>
  </conditionalFormatting>
  <conditionalFormatting sqref="J56:AG65 J24:AG30 J35:AG41 J46:AG52 J13:AG19">
    <cfRule type="expression" dxfId="258" priority="54" stopIfTrue="1">
      <formula>J$6=0</formula>
    </cfRule>
  </conditionalFormatting>
  <conditionalFormatting sqref="K6:L6">
    <cfRule type="cellIs" dxfId="257" priority="9" stopIfTrue="1" operator="equal">
      <formula>1</formula>
    </cfRule>
  </conditionalFormatting>
  <conditionalFormatting sqref="J4">
    <cfRule type="expression" dxfId="256" priority="8" stopIfTrue="1">
      <formula>J$6=1</formula>
    </cfRule>
  </conditionalFormatting>
  <conditionalFormatting sqref="M6:Q6">
    <cfRule type="cellIs" dxfId="255" priority="7" stopIfTrue="1" operator="equal">
      <formula>1</formula>
    </cfRule>
  </conditionalFormatting>
  <conditionalFormatting sqref="J5">
    <cfRule type="expression" dxfId="254" priority="6" stopIfTrue="1">
      <formula>J$6=1</formula>
    </cfRule>
  </conditionalFormatting>
  <conditionalFormatting sqref="R6:AG6">
    <cfRule type="cellIs" dxfId="253" priority="5" stopIfTrue="1" operator="equal">
      <formula>1</formula>
    </cfRule>
  </conditionalFormatting>
  <conditionalFormatting sqref="J6:AG6">
    <cfRule type="cellIs" dxfId="252" priority="4" stopIfTrue="1" operator="equal">
      <formula>1</formula>
    </cfRule>
  </conditionalFormatting>
  <conditionalFormatting sqref="K4:AG4">
    <cfRule type="expression" dxfId="251" priority="3" stopIfTrue="1">
      <formula>K$6=1</formula>
    </cfRule>
  </conditionalFormatting>
  <conditionalFormatting sqref="L5:AG5">
    <cfRule type="expression" dxfId="250" priority="2" stopIfTrue="1">
      <formula>L$6=1</formula>
    </cfRule>
  </conditionalFormatting>
  <conditionalFormatting sqref="K5:AG5">
    <cfRule type="expression" dxfId="249" priority="1" stopIfTrue="1">
      <formula>K$6=1</formula>
    </cfRule>
  </conditionalFormatting>
  <dataValidations count="1">
    <dataValidation type="whole" allowBlank="1" showInputMessage="1" showErrorMessage="1" errorTitle="Error" error="0 for immediate cash payment or_x000a_Integers from 1 to 4 (credit periods)_x000a_=&gt; Maximum 4 months!" sqref="F24:F30 F56:F65 F46:F52 F13:F19 F35:F41">
      <formula1>0</formula1>
      <formula2>4</formula2>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Invest_Afa">
    <tabColor rgb="FFFFFF00"/>
    <pageSetUpPr autoPageBreaks="0"/>
  </sheetPr>
  <dimension ref="A1:NE244"/>
  <sheetViews>
    <sheetView showGridLines="0" zoomScaleNormal="100"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2"/>
  <cols>
    <col min="1" max="2" width="4.140625" style="117" customWidth="1"/>
    <col min="3" max="3" width="50.7109375" style="117" customWidth="1"/>
    <col min="4" max="4" width="13" style="117" customWidth="1"/>
    <col min="5" max="5" width="13.28515625" style="117" customWidth="1"/>
    <col min="6" max="6" width="12.28515625" style="117" customWidth="1"/>
    <col min="7" max="7" width="10.28515625" style="117" customWidth="1"/>
    <col min="8" max="8" width="11.5703125" style="117" customWidth="1"/>
    <col min="9" max="33" width="11.42578125" style="117" customWidth="1"/>
    <col min="34" max="369" width="0" style="117" hidden="1" customWidth="1"/>
    <col min="370" max="16384" width="11.42578125" style="117" hidden="1"/>
  </cols>
  <sheetData>
    <row r="1" spans="1:33" ht="20.25">
      <c r="A1" s="41" t="s">
        <v>442</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c r="A7" s="894"/>
      <c r="B7" s="241"/>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8" spans="1:33" s="130" customFormat="1" ht="24" thickBot="1">
      <c r="A8" s="441"/>
      <c r="B8" s="441"/>
      <c r="C8" s="441" t="s">
        <v>457</v>
      </c>
      <c r="D8" s="441"/>
      <c r="E8" s="441"/>
      <c r="F8" s="441"/>
      <c r="G8" s="441"/>
      <c r="H8" s="441"/>
      <c r="I8" s="441"/>
      <c r="J8" s="441"/>
      <c r="K8" s="441"/>
      <c r="L8" s="441"/>
      <c r="M8" s="441"/>
      <c r="N8" s="441"/>
      <c r="O8" s="441"/>
      <c r="P8" s="441"/>
      <c r="Q8" s="441"/>
      <c r="R8" s="441"/>
      <c r="S8" s="441"/>
      <c r="T8" s="441"/>
      <c r="U8" s="441"/>
      <c r="V8" s="441"/>
      <c r="W8" s="441"/>
      <c r="X8" s="441"/>
      <c r="Y8" s="441"/>
      <c r="Z8" s="441"/>
      <c r="AA8" s="441"/>
      <c r="AB8" s="441"/>
      <c r="AC8" s="441"/>
      <c r="AD8" s="441"/>
      <c r="AE8" s="441"/>
      <c r="AF8" s="441"/>
      <c r="AG8" s="441"/>
    </row>
    <row r="9" spans="1:33" ht="22.5" customHeight="1">
      <c r="A9" s="279"/>
      <c r="B9" s="279" t="s">
        <v>41</v>
      </c>
      <c r="C9" s="279" t="s">
        <v>401</v>
      </c>
      <c r="D9" s="442"/>
      <c r="E9" s="434"/>
      <c r="F9" s="434"/>
      <c r="G9" s="434"/>
      <c r="H9" s="434"/>
      <c r="I9" s="434"/>
      <c r="J9" s="434"/>
      <c r="K9" s="434"/>
      <c r="L9" s="434"/>
      <c r="M9" s="434"/>
      <c r="N9" s="432"/>
      <c r="O9" s="432"/>
      <c r="P9" s="432"/>
      <c r="Q9" s="432"/>
      <c r="R9" s="432"/>
      <c r="S9" s="432"/>
      <c r="T9" s="432"/>
      <c r="U9" s="432"/>
      <c r="V9" s="432"/>
      <c r="W9" s="432"/>
      <c r="X9" s="432"/>
      <c r="Y9" s="432"/>
      <c r="Z9" s="432"/>
      <c r="AA9" s="432"/>
      <c r="AB9" s="432"/>
      <c r="AC9" s="432"/>
      <c r="AD9" s="432"/>
      <c r="AE9" s="432"/>
      <c r="AF9" s="432"/>
      <c r="AG9" s="432"/>
    </row>
    <row r="10" spans="1:33" s="649" customFormat="1" ht="16.5" customHeight="1" outlineLevel="1">
      <c r="A10" s="434"/>
      <c r="B10" s="735" t="s">
        <v>40</v>
      </c>
      <c r="C10" s="732" t="str">
        <f>"Purchases: "&amp;C9</f>
        <v>Purchases: Intangible Assets</v>
      </c>
      <c r="D10" s="736"/>
      <c r="E10" s="528" t="s">
        <v>461</v>
      </c>
      <c r="F10" s="748">
        <v>1</v>
      </c>
      <c r="G10" s="641" t="s">
        <v>378</v>
      </c>
      <c r="H10" s="85">
        <f>VLOOKUP(G10,Inputs!$C$182:$F$185,4,FALSE)</f>
        <v>0</v>
      </c>
      <c r="I10" s="449"/>
      <c r="J10" s="734"/>
      <c r="K10" s="445"/>
      <c r="L10" s="432"/>
      <c r="M10" s="432"/>
      <c r="N10" s="432"/>
      <c r="O10" s="432"/>
      <c r="P10" s="432"/>
      <c r="Q10" s="432"/>
      <c r="R10" s="432"/>
      <c r="S10" s="432"/>
      <c r="T10" s="432"/>
      <c r="U10" s="432"/>
      <c r="V10" s="432"/>
      <c r="W10" s="432"/>
      <c r="X10" s="432"/>
      <c r="Y10" s="432"/>
      <c r="Z10" s="432"/>
      <c r="AA10" s="432"/>
      <c r="AB10" s="432"/>
      <c r="AC10" s="432"/>
      <c r="AD10" s="432"/>
      <c r="AE10" s="432"/>
      <c r="AF10" s="432"/>
      <c r="AG10" s="432"/>
    </row>
    <row r="11" spans="1:33" s="649" customFormat="1" ht="16.5" customHeight="1" outlineLevel="1">
      <c r="A11" s="434"/>
      <c r="B11" s="434"/>
      <c r="C11" s="641" t="s">
        <v>443</v>
      </c>
      <c r="D11" s="436" t="str">
        <f t="shared" ref="D11:D16" si="0">Currency_Label</f>
        <v>USD</v>
      </c>
      <c r="E11" s="681"/>
      <c r="F11" s="681"/>
      <c r="G11" s="681"/>
      <c r="H11" s="681"/>
      <c r="I11" s="71">
        <f t="shared" ref="I11:I16" si="1">SUMPRODUCT((J$6:AG$6),(J11:AG11))</f>
        <v>75000</v>
      </c>
      <c r="J11" s="269">
        <v>75000</v>
      </c>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row>
    <row r="12" spans="1:33" s="649" customFormat="1" ht="16.5" customHeight="1" outlineLevel="1">
      <c r="A12" s="434"/>
      <c r="B12" s="434"/>
      <c r="C12" s="641" t="s">
        <v>444</v>
      </c>
      <c r="D12" s="436" t="str">
        <f t="shared" si="0"/>
        <v>USD</v>
      </c>
      <c r="E12" s="681"/>
      <c r="F12" s="681"/>
      <c r="G12" s="681"/>
      <c r="H12" s="681"/>
      <c r="I12" s="71">
        <f t="shared" si="1"/>
        <v>0</v>
      </c>
      <c r="J12" s="269"/>
      <c r="K12" s="269"/>
      <c r="L12" s="269"/>
      <c r="M12" s="269"/>
      <c r="N12" s="269"/>
      <c r="O12" s="269"/>
      <c r="P12" s="269"/>
      <c r="Q12" s="269"/>
      <c r="R12" s="269"/>
      <c r="S12" s="269"/>
      <c r="T12" s="269"/>
      <c r="U12" s="269"/>
      <c r="V12" s="269"/>
      <c r="W12" s="269"/>
      <c r="X12" s="269"/>
      <c r="Y12" s="269"/>
      <c r="Z12" s="269"/>
      <c r="AA12" s="269"/>
      <c r="AB12" s="269"/>
      <c r="AC12" s="269"/>
      <c r="AD12" s="269"/>
      <c r="AE12" s="269"/>
      <c r="AF12" s="269"/>
      <c r="AG12" s="269"/>
    </row>
    <row r="13" spans="1:33" s="649" customFormat="1" ht="16.5" customHeight="1" outlineLevel="1">
      <c r="A13" s="434"/>
      <c r="B13" s="434"/>
      <c r="C13" s="641" t="s">
        <v>445</v>
      </c>
      <c r="D13" s="436" t="str">
        <f t="shared" si="0"/>
        <v>USD</v>
      </c>
      <c r="E13" s="681"/>
      <c r="F13" s="681"/>
      <c r="G13" s="681"/>
      <c r="H13" s="681"/>
      <c r="I13" s="71">
        <f t="shared" si="1"/>
        <v>0</v>
      </c>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row>
    <row r="14" spans="1:33" s="649" customFormat="1" ht="16.5" customHeight="1" outlineLevel="1">
      <c r="A14" s="434"/>
      <c r="B14" s="434"/>
      <c r="C14" s="641" t="s">
        <v>446</v>
      </c>
      <c r="D14" s="436" t="str">
        <f t="shared" si="0"/>
        <v>USD</v>
      </c>
      <c r="E14" s="681"/>
      <c r="F14" s="681"/>
      <c r="G14" s="681"/>
      <c r="H14" s="681"/>
      <c r="I14" s="71">
        <f t="shared" si="1"/>
        <v>0</v>
      </c>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row>
    <row r="15" spans="1:33" s="649" customFormat="1" ht="16.5" customHeight="1" outlineLevel="1">
      <c r="A15" s="434"/>
      <c r="B15" s="434"/>
      <c r="C15" s="641" t="s">
        <v>447</v>
      </c>
      <c r="D15" s="436" t="str">
        <f t="shared" si="0"/>
        <v>USD</v>
      </c>
      <c r="E15" s="681"/>
      <c r="F15" s="681"/>
      <c r="G15" s="681"/>
      <c r="H15" s="681"/>
      <c r="I15" s="71">
        <f t="shared" si="1"/>
        <v>0</v>
      </c>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row>
    <row r="16" spans="1:33" s="649" customFormat="1" ht="16.5" customHeight="1" outlineLevel="1">
      <c r="A16" s="434"/>
      <c r="B16" s="434"/>
      <c r="C16" s="435" t="s">
        <v>448</v>
      </c>
      <c r="D16" s="436" t="str">
        <f t="shared" si="0"/>
        <v>USD</v>
      </c>
      <c r="E16" s="681"/>
      <c r="F16" s="681"/>
      <c r="G16" s="681"/>
      <c r="H16" s="681"/>
      <c r="I16" s="71">
        <f t="shared" si="1"/>
        <v>75000</v>
      </c>
      <c r="J16" s="741">
        <f>SUM(J11:J15)*J$6</f>
        <v>75000</v>
      </c>
      <c r="K16" s="741">
        <f t="shared" ref="K16:M16" si="2">SUM(K11:K15)*K$6</f>
        <v>0</v>
      </c>
      <c r="L16" s="741">
        <f t="shared" si="2"/>
        <v>0</v>
      </c>
      <c r="M16" s="741">
        <f t="shared" si="2"/>
        <v>0</v>
      </c>
      <c r="N16" s="741">
        <f t="shared" ref="N16" si="3">SUM(N11:N15)*N$6</f>
        <v>0</v>
      </c>
      <c r="O16" s="741">
        <f t="shared" ref="O16" si="4">SUM(O11:O15)*O$6</f>
        <v>0</v>
      </c>
      <c r="P16" s="741">
        <f t="shared" ref="P16" si="5">SUM(P11:P15)*P$6</f>
        <v>0</v>
      </c>
      <c r="Q16" s="741">
        <f t="shared" ref="Q16" si="6">SUM(Q11:Q15)*Q$6</f>
        <v>0</v>
      </c>
      <c r="R16" s="741">
        <f t="shared" ref="R16" si="7">SUM(R11:R15)*R$6</f>
        <v>0</v>
      </c>
      <c r="S16" s="741">
        <f t="shared" ref="S16" si="8">SUM(S11:S15)*S$6</f>
        <v>0</v>
      </c>
      <c r="T16" s="741">
        <f t="shared" ref="T16" si="9">SUM(T11:T15)*T$6</f>
        <v>0</v>
      </c>
      <c r="U16" s="741">
        <f t="shared" ref="U16" si="10">SUM(U11:U15)*U$6</f>
        <v>0</v>
      </c>
      <c r="V16" s="741">
        <f t="shared" ref="V16" si="11">SUM(V11:V15)*V$6</f>
        <v>0</v>
      </c>
      <c r="W16" s="741">
        <f t="shared" ref="W16" si="12">SUM(W11:W15)*W$6</f>
        <v>0</v>
      </c>
      <c r="X16" s="741">
        <f t="shared" ref="X16" si="13">SUM(X11:X15)*X$6</f>
        <v>0</v>
      </c>
      <c r="Y16" s="741">
        <f t="shared" ref="Y16" si="14">SUM(Y11:Y15)*Y$6</f>
        <v>0</v>
      </c>
      <c r="Z16" s="741">
        <f t="shared" ref="Z16" si="15">SUM(Z11:Z15)*Z$6</f>
        <v>0</v>
      </c>
      <c r="AA16" s="741">
        <f t="shared" ref="AA16" si="16">SUM(AA11:AA15)*AA$6</f>
        <v>0</v>
      </c>
      <c r="AB16" s="741">
        <f t="shared" ref="AB16" si="17">SUM(AB11:AB15)*AB$6</f>
        <v>0</v>
      </c>
      <c r="AC16" s="741">
        <f t="shared" ref="AC16" si="18">SUM(AC11:AC15)*AC$6</f>
        <v>0</v>
      </c>
      <c r="AD16" s="741">
        <f t="shared" ref="AD16" si="19">SUM(AD11:AD15)*AD$6</f>
        <v>0</v>
      </c>
      <c r="AE16" s="741">
        <f t="shared" ref="AE16" si="20">SUM(AE11:AE15)*AE$6</f>
        <v>0</v>
      </c>
      <c r="AF16" s="741">
        <f t="shared" ref="AF16" si="21">SUM(AF11:AF15)*AF$6</f>
        <v>0</v>
      </c>
      <c r="AG16" s="741">
        <f t="shared" ref="AG16" si="22">SUM(AG11:AG15)*AG$6</f>
        <v>0</v>
      </c>
    </row>
    <row r="17" spans="1:33" s="649" customFormat="1" ht="16.5" customHeight="1" outlineLevel="2">
      <c r="A17" s="434"/>
      <c r="B17" s="735" t="s">
        <v>42</v>
      </c>
      <c r="C17" s="732" t="str">
        <f>CHOOSE(language,"Amortisation: "&amp;C9,"Amortization: "&amp;C9)</f>
        <v>Amortization: Intangible Assets</v>
      </c>
      <c r="D17" s="681"/>
      <c r="E17" s="681"/>
      <c r="F17" s="681"/>
      <c r="G17" s="681"/>
      <c r="H17" s="445"/>
      <c r="I17" s="445"/>
      <c r="J17" s="445"/>
      <c r="K17" s="445"/>
      <c r="L17" s="432"/>
      <c r="M17" s="432"/>
      <c r="N17" s="432"/>
      <c r="O17" s="432"/>
      <c r="P17" s="432"/>
      <c r="Q17" s="432"/>
      <c r="R17" s="432"/>
      <c r="S17" s="432"/>
      <c r="T17" s="432"/>
      <c r="U17" s="432"/>
      <c r="V17" s="432"/>
      <c r="W17" s="432"/>
      <c r="X17" s="432"/>
      <c r="Y17" s="432"/>
      <c r="Z17" s="432"/>
      <c r="AA17" s="432"/>
      <c r="AB17" s="432"/>
      <c r="AC17" s="432"/>
      <c r="AD17" s="432"/>
      <c r="AE17" s="432"/>
      <c r="AF17" s="432"/>
      <c r="AG17" s="432"/>
    </row>
    <row r="18" spans="1:33" s="649" customFormat="1" ht="16.5" customHeight="1" outlineLevel="2">
      <c r="A18" s="434"/>
      <c r="B18" s="434"/>
      <c r="C18" s="435" t="s">
        <v>449</v>
      </c>
      <c r="D18" s="436" t="str">
        <f>Currency_Label</f>
        <v>USD</v>
      </c>
      <c r="E18" s="681"/>
      <c r="F18" s="688" t="s">
        <v>450</v>
      </c>
      <c r="G18" s="688" t="s">
        <v>30</v>
      </c>
      <c r="H18" s="528"/>
      <c r="I18" s="147">
        <f>Inputs!F223</f>
        <v>2000</v>
      </c>
      <c r="J18" s="357">
        <f t="shared" ref="J18:M18" si="23">(I18+J16+J22+J24-J29)*J$6</f>
        <v>77000</v>
      </c>
      <c r="K18" s="357">
        <f t="shared" si="23"/>
        <v>77000</v>
      </c>
      <c r="L18" s="357">
        <f t="shared" si="23"/>
        <v>77000</v>
      </c>
      <c r="M18" s="357">
        <f t="shared" si="23"/>
        <v>77000</v>
      </c>
      <c r="N18" s="357">
        <f t="shared" ref="N18:AG18" si="24">(M18+N16+N22+N24-N29)*N$6</f>
        <v>77000</v>
      </c>
      <c r="O18" s="357">
        <f t="shared" si="24"/>
        <v>77000</v>
      </c>
      <c r="P18" s="357">
        <f t="shared" si="24"/>
        <v>77000</v>
      </c>
      <c r="Q18" s="357">
        <f t="shared" si="24"/>
        <v>77000</v>
      </c>
      <c r="R18" s="357">
        <f t="shared" si="24"/>
        <v>77000</v>
      </c>
      <c r="S18" s="357">
        <f t="shared" si="24"/>
        <v>77000</v>
      </c>
      <c r="T18" s="357">
        <f t="shared" si="24"/>
        <v>77000</v>
      </c>
      <c r="U18" s="357">
        <f t="shared" si="24"/>
        <v>77000</v>
      </c>
      <c r="V18" s="357">
        <f t="shared" si="24"/>
        <v>77000</v>
      </c>
      <c r="W18" s="357">
        <f t="shared" si="24"/>
        <v>77000</v>
      </c>
      <c r="X18" s="357">
        <f t="shared" si="24"/>
        <v>77000</v>
      </c>
      <c r="Y18" s="357">
        <f t="shared" si="24"/>
        <v>77000</v>
      </c>
      <c r="Z18" s="357">
        <f t="shared" si="24"/>
        <v>77000</v>
      </c>
      <c r="AA18" s="357">
        <f t="shared" si="24"/>
        <v>77000</v>
      </c>
      <c r="AB18" s="357">
        <f t="shared" si="24"/>
        <v>77000</v>
      </c>
      <c r="AC18" s="357">
        <f t="shared" si="24"/>
        <v>77000</v>
      </c>
      <c r="AD18" s="357">
        <f t="shared" si="24"/>
        <v>77000</v>
      </c>
      <c r="AE18" s="357">
        <f t="shared" si="24"/>
        <v>0</v>
      </c>
      <c r="AF18" s="357">
        <f t="shared" si="24"/>
        <v>0</v>
      </c>
      <c r="AG18" s="357">
        <f t="shared" si="24"/>
        <v>0</v>
      </c>
    </row>
    <row r="19" spans="1:33" s="649" customFormat="1" ht="16.5" customHeight="1" outlineLevel="2">
      <c r="A19" s="434"/>
      <c r="B19" s="434"/>
      <c r="C19" s="435" t="str">
        <f>CHOOSE(language,"Amortisation per period","Amortization per period")</f>
        <v>Amortization per period</v>
      </c>
      <c r="D19" s="436" t="str">
        <f>Currency_Label</f>
        <v>USD</v>
      </c>
      <c r="E19" s="681"/>
      <c r="F19" s="744">
        <v>120</v>
      </c>
      <c r="G19" s="746">
        <f>IF(F19=0,0,1/F19)</f>
        <v>8.3333333333333332E-3</v>
      </c>
      <c r="H19" s="685">
        <f>IF(ABS(MIN($J19:$AG19))&gt;0.01,1,0)</f>
        <v>0</v>
      </c>
      <c r="I19" s="71">
        <f>SUM(J19:AG19)</f>
        <v>12849.999999999996</v>
      </c>
      <c r="J19" s="742">
        <f t="shared" ref="J19" si="25">IF(I18-I20&lt;IF($F20=1,$G19*I18,(I18-I20)*2*$G19),I18-I20,IF($F20=1,$G19*I18,(I18-I20)*2*$G19))*J$6</f>
        <v>16.666666666666668</v>
      </c>
      <c r="K19" s="742">
        <f t="shared" ref="K19" si="26">IF(J18-J20&lt;IF($F20=1,$G19*J18,(J18-J20)*2*$G19),J18-J20,IF($F20=1,$G19*J18,(J18-J20)*2*$G19))*K$6</f>
        <v>641.66666666666663</v>
      </c>
      <c r="L19" s="742">
        <f t="shared" ref="L19" si="27">IF(K18-K20&lt;IF($F20=1,$G19*K18,(K18-K20)*2*$G19),K18-K20,IF($F20=1,$G19*K18,(K18-K20)*2*$G19))*L$6</f>
        <v>641.66666666666663</v>
      </c>
      <c r="M19" s="742">
        <f t="shared" ref="M19" si="28">IF(L18-L20&lt;IF($F20=1,$G19*L18,(L18-L20)*2*$G19),L18-L20,IF($F20=1,$G19*L18,(L18-L20)*2*$G19))*M$6</f>
        <v>641.66666666666663</v>
      </c>
      <c r="N19" s="742">
        <f t="shared" ref="N19" si="29">IF(M18-M20&lt;IF($F20=1,$G19*M18,(M18-M20)*2*$G19),M18-M20,IF($F20=1,$G19*M18,(M18-M20)*2*$G19))*N$6</f>
        <v>641.66666666666663</v>
      </c>
      <c r="O19" s="742">
        <f t="shared" ref="O19" si="30">IF(N18-N20&lt;IF($F20=1,$G19*N18,(N18-N20)*2*$G19),N18-N20,IF($F20=1,$G19*N18,(N18-N20)*2*$G19))*O$6</f>
        <v>641.66666666666663</v>
      </c>
      <c r="P19" s="742">
        <f t="shared" ref="P19" si="31">IF(O18-O20&lt;IF($F20=1,$G19*O18,(O18-O20)*2*$G19),O18-O20,IF($F20=1,$G19*O18,(O18-O20)*2*$G19))*P$6</f>
        <v>641.66666666666663</v>
      </c>
      <c r="Q19" s="742">
        <f t="shared" ref="Q19" si="32">IF(P18-P20&lt;IF($F20=1,$G19*P18,(P18-P20)*2*$G19),P18-P20,IF($F20=1,$G19*P18,(P18-P20)*2*$G19))*Q$6</f>
        <v>641.66666666666663</v>
      </c>
      <c r="R19" s="742">
        <f t="shared" ref="R19" si="33">IF(Q18-Q20&lt;IF($F20=1,$G19*Q18,(Q18-Q20)*2*$G19),Q18-Q20,IF($F20=1,$G19*Q18,(Q18-Q20)*2*$G19))*R$6</f>
        <v>641.66666666666663</v>
      </c>
      <c r="S19" s="742">
        <f t="shared" ref="S19" si="34">IF(R18-R20&lt;IF($F20=1,$G19*R18,(R18-R20)*2*$G19),R18-R20,IF($F20=1,$G19*R18,(R18-R20)*2*$G19))*S$6</f>
        <v>641.66666666666663</v>
      </c>
      <c r="T19" s="742">
        <f t="shared" ref="T19" si="35">IF(S18-S20&lt;IF($F20=1,$G19*S18,(S18-S20)*2*$G19),S18-S20,IF($F20=1,$G19*S18,(S18-S20)*2*$G19))*T$6</f>
        <v>641.66666666666663</v>
      </c>
      <c r="U19" s="742">
        <f t="shared" ref="U19" si="36">IF(T18-T20&lt;IF($F20=1,$G19*T18,(T18-T20)*2*$G19),T18-T20,IF($F20=1,$G19*T18,(T18-T20)*2*$G19))*U$6</f>
        <v>641.66666666666663</v>
      </c>
      <c r="V19" s="742">
        <f t="shared" ref="V19" si="37">IF(U18-U20&lt;IF($F20=1,$G19*U18,(U18-U20)*2*$G19),U18-U20,IF($F20=1,$G19*U18,(U18-U20)*2*$G19))*V$6</f>
        <v>641.66666666666663</v>
      </c>
      <c r="W19" s="742">
        <f t="shared" ref="W19" si="38">IF(V18-V20&lt;IF($F20=1,$G19*V18,(V18-V20)*2*$G19),V18-V20,IF($F20=1,$G19*V18,(V18-V20)*2*$G19))*W$6</f>
        <v>641.66666666666663</v>
      </c>
      <c r="X19" s="742">
        <f t="shared" ref="X19" si="39">IF(W18-W20&lt;IF($F20=1,$G19*W18,(W18-W20)*2*$G19),W18-W20,IF($F20=1,$G19*W18,(W18-W20)*2*$G19))*X$6</f>
        <v>641.66666666666663</v>
      </c>
      <c r="Y19" s="742">
        <f t="shared" ref="Y19" si="40">IF(X18-X20&lt;IF($F20=1,$G19*X18,(X18-X20)*2*$G19),X18-X20,IF($F20=1,$G19*X18,(X18-X20)*2*$G19))*Y$6</f>
        <v>641.66666666666663</v>
      </c>
      <c r="Z19" s="742">
        <f t="shared" ref="Z19" si="41">IF(Y18-Y20&lt;IF($F20=1,$G19*Y18,(Y18-Y20)*2*$G19),Y18-Y20,IF($F20=1,$G19*Y18,(Y18-Y20)*2*$G19))*Z$6</f>
        <v>641.66666666666663</v>
      </c>
      <c r="AA19" s="742">
        <f t="shared" ref="AA19" si="42">IF(Z18-Z20&lt;IF($F20=1,$G19*Z18,(Z18-Z20)*2*$G19),Z18-Z20,IF($F20=1,$G19*Z18,(Z18-Z20)*2*$G19))*AA$6</f>
        <v>641.66666666666663</v>
      </c>
      <c r="AB19" s="742">
        <f t="shared" ref="AB19" si="43">IF(AA18-AA20&lt;IF($F20=1,$G19*AA18,(AA18-AA20)*2*$G19),AA18-AA20,IF($F20=1,$G19*AA18,(AA18-AA20)*2*$G19))*AB$6</f>
        <v>641.66666666666663</v>
      </c>
      <c r="AC19" s="742">
        <f t="shared" ref="AC19" si="44">IF(AB18-AB20&lt;IF($F20=1,$G19*AB18,(AB18-AB20)*2*$G19),AB18-AB20,IF($F20=1,$G19*AB18,(AB18-AB20)*2*$G19))*AC$6</f>
        <v>641.66666666666663</v>
      </c>
      <c r="AD19" s="742">
        <f t="shared" ref="AD19" si="45">IF(AC18-AC20&lt;IF($F20=1,$G19*AC18,(AC18-AC20)*2*$G19),AC18-AC20,IF($F20=1,$G19*AC18,(AC18-AC20)*2*$G19))*AD$6</f>
        <v>641.66666666666663</v>
      </c>
      <c r="AE19" s="742">
        <f t="shared" ref="AE19" si="46">IF(AD18-AD20&lt;IF($F20=1,$G19*AD18,(AD18-AD20)*2*$G19),AD18-AD20,IF($F20=1,$G19*AD18,(AD18-AD20)*2*$G19))*AE$6</f>
        <v>0</v>
      </c>
      <c r="AF19" s="742">
        <f t="shared" ref="AF19" si="47">IF(AE18-AE20&lt;IF($F20=1,$G19*AE18,(AE18-AE20)*2*$G19),AE18-AE20,IF($F20=1,$G19*AE18,(AE18-AE20)*2*$G19))*AF$6</f>
        <v>0</v>
      </c>
      <c r="AG19" s="742">
        <f t="shared" ref="AG19" si="48">IF(AF18-AF20&lt;IF($F20=1,$G19*AF18,(AF18-AF20)*2*$G19),AF18-AF20,IF($F20=1,$G19*AF18,(AF18-AF20)*2*$G19))*AG$6</f>
        <v>0</v>
      </c>
    </row>
    <row r="20" spans="1:33" s="649" customFormat="1" ht="16.5" customHeight="1" outlineLevel="2">
      <c r="A20" s="434"/>
      <c r="B20" s="434"/>
      <c r="C20" s="435" t="str">
        <f>CHOOSE(language,"Accumulated amortisation","Accumulated amortization")</f>
        <v>Accumulated amortization</v>
      </c>
      <c r="D20" s="436" t="str">
        <f>Currency_Label</f>
        <v>USD</v>
      </c>
      <c r="E20" s="274" t="s">
        <v>451</v>
      </c>
      <c r="F20" s="745">
        <v>1</v>
      </c>
      <c r="G20" s="738" t="str">
        <f>IF(F20=1," straight-line"," double declining balance")</f>
        <v xml:space="preserve"> straight-line</v>
      </c>
      <c r="H20" s="528"/>
      <c r="I20" s="740"/>
      <c r="J20" s="743">
        <f t="shared" ref="J20" si="49">(I20+J19-J30)*J$6</f>
        <v>16.666666666666668</v>
      </c>
      <c r="K20" s="743">
        <f t="shared" ref="K20" si="50">(J20+K19-K30)*K$6</f>
        <v>658.33333333333326</v>
      </c>
      <c r="L20" s="743">
        <f t="shared" ref="L20" si="51">(K20+L19-L30)*L$6</f>
        <v>1300</v>
      </c>
      <c r="M20" s="743">
        <f t="shared" ref="M20" si="52">(L20+M19-M30)*M$6</f>
        <v>1941.6666666666665</v>
      </c>
      <c r="N20" s="743">
        <f t="shared" ref="N20" si="53">(M20+N19-N30)*N$6</f>
        <v>2583.333333333333</v>
      </c>
      <c r="O20" s="743">
        <f t="shared" ref="O20" si="54">(N20+O19-O30)*O$6</f>
        <v>3224.9999999999995</v>
      </c>
      <c r="P20" s="743">
        <f t="shared" ref="P20" si="55">(O20+P19-P30)*P$6</f>
        <v>3866.6666666666661</v>
      </c>
      <c r="Q20" s="743">
        <f t="shared" ref="Q20" si="56">(P20+Q19-Q30)*Q$6</f>
        <v>4508.333333333333</v>
      </c>
      <c r="R20" s="743">
        <f t="shared" ref="R20" si="57">(Q20+R19-R30)*R$6</f>
        <v>5150</v>
      </c>
      <c r="S20" s="743">
        <f t="shared" ref="S20" si="58">(R20+S19-S30)*S$6</f>
        <v>5791.666666666667</v>
      </c>
      <c r="T20" s="743">
        <f t="shared" ref="T20" si="59">(S20+T19-T30)*T$6</f>
        <v>6433.3333333333339</v>
      </c>
      <c r="U20" s="743">
        <f t="shared" ref="U20" si="60">(T20+U19-U30)*U$6</f>
        <v>7075.0000000000009</v>
      </c>
      <c r="V20" s="743">
        <f t="shared" ref="V20" si="61">(U20+V19-V30)*V$6</f>
        <v>7716.6666666666679</v>
      </c>
      <c r="W20" s="743">
        <f t="shared" ref="W20" si="62">(V20+W19-W30)*W$6</f>
        <v>8358.3333333333339</v>
      </c>
      <c r="X20" s="743">
        <f t="shared" ref="X20" si="63">(W20+X19-X30)*X$6</f>
        <v>9000</v>
      </c>
      <c r="Y20" s="743">
        <f t="shared" ref="Y20" si="64">(X20+Y19-Y30)*Y$6</f>
        <v>9641.6666666666661</v>
      </c>
      <c r="Z20" s="743">
        <f t="shared" ref="Z20" si="65">(Y20+Z19-Z30)*Z$6</f>
        <v>10283.333333333332</v>
      </c>
      <c r="AA20" s="743">
        <f t="shared" ref="AA20" si="66">(Z20+AA19-AA30)*AA$6</f>
        <v>10924.999999999998</v>
      </c>
      <c r="AB20" s="743">
        <f t="shared" ref="AB20" si="67">(AA20+AB19-AB30)*AB$6</f>
        <v>11566.666666666664</v>
      </c>
      <c r="AC20" s="743">
        <f t="shared" ref="AC20" si="68">(AB20+AC19-AC30)*AC$6</f>
        <v>12208.33333333333</v>
      </c>
      <c r="AD20" s="743">
        <f t="shared" ref="AD20" si="69">(AC20+AD19-AD30)*AD$6</f>
        <v>12849.999999999996</v>
      </c>
      <c r="AE20" s="743">
        <f t="shared" ref="AE20" si="70">(AD20+AE19-AE30)*AE$6</f>
        <v>0</v>
      </c>
      <c r="AF20" s="743">
        <f t="shared" ref="AF20" si="71">(AE20+AF19-AF30)*AF$6</f>
        <v>0</v>
      </c>
      <c r="AG20" s="743">
        <f t="shared" ref="AG20" si="72">(AF20+AG19-AG30)*AG$6</f>
        <v>0</v>
      </c>
    </row>
    <row r="21" spans="1:33" s="649" customFormat="1" ht="16.5" customHeight="1" outlineLevel="2">
      <c r="A21" s="434"/>
      <c r="B21" s="735" t="s">
        <v>43</v>
      </c>
      <c r="C21" s="732" t="str">
        <f>"Company produced additions: "&amp;C9</f>
        <v>Company produced additions: Intangible Assets</v>
      </c>
      <c r="D21" s="449"/>
      <c r="E21" s="449"/>
      <c r="F21" s="449"/>
      <c r="G21" s="449"/>
      <c r="H21" s="449"/>
      <c r="I21" s="449"/>
      <c r="J21" s="445"/>
      <c r="K21" s="445"/>
      <c r="L21" s="432"/>
      <c r="M21" s="432"/>
      <c r="N21" s="432"/>
      <c r="O21" s="432"/>
      <c r="P21" s="432"/>
      <c r="Q21" s="432"/>
      <c r="R21" s="432"/>
      <c r="S21" s="432"/>
      <c r="T21" s="432"/>
      <c r="U21" s="432"/>
      <c r="V21" s="432"/>
      <c r="W21" s="432"/>
      <c r="X21" s="432"/>
      <c r="Y21" s="432"/>
      <c r="Z21" s="432"/>
      <c r="AA21" s="432"/>
      <c r="AB21" s="432"/>
      <c r="AC21" s="432"/>
      <c r="AD21" s="432"/>
      <c r="AE21" s="432"/>
      <c r="AF21" s="432"/>
      <c r="AG21" s="432"/>
    </row>
    <row r="22" spans="1:33" s="649" customFormat="1" ht="16.5" customHeight="1" outlineLevel="2">
      <c r="A22" s="434"/>
      <c r="B22" s="434"/>
      <c r="C22" s="435" t="str">
        <f>CHOOSE(language,"2. Capitalised assets","2. Capitalized assets")</f>
        <v>2. Capitalized assets</v>
      </c>
      <c r="D22" s="737"/>
      <c r="E22" s="449"/>
      <c r="F22" s="449"/>
      <c r="G22" s="450"/>
      <c r="H22" s="449"/>
      <c r="I22" s="71">
        <f>SUMPRODUCT((J$6:AG$6),(J22:AG22))</f>
        <v>0</v>
      </c>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row>
    <row r="23" spans="1:33" s="649" customFormat="1" ht="16.5" customHeight="1" outlineLevel="2">
      <c r="A23" s="434"/>
      <c r="B23" s="735" t="s">
        <v>439</v>
      </c>
      <c r="C23" s="732" t="str">
        <f>"Finance Lease: "&amp;C9</f>
        <v>Finance Lease: Intangible Assets</v>
      </c>
      <c r="D23" s="442"/>
      <c r="E23" s="449"/>
      <c r="F23" s="449"/>
      <c r="G23" s="450"/>
      <c r="H23" s="449"/>
      <c r="I23" s="449"/>
      <c r="J23" s="445"/>
      <c r="K23" s="445"/>
      <c r="L23" s="432"/>
      <c r="M23" s="432"/>
      <c r="N23" s="432"/>
      <c r="O23" s="432"/>
      <c r="P23" s="432"/>
      <c r="Q23" s="432"/>
      <c r="R23" s="432"/>
      <c r="S23" s="432"/>
      <c r="T23" s="432"/>
      <c r="U23" s="432"/>
      <c r="V23" s="432"/>
      <c r="W23" s="432"/>
      <c r="X23" s="432"/>
      <c r="Y23" s="432"/>
      <c r="Z23" s="432"/>
      <c r="AA23" s="432"/>
      <c r="AB23" s="432"/>
      <c r="AC23" s="432"/>
      <c r="AD23" s="432"/>
      <c r="AE23" s="432"/>
      <c r="AF23" s="432"/>
      <c r="AG23" s="432"/>
    </row>
    <row r="24" spans="1:33" s="649" customFormat="1" ht="16.5" customHeight="1" outlineLevel="2">
      <c r="A24" s="434"/>
      <c r="B24" s="434"/>
      <c r="C24" s="435" t="s">
        <v>452</v>
      </c>
      <c r="D24" s="436" t="str">
        <f>Currency_Label</f>
        <v>USD</v>
      </c>
      <c r="E24" s="449"/>
      <c r="F24" s="681"/>
      <c r="G24" s="449"/>
      <c r="H24" s="449"/>
      <c r="I24" s="71">
        <f>SUMPRODUCT((J$6:AG$6),(J24:AG24))</f>
        <v>0</v>
      </c>
      <c r="J24" s="269"/>
      <c r="K24" s="269"/>
      <c r="L24" s="269"/>
      <c r="M24" s="269"/>
      <c r="N24" s="269"/>
      <c r="O24" s="269"/>
      <c r="P24" s="269"/>
      <c r="Q24" s="269"/>
      <c r="R24" s="269"/>
      <c r="S24" s="269"/>
      <c r="T24" s="269"/>
      <c r="U24" s="269"/>
      <c r="V24" s="269"/>
      <c r="W24" s="269"/>
      <c r="X24" s="269"/>
      <c r="Y24" s="269"/>
      <c r="Z24" s="269"/>
      <c r="AA24" s="269"/>
      <c r="AB24" s="269"/>
      <c r="AC24" s="269"/>
      <c r="AD24" s="269"/>
      <c r="AE24" s="269"/>
      <c r="AF24" s="269"/>
      <c r="AG24" s="269"/>
    </row>
    <row r="25" spans="1:33" s="649" customFormat="1" ht="16.5" customHeight="1" outlineLevel="2">
      <c r="A25" s="434"/>
      <c r="B25" s="434"/>
      <c r="C25" s="435" t="s">
        <v>453</v>
      </c>
      <c r="D25" s="436" t="str">
        <f>Currency_Label</f>
        <v>USD</v>
      </c>
      <c r="E25" s="449"/>
      <c r="F25" s="449"/>
      <c r="G25" s="449"/>
      <c r="H25" s="449"/>
      <c r="I25" s="71">
        <f>SUMPRODUCT((J$6:AG$6),(J25:AG25))</f>
        <v>0</v>
      </c>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row>
    <row r="26" spans="1:33" s="649" customFormat="1" ht="16.5" customHeight="1" outlineLevel="2">
      <c r="A26" s="434"/>
      <c r="B26" s="434"/>
      <c r="C26" s="435" t="s">
        <v>454</v>
      </c>
      <c r="D26" s="436" t="str">
        <f>Currency_Label</f>
        <v>USD</v>
      </c>
      <c r="E26" s="449"/>
      <c r="F26" s="449"/>
      <c r="G26" s="449"/>
      <c r="H26" s="449"/>
      <c r="I26" s="71">
        <f>SUMPRODUCT((J$6:AG$6),(J26:AG26))</f>
        <v>0</v>
      </c>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69"/>
      <c r="AG26" s="269"/>
    </row>
    <row r="27" spans="1:33" s="649" customFormat="1" ht="16.5" customHeight="1" outlineLevel="2">
      <c r="A27" s="434"/>
      <c r="B27" s="735" t="s">
        <v>440</v>
      </c>
      <c r="C27" s="732" t="str">
        <f>CHOOSE(language,"Sale of "&amp;C9,"Disposal of "&amp;C9)</f>
        <v>Disposal of Intangible Assets</v>
      </c>
      <c r="D27" s="442"/>
      <c r="E27" s="449"/>
      <c r="F27" s="449"/>
      <c r="G27" s="449"/>
      <c r="H27" s="449"/>
      <c r="I27" s="449"/>
      <c r="J27" s="445"/>
      <c r="K27" s="445"/>
      <c r="L27" s="432"/>
      <c r="M27" s="432"/>
      <c r="N27" s="432"/>
      <c r="O27" s="432"/>
      <c r="P27" s="432"/>
      <c r="Q27" s="432"/>
      <c r="R27" s="432"/>
      <c r="S27" s="432"/>
      <c r="T27" s="432"/>
      <c r="U27" s="432"/>
      <c r="V27" s="432"/>
      <c r="W27" s="432"/>
      <c r="X27" s="432"/>
      <c r="Y27" s="432"/>
      <c r="Z27" s="432"/>
      <c r="AA27" s="432"/>
      <c r="AB27" s="432"/>
      <c r="AC27" s="432"/>
      <c r="AD27" s="432"/>
      <c r="AE27" s="432"/>
      <c r="AF27" s="432"/>
      <c r="AG27" s="432"/>
    </row>
    <row r="28" spans="1:33" s="649" customFormat="1" ht="16.5" customHeight="1" outlineLevel="2">
      <c r="A28" s="434"/>
      <c r="B28" s="434"/>
      <c r="C28" s="435" t="s">
        <v>455</v>
      </c>
      <c r="D28" s="436" t="str">
        <f>Currency_Label</f>
        <v>USD</v>
      </c>
      <c r="E28" s="449"/>
      <c r="F28" s="449"/>
      <c r="G28" s="739"/>
      <c r="H28" s="739"/>
      <c r="I28" s="71">
        <f>SUMPRODUCT((J$6:AG$6),(J28:AG28))</f>
        <v>0</v>
      </c>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row>
    <row r="29" spans="1:33" s="649" customFormat="1" ht="16.5" customHeight="1" outlineLevel="2">
      <c r="A29" s="434"/>
      <c r="B29" s="434"/>
      <c r="C29" s="435" t="s">
        <v>456</v>
      </c>
      <c r="D29" s="436" t="str">
        <f>Currency_Label</f>
        <v>USD</v>
      </c>
      <c r="E29" s="278" t="str">
        <f>IF(H19=0,"","Error: Please check inputs for sale of assets")</f>
        <v/>
      </c>
      <c r="F29" s="449"/>
      <c r="G29" s="739"/>
      <c r="H29" s="739"/>
      <c r="I29" s="71">
        <f>SUMPRODUCT((J$6:AG$6),(J29:AG29))</f>
        <v>0</v>
      </c>
      <c r="J29" s="269"/>
      <c r="K29" s="269"/>
      <c r="L29" s="269"/>
      <c r="M29" s="269"/>
      <c r="N29" s="269"/>
      <c r="O29" s="269"/>
      <c r="P29" s="269"/>
      <c r="Q29" s="269"/>
      <c r="R29" s="269"/>
      <c r="S29" s="269"/>
      <c r="T29" s="269"/>
      <c r="U29" s="269"/>
      <c r="V29" s="269"/>
      <c r="W29" s="269"/>
      <c r="X29" s="269"/>
      <c r="Y29" s="269"/>
      <c r="Z29" s="269"/>
      <c r="AA29" s="269"/>
      <c r="AB29" s="269"/>
      <c r="AC29" s="269"/>
      <c r="AD29" s="269"/>
      <c r="AE29" s="269"/>
      <c r="AF29" s="269"/>
      <c r="AG29" s="269"/>
    </row>
    <row r="30" spans="1:33" s="649" customFormat="1" ht="16.5" customHeight="1" outlineLevel="2">
      <c r="A30" s="434"/>
      <c r="B30" s="434"/>
      <c r="C30" s="435" t="str">
        <f>CHOOSE(language,"Accumulated amortisation (of assets sold)","Accumulated amortization (of assets sold)")</f>
        <v>Accumulated amortization (of assets sold)</v>
      </c>
      <c r="D30" s="436" t="str">
        <f>Currency_Label</f>
        <v>USD</v>
      </c>
      <c r="E30" s="278" t="str">
        <f>IF(H19=0,"","Error: Please check inputs for sale of assets")</f>
        <v/>
      </c>
      <c r="F30" s="449"/>
      <c r="G30" s="739"/>
      <c r="H30" s="739"/>
      <c r="I30" s="71">
        <f>SUMPRODUCT((J$6:AG$6),(J30:AG30))</f>
        <v>0</v>
      </c>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row>
    <row r="31" spans="1:33" s="649" customFormat="1" ht="16.5" customHeight="1" outlineLevel="2">
      <c r="A31" s="434"/>
      <c r="B31" s="735" t="s">
        <v>441</v>
      </c>
      <c r="C31" s="732" t="str">
        <f>Name_VAT</f>
        <v>VAT</v>
      </c>
      <c r="D31" s="442"/>
      <c r="E31" s="449"/>
      <c r="F31" s="444"/>
      <c r="G31" s="444"/>
      <c r="H31" s="434"/>
      <c r="I31" s="434"/>
      <c r="J31" s="445"/>
      <c r="K31" s="445"/>
      <c r="L31" s="455"/>
      <c r="M31" s="432"/>
      <c r="N31" s="432"/>
      <c r="O31" s="432"/>
      <c r="P31" s="432"/>
      <c r="Q31" s="432"/>
      <c r="R31" s="432"/>
      <c r="S31" s="432"/>
      <c r="T31" s="432"/>
      <c r="U31" s="432"/>
      <c r="V31" s="432"/>
      <c r="W31" s="432"/>
      <c r="X31" s="432"/>
      <c r="Y31" s="432"/>
      <c r="Z31" s="432"/>
      <c r="AA31" s="432"/>
      <c r="AB31" s="432"/>
      <c r="AC31" s="432"/>
      <c r="AD31" s="432"/>
      <c r="AE31" s="432"/>
      <c r="AF31" s="432"/>
      <c r="AG31" s="432"/>
    </row>
    <row r="32" spans="1:33" s="649" customFormat="1" ht="16.5" customHeight="1" outlineLevel="2">
      <c r="A32" s="434"/>
      <c r="B32" s="434"/>
      <c r="C32" s="24" t="str">
        <f>Name_VAT &amp;" on "&amp;C9 &amp;" purchased &amp; leased"</f>
        <v>VAT on Intangible Assets purchased &amp; leased</v>
      </c>
      <c r="D32" s="8" t="str">
        <f t="shared" ref="D32" si="73">Currency_Label</f>
        <v>USD</v>
      </c>
      <c r="E32" s="85">
        <f>F10</f>
        <v>1</v>
      </c>
      <c r="F32" s="749" t="s">
        <v>462</v>
      </c>
      <c r="G32" s="85">
        <f>H10</f>
        <v>0</v>
      </c>
      <c r="H32" s="346"/>
      <c r="I32" s="71">
        <f>SUM(J32:AG32)</f>
        <v>0</v>
      </c>
      <c r="J32" s="715">
        <f t="shared" ref="J32:AG32" si="74">(J16+J24)*$E32*$G32*J$6</f>
        <v>0</v>
      </c>
      <c r="K32" s="715">
        <f t="shared" si="74"/>
        <v>0</v>
      </c>
      <c r="L32" s="715">
        <f t="shared" si="74"/>
        <v>0</v>
      </c>
      <c r="M32" s="715">
        <f t="shared" si="74"/>
        <v>0</v>
      </c>
      <c r="N32" s="715">
        <f t="shared" si="74"/>
        <v>0</v>
      </c>
      <c r="O32" s="715">
        <f t="shared" si="74"/>
        <v>0</v>
      </c>
      <c r="P32" s="715">
        <f t="shared" si="74"/>
        <v>0</v>
      </c>
      <c r="Q32" s="715">
        <f t="shared" si="74"/>
        <v>0</v>
      </c>
      <c r="R32" s="715">
        <f t="shared" si="74"/>
        <v>0</v>
      </c>
      <c r="S32" s="715">
        <f t="shared" si="74"/>
        <v>0</v>
      </c>
      <c r="T32" s="715">
        <f t="shared" si="74"/>
        <v>0</v>
      </c>
      <c r="U32" s="715">
        <f t="shared" si="74"/>
        <v>0</v>
      </c>
      <c r="V32" s="715">
        <f t="shared" si="74"/>
        <v>0</v>
      </c>
      <c r="W32" s="715">
        <f t="shared" si="74"/>
        <v>0</v>
      </c>
      <c r="X32" s="715">
        <f t="shared" si="74"/>
        <v>0</v>
      </c>
      <c r="Y32" s="715">
        <f t="shared" si="74"/>
        <v>0</v>
      </c>
      <c r="Z32" s="715">
        <f t="shared" si="74"/>
        <v>0</v>
      </c>
      <c r="AA32" s="715">
        <f t="shared" si="74"/>
        <v>0</v>
      </c>
      <c r="AB32" s="715">
        <f t="shared" si="74"/>
        <v>0</v>
      </c>
      <c r="AC32" s="715">
        <f t="shared" si="74"/>
        <v>0</v>
      </c>
      <c r="AD32" s="715">
        <f t="shared" si="74"/>
        <v>0</v>
      </c>
      <c r="AE32" s="715">
        <f t="shared" si="74"/>
        <v>0</v>
      </c>
      <c r="AF32" s="715">
        <f t="shared" si="74"/>
        <v>0</v>
      </c>
      <c r="AG32" s="715">
        <f t="shared" si="74"/>
        <v>0</v>
      </c>
    </row>
    <row r="33" spans="1:33" s="649" customFormat="1" ht="16.5" customHeight="1" outlineLevel="2">
      <c r="A33" s="434"/>
      <c r="B33" s="735"/>
      <c r="C33" s="732"/>
      <c r="D33" s="442"/>
      <c r="E33" s="449"/>
      <c r="F33" s="444"/>
      <c r="G33" s="444"/>
      <c r="H33" s="434"/>
      <c r="I33" s="434"/>
      <c r="J33" s="445"/>
      <c r="K33" s="445"/>
      <c r="L33" s="432"/>
      <c r="M33" s="432"/>
      <c r="N33" s="432"/>
      <c r="O33" s="432"/>
      <c r="P33" s="432"/>
      <c r="Q33" s="432"/>
      <c r="R33" s="432"/>
      <c r="S33" s="432"/>
      <c r="T33" s="432"/>
      <c r="U33" s="432"/>
      <c r="V33" s="432"/>
      <c r="W33" s="432"/>
      <c r="X33" s="432"/>
      <c r="Y33" s="432"/>
      <c r="Z33" s="432"/>
      <c r="AA33" s="432"/>
      <c r="AB33" s="432"/>
      <c r="AC33" s="432"/>
      <c r="AD33" s="432"/>
      <c r="AE33" s="432"/>
      <c r="AF33" s="432"/>
      <c r="AG33" s="432"/>
    </row>
    <row r="34" spans="1:33" s="704" customFormat="1" ht="16.5" customHeight="1" outlineLevel="2">
      <c r="A34" s="434"/>
      <c r="B34" s="735"/>
      <c r="C34" s="732" t="str">
        <f>"BS Account: "&amp;C9</f>
        <v>BS Account: Intangible Assets</v>
      </c>
      <c r="D34" s="442"/>
      <c r="E34" s="449"/>
      <c r="F34" s="444"/>
      <c r="G34" s="444"/>
      <c r="H34" s="434"/>
      <c r="I34" s="434"/>
      <c r="J34" s="445"/>
      <c r="K34" s="445"/>
      <c r="L34" s="455"/>
      <c r="M34" s="736"/>
      <c r="N34" s="736"/>
      <c r="O34" s="736"/>
      <c r="P34" s="736"/>
      <c r="Q34" s="736"/>
      <c r="R34" s="736"/>
      <c r="S34" s="736"/>
      <c r="T34" s="736"/>
      <c r="U34" s="736"/>
      <c r="V34" s="736"/>
      <c r="W34" s="736"/>
      <c r="X34" s="736"/>
      <c r="Y34" s="736"/>
      <c r="Z34" s="736"/>
      <c r="AA34" s="736"/>
      <c r="AB34" s="736"/>
      <c r="AC34" s="736"/>
      <c r="AD34" s="736"/>
      <c r="AE34" s="736"/>
      <c r="AF34" s="736"/>
      <c r="AG34" s="736"/>
    </row>
    <row r="35" spans="1:33" s="649" customFormat="1" ht="16.5" customHeight="1" outlineLevel="2">
      <c r="A35" s="434"/>
      <c r="B35" s="434"/>
      <c r="C35" s="649" t="s">
        <v>140</v>
      </c>
      <c r="D35" s="436" t="str">
        <f>Currency_Label</f>
        <v>USD</v>
      </c>
      <c r="E35" s="432"/>
      <c r="F35" s="432"/>
      <c r="G35" s="432"/>
      <c r="H35" s="432"/>
      <c r="I35" s="432"/>
      <c r="J35" s="747">
        <f t="shared" ref="J35:M35" si="75">I38*J$6</f>
        <v>2000</v>
      </c>
      <c r="K35" s="747">
        <f t="shared" si="75"/>
        <v>76983.333333333328</v>
      </c>
      <c r="L35" s="747">
        <f t="shared" si="75"/>
        <v>76341.666666666657</v>
      </c>
      <c r="M35" s="747">
        <f t="shared" si="75"/>
        <v>75699.999999999985</v>
      </c>
      <c r="N35" s="747">
        <f t="shared" ref="N35" si="76">M38*N$6</f>
        <v>75058.333333333314</v>
      </c>
      <c r="O35" s="747">
        <f t="shared" ref="O35" si="77">N38*O$6</f>
        <v>74416.666666666642</v>
      </c>
      <c r="P35" s="747">
        <f t="shared" ref="P35" si="78">O38*P$6</f>
        <v>73774.999999999971</v>
      </c>
      <c r="Q35" s="747">
        <f t="shared" ref="Q35" si="79">P38*Q$6</f>
        <v>73133.333333333299</v>
      </c>
      <c r="R35" s="747">
        <f t="shared" ref="R35" si="80">Q38*R$6</f>
        <v>72491.666666666628</v>
      </c>
      <c r="S35" s="747">
        <f t="shared" ref="S35" si="81">R38*S$6</f>
        <v>71849.999999999956</v>
      </c>
      <c r="T35" s="747">
        <f t="shared" ref="T35" si="82">S38*T$6</f>
        <v>71208.333333333285</v>
      </c>
      <c r="U35" s="747">
        <f t="shared" ref="U35" si="83">T38*U$6</f>
        <v>70566.666666666613</v>
      </c>
      <c r="V35" s="747">
        <f t="shared" ref="V35" si="84">U38*V$6</f>
        <v>69924.999999999942</v>
      </c>
      <c r="W35" s="747">
        <f t="shared" ref="W35" si="85">V38*W$6</f>
        <v>69283.33333333327</v>
      </c>
      <c r="X35" s="747">
        <f t="shared" ref="X35" si="86">W38*X$6</f>
        <v>68641.666666666599</v>
      </c>
      <c r="Y35" s="747">
        <f t="shared" ref="Y35" si="87">X38*Y$6</f>
        <v>67999.999999999927</v>
      </c>
      <c r="Z35" s="747">
        <f t="shared" ref="Z35" si="88">Y38*Z$6</f>
        <v>67358.333333333256</v>
      </c>
      <c r="AA35" s="747">
        <f t="shared" ref="AA35" si="89">Z38*AA$6</f>
        <v>66716.666666666584</v>
      </c>
      <c r="AB35" s="747">
        <f t="shared" ref="AB35" si="90">AA38*AB$6</f>
        <v>66074.999999999913</v>
      </c>
      <c r="AC35" s="747">
        <f t="shared" ref="AC35" si="91">AB38*AC$6</f>
        <v>65433.333333333248</v>
      </c>
      <c r="AD35" s="747">
        <f t="shared" ref="AD35" si="92">AC38*AD$6</f>
        <v>64791.666666666584</v>
      </c>
      <c r="AE35" s="747">
        <f t="shared" ref="AE35" si="93">AD38*AE$6</f>
        <v>0</v>
      </c>
      <c r="AF35" s="747">
        <f t="shared" ref="AF35" si="94">AE38*AF$6</f>
        <v>0</v>
      </c>
      <c r="AG35" s="747">
        <f t="shared" ref="AG35" si="95">AF38*AG$6</f>
        <v>0</v>
      </c>
    </row>
    <row r="36" spans="1:33" s="649" customFormat="1" ht="16.5" customHeight="1" outlineLevel="2">
      <c r="A36" s="434"/>
      <c r="B36" s="434"/>
      <c r="C36" s="435" t="s">
        <v>458</v>
      </c>
      <c r="D36" s="436" t="str">
        <f>Currency_Label</f>
        <v>USD</v>
      </c>
      <c r="E36" s="432"/>
      <c r="F36" s="432"/>
      <c r="G36" s="432"/>
      <c r="H36" s="432"/>
      <c r="I36" s="71">
        <f>SUM(J36:AG36)</f>
        <v>75000</v>
      </c>
      <c r="J36" s="357">
        <f t="shared" ref="J36:AG36" si="96">J16+J22+J24</f>
        <v>75000</v>
      </c>
      <c r="K36" s="357">
        <f t="shared" si="96"/>
        <v>0</v>
      </c>
      <c r="L36" s="357">
        <f t="shared" si="96"/>
        <v>0</v>
      </c>
      <c r="M36" s="357">
        <f t="shared" si="96"/>
        <v>0</v>
      </c>
      <c r="N36" s="357">
        <f t="shared" si="96"/>
        <v>0</v>
      </c>
      <c r="O36" s="357">
        <f t="shared" si="96"/>
        <v>0</v>
      </c>
      <c r="P36" s="357">
        <f t="shared" si="96"/>
        <v>0</v>
      </c>
      <c r="Q36" s="357">
        <f t="shared" si="96"/>
        <v>0</v>
      </c>
      <c r="R36" s="357">
        <f t="shared" si="96"/>
        <v>0</v>
      </c>
      <c r="S36" s="357">
        <f t="shared" si="96"/>
        <v>0</v>
      </c>
      <c r="T36" s="357">
        <f t="shared" si="96"/>
        <v>0</v>
      </c>
      <c r="U36" s="357">
        <f t="shared" si="96"/>
        <v>0</v>
      </c>
      <c r="V36" s="357">
        <f t="shared" si="96"/>
        <v>0</v>
      </c>
      <c r="W36" s="357">
        <f t="shared" si="96"/>
        <v>0</v>
      </c>
      <c r="X36" s="357">
        <f t="shared" si="96"/>
        <v>0</v>
      </c>
      <c r="Y36" s="357">
        <f t="shared" si="96"/>
        <v>0</v>
      </c>
      <c r="Z36" s="357">
        <f t="shared" si="96"/>
        <v>0</v>
      </c>
      <c r="AA36" s="357">
        <f t="shared" si="96"/>
        <v>0</v>
      </c>
      <c r="AB36" s="357">
        <f t="shared" si="96"/>
        <v>0</v>
      </c>
      <c r="AC36" s="357">
        <f t="shared" si="96"/>
        <v>0</v>
      </c>
      <c r="AD36" s="357">
        <f t="shared" si="96"/>
        <v>0</v>
      </c>
      <c r="AE36" s="357">
        <f t="shared" si="96"/>
        <v>0</v>
      </c>
      <c r="AF36" s="357">
        <f t="shared" si="96"/>
        <v>0</v>
      </c>
      <c r="AG36" s="357">
        <f t="shared" si="96"/>
        <v>0</v>
      </c>
    </row>
    <row r="37" spans="1:33" s="649" customFormat="1" ht="16.5" customHeight="1" outlineLevel="2">
      <c r="A37" s="434"/>
      <c r="B37" s="434"/>
      <c r="C37" s="435" t="str">
        <f>CHOOSE(language,"Decrease (amortisation + disposals)","Decrease (amortization + disposals)")</f>
        <v>Decrease (amortization + disposals)</v>
      </c>
      <c r="D37" s="436" t="str">
        <f>Currency_Label</f>
        <v>USD</v>
      </c>
      <c r="E37" s="432"/>
      <c r="F37" s="432"/>
      <c r="G37" s="432"/>
      <c r="H37" s="432"/>
      <c r="I37" s="71">
        <f>SUM(J37:AG37)</f>
        <v>-12849.999999999996</v>
      </c>
      <c r="J37" s="357">
        <f t="shared" ref="J37:AG37" si="97">-(J19+J29-J30)</f>
        <v>-16.666666666666668</v>
      </c>
      <c r="K37" s="357">
        <f t="shared" si="97"/>
        <v>-641.66666666666663</v>
      </c>
      <c r="L37" s="357">
        <f t="shared" si="97"/>
        <v>-641.66666666666663</v>
      </c>
      <c r="M37" s="357">
        <f t="shared" si="97"/>
        <v>-641.66666666666663</v>
      </c>
      <c r="N37" s="357">
        <f t="shared" si="97"/>
        <v>-641.66666666666663</v>
      </c>
      <c r="O37" s="357">
        <f t="shared" si="97"/>
        <v>-641.66666666666663</v>
      </c>
      <c r="P37" s="357">
        <f t="shared" si="97"/>
        <v>-641.66666666666663</v>
      </c>
      <c r="Q37" s="357">
        <f t="shared" si="97"/>
        <v>-641.66666666666663</v>
      </c>
      <c r="R37" s="357">
        <f t="shared" si="97"/>
        <v>-641.66666666666663</v>
      </c>
      <c r="S37" s="357">
        <f t="shared" si="97"/>
        <v>-641.66666666666663</v>
      </c>
      <c r="T37" s="357">
        <f t="shared" si="97"/>
        <v>-641.66666666666663</v>
      </c>
      <c r="U37" s="357">
        <f t="shared" si="97"/>
        <v>-641.66666666666663</v>
      </c>
      <c r="V37" s="357">
        <f t="shared" si="97"/>
        <v>-641.66666666666663</v>
      </c>
      <c r="W37" s="357">
        <f t="shared" si="97"/>
        <v>-641.66666666666663</v>
      </c>
      <c r="X37" s="357">
        <f t="shared" si="97"/>
        <v>-641.66666666666663</v>
      </c>
      <c r="Y37" s="357">
        <f t="shared" si="97"/>
        <v>-641.66666666666663</v>
      </c>
      <c r="Z37" s="357">
        <f t="shared" si="97"/>
        <v>-641.66666666666663</v>
      </c>
      <c r="AA37" s="357">
        <f t="shared" si="97"/>
        <v>-641.66666666666663</v>
      </c>
      <c r="AB37" s="357">
        <f t="shared" si="97"/>
        <v>-641.66666666666663</v>
      </c>
      <c r="AC37" s="357">
        <f t="shared" si="97"/>
        <v>-641.66666666666663</v>
      </c>
      <c r="AD37" s="357">
        <f t="shared" si="97"/>
        <v>-641.66666666666663</v>
      </c>
      <c r="AE37" s="357">
        <f t="shared" si="97"/>
        <v>0</v>
      </c>
      <c r="AF37" s="357">
        <f t="shared" si="97"/>
        <v>0</v>
      </c>
      <c r="AG37" s="357">
        <f t="shared" si="97"/>
        <v>0</v>
      </c>
    </row>
    <row r="38" spans="1:33" s="649" customFormat="1" ht="16.5" customHeight="1" outlineLevel="2" thickBot="1">
      <c r="A38" s="434"/>
      <c r="B38" s="434"/>
      <c r="C38" s="649" t="s">
        <v>141</v>
      </c>
      <c r="D38" s="436" t="str">
        <f>Currency_Label</f>
        <v>USD</v>
      </c>
      <c r="E38" s="432"/>
      <c r="F38" s="449"/>
      <c r="G38" s="450"/>
      <c r="H38" s="449"/>
      <c r="I38" s="147">
        <f>Inputs!F223</f>
        <v>2000</v>
      </c>
      <c r="J38" s="457">
        <f>IF(ABS(SUM(J35:J37))&lt;0.001,0,SUM(J35:J37))</f>
        <v>76983.333333333328</v>
      </c>
      <c r="K38" s="457">
        <f t="shared" ref="K38:M38" si="98">IF(ABS(SUM(K35:K37))&lt;0.001,0,SUM(K35:K37))</f>
        <v>76341.666666666657</v>
      </c>
      <c r="L38" s="457">
        <f t="shared" si="98"/>
        <v>75699.999999999985</v>
      </c>
      <c r="M38" s="457">
        <f t="shared" si="98"/>
        <v>75058.333333333314</v>
      </c>
      <c r="N38" s="457">
        <f t="shared" ref="N38" si="99">IF(ABS(SUM(N35:N37))&lt;0.001,0,SUM(N35:N37))</f>
        <v>74416.666666666642</v>
      </c>
      <c r="O38" s="457">
        <f t="shared" ref="O38" si="100">IF(ABS(SUM(O35:O37))&lt;0.001,0,SUM(O35:O37))</f>
        <v>73774.999999999971</v>
      </c>
      <c r="P38" s="457">
        <f t="shared" ref="P38" si="101">IF(ABS(SUM(P35:P37))&lt;0.001,0,SUM(P35:P37))</f>
        <v>73133.333333333299</v>
      </c>
      <c r="Q38" s="457">
        <f t="shared" ref="Q38" si="102">IF(ABS(SUM(Q35:Q37))&lt;0.001,0,SUM(Q35:Q37))</f>
        <v>72491.666666666628</v>
      </c>
      <c r="R38" s="457">
        <f t="shared" ref="R38" si="103">IF(ABS(SUM(R35:R37))&lt;0.001,0,SUM(R35:R37))</f>
        <v>71849.999999999956</v>
      </c>
      <c r="S38" s="457">
        <f t="shared" ref="S38" si="104">IF(ABS(SUM(S35:S37))&lt;0.001,0,SUM(S35:S37))</f>
        <v>71208.333333333285</v>
      </c>
      <c r="T38" s="457">
        <f t="shared" ref="T38" si="105">IF(ABS(SUM(T35:T37))&lt;0.001,0,SUM(T35:T37))</f>
        <v>70566.666666666613</v>
      </c>
      <c r="U38" s="457">
        <f t="shared" ref="U38" si="106">IF(ABS(SUM(U35:U37))&lt;0.001,0,SUM(U35:U37))</f>
        <v>69924.999999999942</v>
      </c>
      <c r="V38" s="457">
        <f t="shared" ref="V38" si="107">IF(ABS(SUM(V35:V37))&lt;0.001,0,SUM(V35:V37))</f>
        <v>69283.33333333327</v>
      </c>
      <c r="W38" s="457">
        <f t="shared" ref="W38" si="108">IF(ABS(SUM(W35:W37))&lt;0.001,0,SUM(W35:W37))</f>
        <v>68641.666666666599</v>
      </c>
      <c r="X38" s="457">
        <f t="shared" ref="X38" si="109">IF(ABS(SUM(X35:X37))&lt;0.001,0,SUM(X35:X37))</f>
        <v>67999.999999999927</v>
      </c>
      <c r="Y38" s="457">
        <f t="shared" ref="Y38" si="110">IF(ABS(SUM(Y35:Y37))&lt;0.001,0,SUM(Y35:Y37))</f>
        <v>67358.333333333256</v>
      </c>
      <c r="Z38" s="457">
        <f t="shared" ref="Z38" si="111">IF(ABS(SUM(Z35:Z37))&lt;0.001,0,SUM(Z35:Z37))</f>
        <v>66716.666666666584</v>
      </c>
      <c r="AA38" s="457">
        <f t="shared" ref="AA38" si="112">IF(ABS(SUM(AA35:AA37))&lt;0.001,0,SUM(AA35:AA37))</f>
        <v>66074.999999999913</v>
      </c>
      <c r="AB38" s="457">
        <f t="shared" ref="AB38" si="113">IF(ABS(SUM(AB35:AB37))&lt;0.001,0,SUM(AB35:AB37))</f>
        <v>65433.333333333248</v>
      </c>
      <c r="AC38" s="457">
        <f t="shared" ref="AC38" si="114">IF(ABS(SUM(AC35:AC37))&lt;0.001,0,SUM(AC35:AC37))</f>
        <v>64791.666666666584</v>
      </c>
      <c r="AD38" s="457">
        <f t="shared" ref="AD38" si="115">IF(ABS(SUM(AD35:AD37))&lt;0.001,0,SUM(AD35:AD37))</f>
        <v>64149.99999999992</v>
      </c>
      <c r="AE38" s="457">
        <f t="shared" ref="AE38" si="116">IF(ABS(SUM(AE35:AE37))&lt;0.001,0,SUM(AE35:AE37))</f>
        <v>0</v>
      </c>
      <c r="AF38" s="457">
        <f t="shared" ref="AF38" si="117">IF(ABS(SUM(AF35:AF37))&lt;0.001,0,SUM(AF35:AF37))</f>
        <v>0</v>
      </c>
      <c r="AG38" s="457">
        <f t="shared" ref="AG38" si="118">IF(ABS(SUM(AG35:AG37))&lt;0.001,0,SUM(AG35:AG37))</f>
        <v>0</v>
      </c>
    </row>
    <row r="39" spans="1:33" s="649" customFormat="1" ht="16.5" customHeight="1" outlineLevel="1" thickTop="1">
      <c r="A39" s="434"/>
      <c r="B39" s="434"/>
      <c r="C39" s="448"/>
      <c r="D39" s="442"/>
      <c r="E39" s="449"/>
      <c r="F39" s="444"/>
      <c r="G39" s="444"/>
      <c r="H39" s="434"/>
      <c r="I39" s="434"/>
      <c r="J39" s="445"/>
      <c r="K39" s="445"/>
      <c r="L39" s="432"/>
      <c r="M39" s="432"/>
      <c r="N39" s="432"/>
      <c r="O39" s="432"/>
      <c r="P39" s="432"/>
      <c r="Q39" s="432"/>
      <c r="R39" s="432"/>
      <c r="S39" s="432"/>
      <c r="T39" s="432"/>
      <c r="U39" s="432"/>
      <c r="V39" s="432"/>
      <c r="W39" s="432"/>
      <c r="X39" s="432"/>
      <c r="Y39" s="432"/>
      <c r="Z39" s="432"/>
      <c r="AA39" s="432"/>
      <c r="AB39" s="432"/>
      <c r="AC39" s="432"/>
      <c r="AD39" s="432"/>
      <c r="AE39" s="432"/>
      <c r="AF39" s="432"/>
      <c r="AG39" s="432"/>
    </row>
    <row r="40" spans="1:33" s="649" customFormat="1" ht="22.5" customHeight="1">
      <c r="A40" s="279"/>
      <c r="B40" s="279" t="s">
        <v>459</v>
      </c>
      <c r="C40" s="279" t="s">
        <v>402</v>
      </c>
      <c r="D40" s="442"/>
      <c r="E40" s="449"/>
      <c r="F40" s="444"/>
      <c r="G40" s="444"/>
      <c r="H40" s="434"/>
      <c r="I40" s="434"/>
      <c r="J40" s="445"/>
      <c r="K40" s="445"/>
      <c r="L40" s="455"/>
      <c r="M40" s="432"/>
      <c r="N40" s="432"/>
      <c r="O40" s="432"/>
      <c r="P40" s="432"/>
      <c r="Q40" s="432"/>
      <c r="R40" s="432"/>
      <c r="S40" s="432"/>
      <c r="T40" s="432"/>
      <c r="U40" s="432"/>
      <c r="V40" s="432"/>
      <c r="W40" s="432"/>
      <c r="X40" s="432"/>
      <c r="Y40" s="432"/>
      <c r="Z40" s="432"/>
      <c r="AA40" s="432"/>
      <c r="AB40" s="432"/>
      <c r="AC40" s="432"/>
      <c r="AD40" s="432"/>
      <c r="AE40" s="432"/>
      <c r="AF40" s="432"/>
      <c r="AG40" s="432"/>
    </row>
    <row r="41" spans="1:33" s="649" customFormat="1" ht="16.5" customHeight="1" outlineLevel="1">
      <c r="A41" s="434"/>
      <c r="B41" s="735">
        <v>1</v>
      </c>
      <c r="C41" s="732" t="s">
        <v>470</v>
      </c>
      <c r="D41" s="442"/>
      <c r="E41" s="449"/>
      <c r="F41" s="449"/>
      <c r="G41" s="450"/>
      <c r="H41" s="449"/>
      <c r="I41" s="449"/>
      <c r="J41" s="445"/>
      <c r="K41" s="445"/>
      <c r="L41" s="455"/>
      <c r="M41" s="432"/>
      <c r="N41" s="432"/>
      <c r="O41" s="432"/>
      <c r="P41" s="432"/>
      <c r="Q41" s="432"/>
      <c r="R41" s="432"/>
      <c r="S41" s="432"/>
      <c r="T41" s="432"/>
      <c r="U41" s="432"/>
      <c r="V41" s="432"/>
      <c r="W41" s="432"/>
      <c r="X41" s="432"/>
      <c r="Y41" s="432"/>
      <c r="Z41" s="432"/>
      <c r="AA41" s="432"/>
      <c r="AB41" s="432"/>
      <c r="AC41" s="432"/>
      <c r="AD41" s="432"/>
      <c r="AE41" s="432"/>
      <c r="AF41" s="432"/>
      <c r="AG41" s="432"/>
    </row>
    <row r="42" spans="1:33" s="649" customFormat="1" ht="16.5" customHeight="1" outlineLevel="1">
      <c r="A42" s="434"/>
      <c r="B42" s="444"/>
      <c r="C42" s="641" t="s">
        <v>460</v>
      </c>
      <c r="D42" s="733"/>
      <c r="E42" s="528" t="s">
        <v>461</v>
      </c>
      <c r="F42" s="748">
        <v>1</v>
      </c>
      <c r="G42" s="641" t="s">
        <v>378</v>
      </c>
      <c r="H42" s="85">
        <f>VLOOKUP(G42,Inputs!$C$182:$F$185,4,FALSE)</f>
        <v>0</v>
      </c>
      <c r="I42" s="449"/>
      <c r="J42" s="734"/>
      <c r="K42" s="445"/>
      <c r="L42" s="432"/>
      <c r="M42" s="432"/>
      <c r="N42" s="432"/>
      <c r="O42" s="432"/>
      <c r="P42" s="432"/>
      <c r="Q42" s="432"/>
      <c r="R42" s="432"/>
      <c r="S42" s="432"/>
      <c r="T42" s="432"/>
      <c r="U42" s="432"/>
      <c r="V42" s="432"/>
      <c r="W42" s="432"/>
      <c r="X42" s="432"/>
      <c r="Y42" s="432"/>
      <c r="Z42" s="432"/>
      <c r="AA42" s="432"/>
      <c r="AB42" s="432"/>
      <c r="AC42" s="432"/>
      <c r="AD42" s="432"/>
      <c r="AE42" s="432"/>
      <c r="AF42" s="432"/>
      <c r="AG42" s="432"/>
    </row>
    <row r="43" spans="1:33" s="649" customFormat="1" ht="16.5" customHeight="1" outlineLevel="2">
      <c r="A43" s="434"/>
      <c r="B43" s="735" t="s">
        <v>40</v>
      </c>
      <c r="C43" s="732" t="str">
        <f>"Purchases: "&amp;C42</f>
        <v>Purchases: Land and Buildings</v>
      </c>
      <c r="D43" s="736"/>
      <c r="E43" s="681"/>
      <c r="F43" s="681"/>
      <c r="G43" s="681"/>
      <c r="H43" s="681"/>
      <c r="I43" s="449"/>
      <c r="J43" s="734"/>
      <c r="K43" s="445"/>
      <c r="L43" s="432"/>
      <c r="M43" s="432"/>
      <c r="N43" s="432"/>
      <c r="O43" s="432"/>
      <c r="P43" s="432"/>
      <c r="Q43" s="432"/>
      <c r="R43" s="432"/>
      <c r="S43" s="432"/>
      <c r="T43" s="432"/>
      <c r="U43" s="432"/>
      <c r="V43" s="432"/>
      <c r="W43" s="432"/>
      <c r="X43" s="432"/>
      <c r="Y43" s="432"/>
      <c r="Z43" s="432"/>
      <c r="AA43" s="432"/>
      <c r="AB43" s="432"/>
      <c r="AC43" s="432"/>
      <c r="AD43" s="432"/>
      <c r="AE43" s="432"/>
      <c r="AF43" s="432"/>
      <c r="AG43" s="432"/>
    </row>
    <row r="44" spans="1:33" s="649" customFormat="1" ht="16.5" customHeight="1" outlineLevel="2">
      <c r="A44" s="434"/>
      <c r="B44" s="434"/>
      <c r="C44" s="641" t="s">
        <v>443</v>
      </c>
      <c r="D44" s="436" t="str">
        <f t="shared" ref="D44:D49" si="119">Currency_Label</f>
        <v>USD</v>
      </c>
      <c r="E44" s="681"/>
      <c r="F44" s="681"/>
      <c r="G44" s="681"/>
      <c r="H44" s="681"/>
      <c r="I44" s="71">
        <f t="shared" ref="I44:I49" si="120">SUMPRODUCT((J$6:AG$6),(J44:AG44))</f>
        <v>0</v>
      </c>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row>
    <row r="45" spans="1:33" s="649" customFormat="1" ht="16.5" customHeight="1" outlineLevel="2">
      <c r="A45" s="434"/>
      <c r="B45" s="434"/>
      <c r="C45" s="641" t="s">
        <v>444</v>
      </c>
      <c r="D45" s="436" t="str">
        <f t="shared" si="119"/>
        <v>USD</v>
      </c>
      <c r="E45" s="681"/>
      <c r="F45" s="681"/>
      <c r="G45" s="681"/>
      <c r="H45" s="681"/>
      <c r="I45" s="71">
        <f t="shared" si="120"/>
        <v>0</v>
      </c>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row>
    <row r="46" spans="1:33" s="649" customFormat="1" ht="16.5" customHeight="1" outlineLevel="2">
      <c r="A46" s="434"/>
      <c r="B46" s="434"/>
      <c r="C46" s="641" t="s">
        <v>445</v>
      </c>
      <c r="D46" s="436" t="str">
        <f t="shared" si="119"/>
        <v>USD</v>
      </c>
      <c r="E46" s="681"/>
      <c r="F46" s="681"/>
      <c r="G46" s="681"/>
      <c r="H46" s="681"/>
      <c r="I46" s="71">
        <f t="shared" si="120"/>
        <v>0</v>
      </c>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row>
    <row r="47" spans="1:33" s="649" customFormat="1" ht="16.5" customHeight="1" outlineLevel="2">
      <c r="A47" s="434"/>
      <c r="B47" s="434"/>
      <c r="C47" s="641" t="s">
        <v>446</v>
      </c>
      <c r="D47" s="436" t="str">
        <f t="shared" si="119"/>
        <v>USD</v>
      </c>
      <c r="E47" s="681"/>
      <c r="F47" s="681"/>
      <c r="G47" s="681"/>
      <c r="H47" s="681"/>
      <c r="I47" s="71">
        <f t="shared" si="120"/>
        <v>0</v>
      </c>
      <c r="J47" s="269"/>
      <c r="K47" s="269"/>
      <c r="L47" s="269"/>
      <c r="M47" s="269"/>
      <c r="N47" s="269"/>
      <c r="O47" s="269"/>
      <c r="P47" s="269"/>
      <c r="Q47" s="269"/>
      <c r="R47" s="269"/>
      <c r="S47" s="269"/>
      <c r="T47" s="269"/>
      <c r="U47" s="269"/>
      <c r="V47" s="269"/>
      <c r="W47" s="269"/>
      <c r="X47" s="269"/>
      <c r="Y47" s="269"/>
      <c r="Z47" s="269"/>
      <c r="AA47" s="269"/>
      <c r="AB47" s="269"/>
      <c r="AC47" s="269"/>
      <c r="AD47" s="269"/>
      <c r="AE47" s="269"/>
      <c r="AF47" s="269"/>
      <c r="AG47" s="269"/>
    </row>
    <row r="48" spans="1:33" s="649" customFormat="1" ht="16.5" customHeight="1" outlineLevel="2">
      <c r="A48" s="434"/>
      <c r="B48" s="434"/>
      <c r="C48" s="641" t="s">
        <v>447</v>
      </c>
      <c r="D48" s="436" t="str">
        <f t="shared" si="119"/>
        <v>USD</v>
      </c>
      <c r="E48" s="681"/>
      <c r="F48" s="681"/>
      <c r="G48" s="681"/>
      <c r="H48" s="681"/>
      <c r="I48" s="71">
        <f t="shared" si="120"/>
        <v>0</v>
      </c>
      <c r="J48" s="269"/>
      <c r="K48" s="269"/>
      <c r="L48" s="269"/>
      <c r="M48" s="269"/>
      <c r="N48" s="269"/>
      <c r="O48" s="269"/>
      <c r="P48" s="269"/>
      <c r="Q48" s="269"/>
      <c r="R48" s="269"/>
      <c r="S48" s="269"/>
      <c r="T48" s="269"/>
      <c r="U48" s="269"/>
      <c r="V48" s="269"/>
      <c r="W48" s="269"/>
      <c r="X48" s="269"/>
      <c r="Y48" s="269"/>
      <c r="Z48" s="269"/>
      <c r="AA48" s="269"/>
      <c r="AB48" s="269"/>
      <c r="AC48" s="269"/>
      <c r="AD48" s="269"/>
      <c r="AE48" s="269"/>
      <c r="AF48" s="269"/>
      <c r="AG48" s="269"/>
    </row>
    <row r="49" spans="1:33" s="649" customFormat="1" ht="16.5" customHeight="1" outlineLevel="2">
      <c r="A49" s="434"/>
      <c r="B49" s="434"/>
      <c r="C49" s="435" t="s">
        <v>448</v>
      </c>
      <c r="D49" s="436" t="str">
        <f t="shared" si="119"/>
        <v>USD</v>
      </c>
      <c r="E49" s="681"/>
      <c r="F49" s="681"/>
      <c r="G49" s="681"/>
      <c r="H49" s="681"/>
      <c r="I49" s="71">
        <f t="shared" si="120"/>
        <v>0</v>
      </c>
      <c r="J49" s="741">
        <f>SUM(J44:J48)*J$6</f>
        <v>0</v>
      </c>
      <c r="K49" s="741">
        <f t="shared" ref="K49" si="121">SUM(K44:K48)*K$6</f>
        <v>0</v>
      </c>
      <c r="L49" s="741">
        <f t="shared" ref="L49" si="122">SUM(L44:L48)*L$6</f>
        <v>0</v>
      </c>
      <c r="M49" s="741">
        <f t="shared" ref="M49" si="123">SUM(M44:M48)*M$6</f>
        <v>0</v>
      </c>
      <c r="N49" s="741">
        <f t="shared" ref="N49" si="124">SUM(N44:N48)*N$6</f>
        <v>0</v>
      </c>
      <c r="O49" s="741">
        <f t="shared" ref="O49" si="125">SUM(O44:O48)*O$6</f>
        <v>0</v>
      </c>
      <c r="P49" s="741">
        <f t="shared" ref="P49" si="126">SUM(P44:P48)*P$6</f>
        <v>0</v>
      </c>
      <c r="Q49" s="741">
        <f t="shared" ref="Q49" si="127">SUM(Q44:Q48)*Q$6</f>
        <v>0</v>
      </c>
      <c r="R49" s="741">
        <f t="shared" ref="R49" si="128">SUM(R44:R48)*R$6</f>
        <v>0</v>
      </c>
      <c r="S49" s="741">
        <f t="shared" ref="S49" si="129">SUM(S44:S48)*S$6</f>
        <v>0</v>
      </c>
      <c r="T49" s="741">
        <f t="shared" ref="T49" si="130">SUM(T44:T48)*T$6</f>
        <v>0</v>
      </c>
      <c r="U49" s="741">
        <f t="shared" ref="U49" si="131">SUM(U44:U48)*U$6</f>
        <v>0</v>
      </c>
      <c r="V49" s="741">
        <f t="shared" ref="V49" si="132">SUM(V44:V48)*V$6</f>
        <v>0</v>
      </c>
      <c r="W49" s="741">
        <f t="shared" ref="W49" si="133">SUM(W44:W48)*W$6</f>
        <v>0</v>
      </c>
      <c r="X49" s="741">
        <f t="shared" ref="X49" si="134">SUM(X44:X48)*X$6</f>
        <v>0</v>
      </c>
      <c r="Y49" s="741">
        <f t="shared" ref="Y49" si="135">SUM(Y44:Y48)*Y$6</f>
        <v>0</v>
      </c>
      <c r="Z49" s="741">
        <f t="shared" ref="Z49" si="136">SUM(Z44:Z48)*Z$6</f>
        <v>0</v>
      </c>
      <c r="AA49" s="741">
        <f t="shared" ref="AA49" si="137">SUM(AA44:AA48)*AA$6</f>
        <v>0</v>
      </c>
      <c r="AB49" s="741">
        <f t="shared" ref="AB49" si="138">SUM(AB44:AB48)*AB$6</f>
        <v>0</v>
      </c>
      <c r="AC49" s="741">
        <f t="shared" ref="AC49" si="139">SUM(AC44:AC48)*AC$6</f>
        <v>0</v>
      </c>
      <c r="AD49" s="741">
        <f t="shared" ref="AD49" si="140">SUM(AD44:AD48)*AD$6</f>
        <v>0</v>
      </c>
      <c r="AE49" s="741">
        <f t="shared" ref="AE49" si="141">SUM(AE44:AE48)*AE$6</f>
        <v>0</v>
      </c>
      <c r="AF49" s="741">
        <f t="shared" ref="AF49" si="142">SUM(AF44:AF48)*AF$6</f>
        <v>0</v>
      </c>
      <c r="AG49" s="741">
        <f t="shared" ref="AG49" si="143">SUM(AG44:AG48)*AG$6</f>
        <v>0</v>
      </c>
    </row>
    <row r="50" spans="1:33" s="649" customFormat="1" ht="16.5" customHeight="1" outlineLevel="2">
      <c r="A50" s="434"/>
      <c r="B50" s="735" t="s">
        <v>42</v>
      </c>
      <c r="C50" s="732" t="str">
        <f>"Depreciation: "&amp;C42</f>
        <v>Depreciation: Land and Buildings</v>
      </c>
      <c r="D50" s="681"/>
      <c r="E50" s="681"/>
      <c r="F50" s="681"/>
      <c r="G50" s="681"/>
      <c r="H50" s="445"/>
      <c r="I50" s="445"/>
      <c r="J50" s="445"/>
      <c r="K50" s="445"/>
      <c r="L50" s="432"/>
      <c r="M50" s="432"/>
      <c r="N50" s="432"/>
      <c r="O50" s="432"/>
      <c r="P50" s="432"/>
      <c r="Q50" s="432"/>
      <c r="R50" s="432"/>
      <c r="S50" s="432"/>
      <c r="T50" s="432"/>
      <c r="U50" s="432"/>
      <c r="V50" s="432"/>
      <c r="W50" s="432"/>
      <c r="X50" s="432"/>
      <c r="Y50" s="432"/>
      <c r="Z50" s="432"/>
      <c r="AA50" s="432"/>
      <c r="AB50" s="432"/>
      <c r="AC50" s="432"/>
      <c r="AD50" s="432"/>
      <c r="AE50" s="432"/>
      <c r="AF50" s="432"/>
      <c r="AG50" s="432"/>
    </row>
    <row r="51" spans="1:33" s="649" customFormat="1" ht="16.5" customHeight="1" outlineLevel="2">
      <c r="A51" s="434"/>
      <c r="B51" s="434"/>
      <c r="C51" s="435" t="s">
        <v>449</v>
      </c>
      <c r="D51" s="436" t="str">
        <f>Currency_Label</f>
        <v>USD</v>
      </c>
      <c r="E51" s="681"/>
      <c r="F51" s="688" t="s">
        <v>450</v>
      </c>
      <c r="G51" s="688" t="s">
        <v>30</v>
      </c>
      <c r="H51" s="528"/>
      <c r="I51" s="147">
        <f>Inputs!F225</f>
        <v>100000</v>
      </c>
      <c r="J51" s="357">
        <f t="shared" ref="J51:M51" si="144">(I51+J49+J55+J57-J62)*J$6</f>
        <v>100000</v>
      </c>
      <c r="K51" s="357">
        <f t="shared" si="144"/>
        <v>100000</v>
      </c>
      <c r="L51" s="357">
        <f t="shared" si="144"/>
        <v>100000</v>
      </c>
      <c r="M51" s="357">
        <f t="shared" si="144"/>
        <v>100000</v>
      </c>
      <c r="N51" s="357">
        <f t="shared" ref="N51:AG51" si="145">(M51+N49+N55+N57-N62)*N$6</f>
        <v>100000</v>
      </c>
      <c r="O51" s="357">
        <f t="shared" si="145"/>
        <v>100000</v>
      </c>
      <c r="P51" s="357">
        <f t="shared" si="145"/>
        <v>100000</v>
      </c>
      <c r="Q51" s="357">
        <f t="shared" si="145"/>
        <v>100000</v>
      </c>
      <c r="R51" s="357">
        <f t="shared" si="145"/>
        <v>100000</v>
      </c>
      <c r="S51" s="357">
        <f t="shared" si="145"/>
        <v>100000</v>
      </c>
      <c r="T51" s="357">
        <f t="shared" si="145"/>
        <v>100000</v>
      </c>
      <c r="U51" s="357">
        <f t="shared" si="145"/>
        <v>100000</v>
      </c>
      <c r="V51" s="357">
        <f t="shared" si="145"/>
        <v>100000</v>
      </c>
      <c r="W51" s="357">
        <f t="shared" si="145"/>
        <v>100000</v>
      </c>
      <c r="X51" s="357">
        <f t="shared" si="145"/>
        <v>100000</v>
      </c>
      <c r="Y51" s="357">
        <f t="shared" si="145"/>
        <v>100000</v>
      </c>
      <c r="Z51" s="357">
        <f t="shared" si="145"/>
        <v>100000</v>
      </c>
      <c r="AA51" s="357">
        <f t="shared" si="145"/>
        <v>100000</v>
      </c>
      <c r="AB51" s="357">
        <f t="shared" si="145"/>
        <v>100000</v>
      </c>
      <c r="AC51" s="357">
        <f t="shared" si="145"/>
        <v>100000</v>
      </c>
      <c r="AD51" s="357">
        <f t="shared" si="145"/>
        <v>100000</v>
      </c>
      <c r="AE51" s="357">
        <f t="shared" si="145"/>
        <v>0</v>
      </c>
      <c r="AF51" s="357">
        <f t="shared" si="145"/>
        <v>0</v>
      </c>
      <c r="AG51" s="357">
        <f t="shared" si="145"/>
        <v>0</v>
      </c>
    </row>
    <row r="52" spans="1:33" s="649" customFormat="1" ht="16.5" customHeight="1" outlineLevel="2">
      <c r="A52" s="434"/>
      <c r="B52" s="434"/>
      <c r="C52" s="435" t="s">
        <v>463</v>
      </c>
      <c r="D52" s="436" t="str">
        <f>Currency_Label</f>
        <v>USD</v>
      </c>
      <c r="E52" s="681"/>
      <c r="F52" s="744">
        <v>50</v>
      </c>
      <c r="G52" s="746">
        <f>IF(F52=0,0,1/F52)</f>
        <v>0.02</v>
      </c>
      <c r="H52" s="685">
        <f>IF(ABS(MIN($J52:$AG52))&gt;0.01,1,0)</f>
        <v>0</v>
      </c>
      <c r="I52" s="71">
        <f>SUM(J52:AG52)</f>
        <v>42000</v>
      </c>
      <c r="J52" s="742">
        <f t="shared" ref="J52" si="146">IF(I51-I53&lt;IF($F53=1,$G52*I51,(I51-I53)*2*$G52),I51-I53,IF($F53=1,$G52*I51,(I51-I53)*2*$G52))*J$6</f>
        <v>2000</v>
      </c>
      <c r="K52" s="742">
        <f t="shared" ref="K52" si="147">IF(J51-J53&lt;IF($F53=1,$G52*J51,(J51-J53)*2*$G52),J51-J53,IF($F53=1,$G52*J51,(J51-J53)*2*$G52))*K$6</f>
        <v>2000</v>
      </c>
      <c r="L52" s="742">
        <f t="shared" ref="L52" si="148">IF(K51-K53&lt;IF($F53=1,$G52*K51,(K51-K53)*2*$G52),K51-K53,IF($F53=1,$G52*K51,(K51-K53)*2*$G52))*L$6</f>
        <v>2000</v>
      </c>
      <c r="M52" s="742">
        <f t="shared" ref="M52" si="149">IF(L51-L53&lt;IF($F53=1,$G52*L51,(L51-L53)*2*$G52),L51-L53,IF($F53=1,$G52*L51,(L51-L53)*2*$G52))*M$6</f>
        <v>2000</v>
      </c>
      <c r="N52" s="742">
        <f t="shared" ref="N52" si="150">IF(M51-M53&lt;IF($F53=1,$G52*M51,(M51-M53)*2*$G52),M51-M53,IF($F53=1,$G52*M51,(M51-M53)*2*$G52))*N$6</f>
        <v>2000</v>
      </c>
      <c r="O52" s="742">
        <f t="shared" ref="O52" si="151">IF(N51-N53&lt;IF($F53=1,$G52*N51,(N51-N53)*2*$G52),N51-N53,IF($F53=1,$G52*N51,(N51-N53)*2*$G52))*O$6</f>
        <v>2000</v>
      </c>
      <c r="P52" s="742">
        <f t="shared" ref="P52" si="152">IF(O51-O53&lt;IF($F53=1,$G52*O51,(O51-O53)*2*$G52),O51-O53,IF($F53=1,$G52*O51,(O51-O53)*2*$G52))*P$6</f>
        <v>2000</v>
      </c>
      <c r="Q52" s="742">
        <f t="shared" ref="Q52" si="153">IF(P51-P53&lt;IF($F53=1,$G52*P51,(P51-P53)*2*$G52),P51-P53,IF($F53=1,$G52*P51,(P51-P53)*2*$G52))*Q$6</f>
        <v>2000</v>
      </c>
      <c r="R52" s="742">
        <f t="shared" ref="R52" si="154">IF(Q51-Q53&lt;IF($F53=1,$G52*Q51,(Q51-Q53)*2*$G52),Q51-Q53,IF($F53=1,$G52*Q51,(Q51-Q53)*2*$G52))*R$6</f>
        <v>2000</v>
      </c>
      <c r="S52" s="742">
        <f t="shared" ref="S52" si="155">IF(R51-R53&lt;IF($F53=1,$G52*R51,(R51-R53)*2*$G52),R51-R53,IF($F53=1,$G52*R51,(R51-R53)*2*$G52))*S$6</f>
        <v>2000</v>
      </c>
      <c r="T52" s="742">
        <f t="shared" ref="T52" si="156">IF(S51-S53&lt;IF($F53=1,$G52*S51,(S51-S53)*2*$G52),S51-S53,IF($F53=1,$G52*S51,(S51-S53)*2*$G52))*T$6</f>
        <v>2000</v>
      </c>
      <c r="U52" s="742">
        <f t="shared" ref="U52" si="157">IF(T51-T53&lt;IF($F53=1,$G52*T51,(T51-T53)*2*$G52),T51-T53,IF($F53=1,$G52*T51,(T51-T53)*2*$G52))*U$6</f>
        <v>2000</v>
      </c>
      <c r="V52" s="742">
        <f t="shared" ref="V52" si="158">IF(U51-U53&lt;IF($F53=1,$G52*U51,(U51-U53)*2*$G52),U51-U53,IF($F53=1,$G52*U51,(U51-U53)*2*$G52))*V$6</f>
        <v>2000</v>
      </c>
      <c r="W52" s="742">
        <f t="shared" ref="W52" si="159">IF(V51-V53&lt;IF($F53=1,$G52*V51,(V51-V53)*2*$G52),V51-V53,IF($F53=1,$G52*V51,(V51-V53)*2*$G52))*W$6</f>
        <v>2000</v>
      </c>
      <c r="X52" s="742">
        <f t="shared" ref="X52" si="160">IF(W51-W53&lt;IF($F53=1,$G52*W51,(W51-W53)*2*$G52),W51-W53,IF($F53=1,$G52*W51,(W51-W53)*2*$G52))*X$6</f>
        <v>2000</v>
      </c>
      <c r="Y52" s="742">
        <f t="shared" ref="Y52" si="161">IF(X51-X53&lt;IF($F53=1,$G52*X51,(X51-X53)*2*$G52),X51-X53,IF($F53=1,$G52*X51,(X51-X53)*2*$G52))*Y$6</f>
        <v>2000</v>
      </c>
      <c r="Z52" s="742">
        <f t="shared" ref="Z52" si="162">IF(Y51-Y53&lt;IF($F53=1,$G52*Y51,(Y51-Y53)*2*$G52),Y51-Y53,IF($F53=1,$G52*Y51,(Y51-Y53)*2*$G52))*Z$6</f>
        <v>2000</v>
      </c>
      <c r="AA52" s="742">
        <f t="shared" ref="AA52" si="163">IF(Z51-Z53&lt;IF($F53=1,$G52*Z51,(Z51-Z53)*2*$G52),Z51-Z53,IF($F53=1,$G52*Z51,(Z51-Z53)*2*$G52))*AA$6</f>
        <v>2000</v>
      </c>
      <c r="AB52" s="742">
        <f t="shared" ref="AB52" si="164">IF(AA51-AA53&lt;IF($F53=1,$G52*AA51,(AA51-AA53)*2*$G52),AA51-AA53,IF($F53=1,$G52*AA51,(AA51-AA53)*2*$G52))*AB$6</f>
        <v>2000</v>
      </c>
      <c r="AC52" s="742">
        <f t="shared" ref="AC52" si="165">IF(AB51-AB53&lt;IF($F53=1,$G52*AB51,(AB51-AB53)*2*$G52),AB51-AB53,IF($F53=1,$G52*AB51,(AB51-AB53)*2*$G52))*AC$6</f>
        <v>2000</v>
      </c>
      <c r="AD52" s="742">
        <f t="shared" ref="AD52" si="166">IF(AC51-AC53&lt;IF($F53=1,$G52*AC51,(AC51-AC53)*2*$G52),AC51-AC53,IF($F53=1,$G52*AC51,(AC51-AC53)*2*$G52))*AD$6</f>
        <v>2000</v>
      </c>
      <c r="AE52" s="742">
        <f t="shared" ref="AE52" si="167">IF(AD51-AD53&lt;IF($F53=1,$G52*AD51,(AD51-AD53)*2*$G52),AD51-AD53,IF($F53=1,$G52*AD51,(AD51-AD53)*2*$G52))*AE$6</f>
        <v>0</v>
      </c>
      <c r="AF52" s="742">
        <f t="shared" ref="AF52" si="168">IF(AE51-AE53&lt;IF($F53=1,$G52*AE51,(AE51-AE53)*2*$G52),AE51-AE53,IF($F53=1,$G52*AE51,(AE51-AE53)*2*$G52))*AF$6</f>
        <v>0</v>
      </c>
      <c r="AG52" s="742">
        <f t="shared" ref="AG52" si="169">IF(AF51-AF53&lt;IF($F53=1,$G52*AF51,(AF51-AF53)*2*$G52),AF51-AF53,IF($F53=1,$G52*AF51,(AF51-AF53)*2*$G52))*AG$6</f>
        <v>0</v>
      </c>
    </row>
    <row r="53" spans="1:33" s="649" customFormat="1" ht="16.5" customHeight="1" outlineLevel="2">
      <c r="A53" s="434"/>
      <c r="B53" s="434"/>
      <c r="C53" s="435" t="s">
        <v>464</v>
      </c>
      <c r="D53" s="436" t="str">
        <f>Currency_Label</f>
        <v>USD</v>
      </c>
      <c r="E53" s="274" t="s">
        <v>451</v>
      </c>
      <c r="F53" s="745">
        <v>1</v>
      </c>
      <c r="G53" s="738" t="str">
        <f>IF(F53=1," straight-line"," double declining balance")</f>
        <v xml:space="preserve"> straight-line</v>
      </c>
      <c r="H53" s="528"/>
      <c r="I53" s="740"/>
      <c r="J53" s="743">
        <f t="shared" ref="J53" si="170">(I53+J52-J63)*J$6</f>
        <v>2000</v>
      </c>
      <c r="K53" s="743">
        <f t="shared" ref="K53" si="171">(J53+K52-K63)*K$6</f>
        <v>4000</v>
      </c>
      <c r="L53" s="743">
        <f t="shared" ref="L53" si="172">(K53+L52-L63)*L$6</f>
        <v>6000</v>
      </c>
      <c r="M53" s="743">
        <f t="shared" ref="M53" si="173">(L53+M52-M63)*M$6</f>
        <v>8000</v>
      </c>
      <c r="N53" s="743">
        <f t="shared" ref="N53" si="174">(M53+N52-N63)*N$6</f>
        <v>10000</v>
      </c>
      <c r="O53" s="743">
        <f t="shared" ref="O53" si="175">(N53+O52-O63)*O$6</f>
        <v>12000</v>
      </c>
      <c r="P53" s="743">
        <f t="shared" ref="P53" si="176">(O53+P52-P63)*P$6</f>
        <v>14000</v>
      </c>
      <c r="Q53" s="743">
        <f t="shared" ref="Q53" si="177">(P53+Q52-Q63)*Q$6</f>
        <v>16000</v>
      </c>
      <c r="R53" s="743">
        <f t="shared" ref="R53" si="178">(Q53+R52-R63)*R$6</f>
        <v>18000</v>
      </c>
      <c r="S53" s="743">
        <f t="shared" ref="S53" si="179">(R53+S52-S63)*S$6</f>
        <v>20000</v>
      </c>
      <c r="T53" s="743">
        <f t="shared" ref="T53" si="180">(S53+T52-T63)*T$6</f>
        <v>22000</v>
      </c>
      <c r="U53" s="743">
        <f t="shared" ref="U53" si="181">(T53+U52-U63)*U$6</f>
        <v>24000</v>
      </c>
      <c r="V53" s="743">
        <f t="shared" ref="V53" si="182">(U53+V52-V63)*V$6</f>
        <v>26000</v>
      </c>
      <c r="W53" s="743">
        <f t="shared" ref="W53" si="183">(V53+W52-W63)*W$6</f>
        <v>28000</v>
      </c>
      <c r="X53" s="743">
        <f t="shared" ref="X53" si="184">(W53+X52-X63)*X$6</f>
        <v>30000</v>
      </c>
      <c r="Y53" s="743">
        <f t="shared" ref="Y53" si="185">(X53+Y52-Y63)*Y$6</f>
        <v>32000</v>
      </c>
      <c r="Z53" s="743">
        <f t="shared" ref="Z53" si="186">(Y53+Z52-Z63)*Z$6</f>
        <v>34000</v>
      </c>
      <c r="AA53" s="743">
        <f t="shared" ref="AA53" si="187">(Z53+AA52-AA63)*AA$6</f>
        <v>36000</v>
      </c>
      <c r="AB53" s="743">
        <f t="shared" ref="AB53" si="188">(AA53+AB52-AB63)*AB$6</f>
        <v>38000</v>
      </c>
      <c r="AC53" s="743">
        <f t="shared" ref="AC53" si="189">(AB53+AC52-AC63)*AC$6</f>
        <v>40000</v>
      </c>
      <c r="AD53" s="743">
        <f t="shared" ref="AD53" si="190">(AC53+AD52-AD63)*AD$6</f>
        <v>42000</v>
      </c>
      <c r="AE53" s="743">
        <f t="shared" ref="AE53" si="191">(AD53+AE52-AE63)*AE$6</f>
        <v>0</v>
      </c>
      <c r="AF53" s="743">
        <f t="shared" ref="AF53" si="192">(AE53+AF52-AF63)*AF$6</f>
        <v>0</v>
      </c>
      <c r="AG53" s="743">
        <f t="shared" ref="AG53" si="193">(AF53+AG52-AG63)*AG$6</f>
        <v>0</v>
      </c>
    </row>
    <row r="54" spans="1:33" s="649" customFormat="1" ht="16.5" customHeight="1" outlineLevel="2">
      <c r="A54" s="434"/>
      <c r="B54" s="735" t="s">
        <v>43</v>
      </c>
      <c r="C54" s="732" t="str">
        <f>"Company produced additions: "&amp;C42</f>
        <v>Company produced additions: Land and Buildings</v>
      </c>
      <c r="D54" s="449"/>
      <c r="E54" s="449"/>
      <c r="F54" s="449"/>
      <c r="G54" s="449"/>
      <c r="H54" s="449"/>
      <c r="I54" s="449"/>
      <c r="J54" s="445"/>
      <c r="K54" s="445"/>
      <c r="L54" s="432"/>
      <c r="M54" s="432"/>
      <c r="N54" s="432"/>
      <c r="O54" s="432"/>
      <c r="P54" s="432"/>
      <c r="Q54" s="432"/>
      <c r="R54" s="432"/>
      <c r="S54" s="432"/>
      <c r="T54" s="432"/>
      <c r="U54" s="432"/>
      <c r="V54" s="432"/>
      <c r="W54" s="432"/>
      <c r="X54" s="432"/>
      <c r="Y54" s="432"/>
      <c r="Z54" s="432"/>
      <c r="AA54" s="432"/>
      <c r="AB54" s="432"/>
      <c r="AC54" s="432"/>
      <c r="AD54" s="432"/>
      <c r="AE54" s="432"/>
      <c r="AF54" s="432"/>
      <c r="AG54" s="432"/>
    </row>
    <row r="55" spans="1:33" s="649" customFormat="1" ht="16.5" customHeight="1" outlineLevel="2">
      <c r="A55" s="434"/>
      <c r="B55" s="434"/>
      <c r="C55" s="435" t="str">
        <f>CHOOSE(language,"2. Capitalised assets","2. Capitalized assets")</f>
        <v>2. Capitalized assets</v>
      </c>
      <c r="D55" s="737"/>
      <c r="E55" s="449"/>
      <c r="F55" s="449"/>
      <c r="G55" s="450"/>
      <c r="H55" s="449"/>
      <c r="I55" s="71">
        <f>SUMPRODUCT((J$6:AG$6),(J55:AG55))</f>
        <v>0</v>
      </c>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69"/>
    </row>
    <row r="56" spans="1:33" s="649" customFormat="1" ht="16.5" customHeight="1" outlineLevel="2">
      <c r="A56" s="434"/>
      <c r="B56" s="735" t="s">
        <v>439</v>
      </c>
      <c r="C56" s="732" t="str">
        <f>"Finance Lease: "&amp;C42</f>
        <v>Finance Lease: Land and Buildings</v>
      </c>
      <c r="D56" s="442"/>
      <c r="E56" s="449"/>
      <c r="F56" s="449"/>
      <c r="G56" s="450"/>
      <c r="H56" s="449"/>
      <c r="I56" s="449"/>
      <c r="J56" s="445"/>
      <c r="K56" s="445"/>
      <c r="L56" s="432"/>
      <c r="M56" s="432"/>
      <c r="N56" s="432"/>
      <c r="O56" s="432"/>
      <c r="P56" s="432"/>
      <c r="Q56" s="432"/>
      <c r="R56" s="432"/>
      <c r="S56" s="432"/>
      <c r="T56" s="432"/>
      <c r="U56" s="432"/>
      <c r="V56" s="432"/>
      <c r="W56" s="432"/>
      <c r="X56" s="432"/>
      <c r="Y56" s="432"/>
      <c r="Z56" s="432"/>
      <c r="AA56" s="432"/>
      <c r="AB56" s="432"/>
      <c r="AC56" s="432"/>
      <c r="AD56" s="432"/>
      <c r="AE56" s="432"/>
      <c r="AF56" s="432"/>
      <c r="AG56" s="432"/>
    </row>
    <row r="57" spans="1:33" s="649" customFormat="1" ht="16.5" customHeight="1" outlineLevel="2">
      <c r="A57" s="434"/>
      <c r="B57" s="434"/>
      <c r="C57" s="435" t="s">
        <v>452</v>
      </c>
      <c r="D57" s="436" t="str">
        <f>Currency_Label</f>
        <v>USD</v>
      </c>
      <c r="E57" s="449"/>
      <c r="F57" s="681"/>
      <c r="G57" s="681"/>
      <c r="H57" s="449"/>
      <c r="I57" s="71">
        <f>SUMPRODUCT((J$6:AG$6),(J57:AG57))</f>
        <v>0</v>
      </c>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69"/>
    </row>
    <row r="58" spans="1:33" s="649" customFormat="1" ht="16.5" customHeight="1" outlineLevel="2">
      <c r="A58" s="434"/>
      <c r="B58" s="434"/>
      <c r="C58" s="435" t="s">
        <v>453</v>
      </c>
      <c r="D58" s="436" t="str">
        <f>Currency_Label</f>
        <v>USD</v>
      </c>
      <c r="E58" s="449"/>
      <c r="F58" s="449"/>
      <c r="G58" s="450"/>
      <c r="H58" s="449"/>
      <c r="I58" s="71">
        <f>SUMPRODUCT((J$6:AG$6),(J58:AG58))</f>
        <v>0</v>
      </c>
      <c r="J58" s="269"/>
      <c r="K58" s="269"/>
      <c r="L58" s="269"/>
      <c r="M58" s="269"/>
      <c r="N58" s="269"/>
      <c r="O58" s="269"/>
      <c r="P58" s="269"/>
      <c r="Q58" s="269"/>
      <c r="R58" s="269"/>
      <c r="S58" s="269"/>
      <c r="T58" s="269"/>
      <c r="U58" s="269"/>
      <c r="V58" s="269"/>
      <c r="W58" s="269"/>
      <c r="X58" s="269"/>
      <c r="Y58" s="269"/>
      <c r="Z58" s="269"/>
      <c r="AA58" s="269"/>
      <c r="AB58" s="269"/>
      <c r="AC58" s="269"/>
      <c r="AD58" s="269"/>
      <c r="AE58" s="269"/>
      <c r="AF58" s="269"/>
      <c r="AG58" s="269"/>
    </row>
    <row r="59" spans="1:33" s="649" customFormat="1" ht="16.5" customHeight="1" outlineLevel="2">
      <c r="A59" s="434"/>
      <c r="B59" s="434"/>
      <c r="C59" s="435" t="s">
        <v>454</v>
      </c>
      <c r="D59" s="436" t="str">
        <f>Currency_Label</f>
        <v>USD</v>
      </c>
      <c r="E59" s="449"/>
      <c r="F59" s="449"/>
      <c r="G59" s="450"/>
      <c r="H59" s="449"/>
      <c r="I59" s="71">
        <f>SUMPRODUCT((J$6:AG$6),(J59:AG59))</f>
        <v>0</v>
      </c>
      <c r="J59" s="269"/>
      <c r="K59" s="269"/>
      <c r="L59" s="269"/>
      <c r="M59" s="269"/>
      <c r="N59" s="269"/>
      <c r="O59" s="269"/>
      <c r="P59" s="269"/>
      <c r="Q59" s="269"/>
      <c r="R59" s="269"/>
      <c r="S59" s="269"/>
      <c r="T59" s="269"/>
      <c r="U59" s="269"/>
      <c r="V59" s="269"/>
      <c r="W59" s="269"/>
      <c r="X59" s="269"/>
      <c r="Y59" s="269"/>
      <c r="Z59" s="269"/>
      <c r="AA59" s="269"/>
      <c r="AB59" s="269"/>
      <c r="AC59" s="269"/>
      <c r="AD59" s="269"/>
      <c r="AE59" s="269"/>
      <c r="AF59" s="269"/>
      <c r="AG59" s="269"/>
    </row>
    <row r="60" spans="1:33" s="649" customFormat="1" ht="16.5" customHeight="1" outlineLevel="2">
      <c r="A60" s="434"/>
      <c r="B60" s="735" t="s">
        <v>440</v>
      </c>
      <c r="C60" s="732" t="str">
        <f>CHOOSE(language,"Sale of "&amp;C42,"Disposal of "&amp;C42)</f>
        <v>Disposal of Land and Buildings</v>
      </c>
      <c r="D60" s="442"/>
      <c r="E60" s="449"/>
      <c r="F60" s="449"/>
      <c r="G60" s="450"/>
      <c r="H60" s="449"/>
      <c r="I60" s="449"/>
      <c r="J60" s="445"/>
      <c r="K60" s="445"/>
      <c r="L60" s="432"/>
      <c r="M60" s="432"/>
      <c r="N60" s="432"/>
      <c r="O60" s="432"/>
      <c r="P60" s="432"/>
      <c r="Q60" s="432"/>
      <c r="R60" s="432"/>
      <c r="S60" s="432"/>
      <c r="T60" s="432"/>
      <c r="U60" s="432"/>
      <c r="V60" s="432"/>
      <c r="W60" s="432"/>
      <c r="X60" s="432"/>
      <c r="Y60" s="432"/>
      <c r="Z60" s="432"/>
      <c r="AA60" s="432"/>
      <c r="AB60" s="432"/>
      <c r="AC60" s="432"/>
      <c r="AD60" s="432"/>
      <c r="AE60" s="432"/>
      <c r="AF60" s="432"/>
      <c r="AG60" s="432"/>
    </row>
    <row r="61" spans="1:33" s="649" customFormat="1" ht="16.5" customHeight="1" outlineLevel="2">
      <c r="A61" s="434"/>
      <c r="B61" s="434"/>
      <c r="C61" s="435" t="s">
        <v>455</v>
      </c>
      <c r="D61" s="436" t="str">
        <f>Currency_Label</f>
        <v>USD</v>
      </c>
      <c r="E61" s="449"/>
      <c r="F61" s="449"/>
      <c r="G61" s="450"/>
      <c r="H61" s="739"/>
      <c r="I61" s="71">
        <f>SUMPRODUCT((J$6:AG$6),(J61:AG61))</f>
        <v>0</v>
      </c>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row>
    <row r="62" spans="1:33" s="649" customFormat="1" ht="16.5" customHeight="1" outlineLevel="2">
      <c r="A62" s="434"/>
      <c r="B62" s="434"/>
      <c r="C62" s="435" t="s">
        <v>456</v>
      </c>
      <c r="D62" s="436" t="str">
        <f>Currency_Label</f>
        <v>USD</v>
      </c>
      <c r="E62" s="278" t="str">
        <f>IF(H52=0,"","Error: Please check inputs for sale of assets")</f>
        <v/>
      </c>
      <c r="F62" s="449"/>
      <c r="G62" s="450"/>
      <c r="H62" s="739"/>
      <c r="I62" s="71">
        <f>SUMPRODUCT((J$6:AG$6),(J62:AG62))</f>
        <v>0</v>
      </c>
      <c r="J62" s="269"/>
      <c r="K62" s="269"/>
      <c r="L62" s="269"/>
      <c r="M62" s="269"/>
      <c r="N62" s="269"/>
      <c r="O62" s="269"/>
      <c r="P62" s="269"/>
      <c r="Q62" s="269"/>
      <c r="R62" s="269"/>
      <c r="S62" s="269"/>
      <c r="T62" s="269"/>
      <c r="U62" s="269"/>
      <c r="V62" s="269"/>
      <c r="W62" s="269"/>
      <c r="X62" s="269"/>
      <c r="Y62" s="269"/>
      <c r="Z62" s="269"/>
      <c r="AA62" s="269"/>
      <c r="AB62" s="269"/>
      <c r="AC62" s="269"/>
      <c r="AD62" s="269"/>
      <c r="AE62" s="269"/>
      <c r="AF62" s="269"/>
      <c r="AG62" s="269"/>
    </row>
    <row r="63" spans="1:33" s="649" customFormat="1" ht="16.5" customHeight="1" outlineLevel="2">
      <c r="A63" s="434"/>
      <c r="B63" s="434"/>
      <c r="C63" s="435" t="s">
        <v>465</v>
      </c>
      <c r="D63" s="436" t="str">
        <f>Currency_Label</f>
        <v>USD</v>
      </c>
      <c r="E63" s="278" t="str">
        <f>IF(H52=0,"","Error: Please check inputs for sale of assets")</f>
        <v/>
      </c>
      <c r="F63" s="449"/>
      <c r="G63" s="450"/>
      <c r="H63" s="739"/>
      <c r="I63" s="71">
        <f>SUMPRODUCT((J$6:AG$6),(J63:AG63))</f>
        <v>0</v>
      </c>
      <c r="J63" s="269"/>
      <c r="K63" s="269"/>
      <c r="L63" s="269"/>
      <c r="M63" s="269"/>
      <c r="N63" s="269"/>
      <c r="O63" s="269"/>
      <c r="P63" s="269"/>
      <c r="Q63" s="269"/>
      <c r="R63" s="269"/>
      <c r="S63" s="269"/>
      <c r="T63" s="269"/>
      <c r="U63" s="269"/>
      <c r="V63" s="269"/>
      <c r="W63" s="269"/>
      <c r="X63" s="269"/>
      <c r="Y63" s="269"/>
      <c r="Z63" s="269"/>
      <c r="AA63" s="269"/>
      <c r="AB63" s="269"/>
      <c r="AC63" s="269"/>
      <c r="AD63" s="269"/>
      <c r="AE63" s="269"/>
      <c r="AF63" s="269"/>
      <c r="AG63" s="269"/>
    </row>
    <row r="64" spans="1:33" s="649" customFormat="1" ht="16.5" customHeight="1" outlineLevel="2">
      <c r="A64" s="434"/>
      <c r="B64" s="735" t="s">
        <v>441</v>
      </c>
      <c r="C64" s="732" t="str">
        <f>Name_VAT</f>
        <v>VAT</v>
      </c>
      <c r="D64" s="442"/>
      <c r="E64" s="449"/>
      <c r="F64" s="444"/>
      <c r="G64" s="444"/>
      <c r="H64" s="434"/>
      <c r="I64" s="434"/>
      <c r="J64" s="445"/>
      <c r="K64" s="445"/>
      <c r="L64" s="432"/>
      <c r="M64" s="432"/>
      <c r="N64" s="432"/>
      <c r="O64" s="432"/>
      <c r="P64" s="432"/>
      <c r="Q64" s="432"/>
      <c r="R64" s="432"/>
      <c r="S64" s="432"/>
      <c r="T64" s="432"/>
      <c r="U64" s="432"/>
      <c r="V64" s="432"/>
      <c r="W64" s="432"/>
      <c r="X64" s="432"/>
      <c r="Y64" s="432"/>
      <c r="Z64" s="432"/>
      <c r="AA64" s="432"/>
      <c r="AB64" s="432"/>
      <c r="AC64" s="432"/>
      <c r="AD64" s="432"/>
      <c r="AE64" s="432"/>
      <c r="AF64" s="432"/>
      <c r="AG64" s="432"/>
    </row>
    <row r="65" spans="1:33" s="649" customFormat="1" ht="16.5" customHeight="1" outlineLevel="2">
      <c r="A65" s="434"/>
      <c r="B65" s="434"/>
      <c r="C65" s="24" t="str">
        <f>Name_VAT &amp;" on "&amp;C42 &amp;" purchased &amp; leased"</f>
        <v>VAT on Land and Buildings purchased &amp; leased</v>
      </c>
      <c r="D65" s="8" t="str">
        <f t="shared" ref="D65" si="194">Currency_Label</f>
        <v>USD</v>
      </c>
      <c r="E65" s="85">
        <f>F42</f>
        <v>1</v>
      </c>
      <c r="F65" s="749" t="s">
        <v>462</v>
      </c>
      <c r="G65" s="85">
        <f>H42</f>
        <v>0</v>
      </c>
      <c r="H65" s="346"/>
      <c r="I65" s="71">
        <f>SUM(J65:AG65)</f>
        <v>0</v>
      </c>
      <c r="J65" s="715">
        <f>(J49+J57)*$E65*$G65*J$6</f>
        <v>0</v>
      </c>
      <c r="K65" s="715">
        <f t="shared" ref="K65:M65" si="195">(K49+K57)*$E65*$G65*K$6</f>
        <v>0</v>
      </c>
      <c r="L65" s="715">
        <f t="shared" si="195"/>
        <v>0</v>
      </c>
      <c r="M65" s="715">
        <f t="shared" si="195"/>
        <v>0</v>
      </c>
      <c r="N65" s="715">
        <f t="shared" ref="N65:AG65" si="196">(N49+N57)*$E65*$G65*N$6</f>
        <v>0</v>
      </c>
      <c r="O65" s="715">
        <f t="shared" si="196"/>
        <v>0</v>
      </c>
      <c r="P65" s="715">
        <f t="shared" si="196"/>
        <v>0</v>
      </c>
      <c r="Q65" s="715">
        <f t="shared" si="196"/>
        <v>0</v>
      </c>
      <c r="R65" s="715">
        <f t="shared" si="196"/>
        <v>0</v>
      </c>
      <c r="S65" s="715">
        <f t="shared" si="196"/>
        <v>0</v>
      </c>
      <c r="T65" s="715">
        <f t="shared" si="196"/>
        <v>0</v>
      </c>
      <c r="U65" s="715">
        <f t="shared" si="196"/>
        <v>0</v>
      </c>
      <c r="V65" s="715">
        <f t="shared" si="196"/>
        <v>0</v>
      </c>
      <c r="W65" s="715">
        <f t="shared" si="196"/>
        <v>0</v>
      </c>
      <c r="X65" s="715">
        <f t="shared" si="196"/>
        <v>0</v>
      </c>
      <c r="Y65" s="715">
        <f t="shared" si="196"/>
        <v>0</v>
      </c>
      <c r="Z65" s="715">
        <f t="shared" si="196"/>
        <v>0</v>
      </c>
      <c r="AA65" s="715">
        <f t="shared" si="196"/>
        <v>0</v>
      </c>
      <c r="AB65" s="715">
        <f t="shared" si="196"/>
        <v>0</v>
      </c>
      <c r="AC65" s="715">
        <f t="shared" si="196"/>
        <v>0</v>
      </c>
      <c r="AD65" s="715">
        <f t="shared" si="196"/>
        <v>0</v>
      </c>
      <c r="AE65" s="715">
        <f t="shared" si="196"/>
        <v>0</v>
      </c>
      <c r="AF65" s="715">
        <f t="shared" si="196"/>
        <v>0</v>
      </c>
      <c r="AG65" s="715">
        <f t="shared" si="196"/>
        <v>0</v>
      </c>
    </row>
    <row r="66" spans="1:33" s="649" customFormat="1" ht="16.5" customHeight="1" outlineLevel="2">
      <c r="A66" s="434"/>
      <c r="B66" s="434"/>
      <c r="C66" s="448"/>
      <c r="D66" s="442"/>
      <c r="E66" s="449"/>
      <c r="F66" s="444"/>
      <c r="G66" s="444"/>
      <c r="H66" s="434"/>
      <c r="I66" s="434"/>
      <c r="J66" s="445"/>
      <c r="K66" s="445"/>
      <c r="L66" s="432"/>
      <c r="M66" s="432"/>
      <c r="N66" s="432"/>
      <c r="O66" s="432"/>
      <c r="P66" s="432"/>
      <c r="Q66" s="432"/>
      <c r="R66" s="432"/>
      <c r="S66" s="432"/>
      <c r="T66" s="432"/>
      <c r="U66" s="432"/>
      <c r="V66" s="432"/>
      <c r="W66" s="432"/>
      <c r="X66" s="432"/>
      <c r="Y66" s="432"/>
      <c r="Z66" s="432"/>
      <c r="AA66" s="432"/>
      <c r="AB66" s="432"/>
      <c r="AC66" s="432"/>
      <c r="AD66" s="432"/>
      <c r="AE66" s="432"/>
      <c r="AF66" s="432"/>
      <c r="AG66" s="432"/>
    </row>
    <row r="67" spans="1:33" s="649" customFormat="1" ht="16.5" customHeight="1" outlineLevel="1">
      <c r="A67" s="434"/>
      <c r="B67" s="735">
        <v>2</v>
      </c>
      <c r="C67" s="732" t="s">
        <v>469</v>
      </c>
      <c r="D67" s="442"/>
      <c r="E67" s="449"/>
      <c r="F67" s="449"/>
      <c r="G67" s="450"/>
      <c r="H67" s="449"/>
      <c r="I67" s="449"/>
      <c r="J67" s="445"/>
      <c r="K67" s="445"/>
      <c r="L67" s="432"/>
      <c r="M67" s="432"/>
      <c r="N67" s="432"/>
      <c r="O67" s="432"/>
      <c r="P67" s="432"/>
      <c r="Q67" s="432"/>
      <c r="R67" s="432"/>
      <c r="S67" s="432"/>
      <c r="T67" s="432"/>
      <c r="U67" s="432"/>
      <c r="V67" s="432"/>
      <c r="W67" s="432"/>
      <c r="X67" s="432"/>
      <c r="Y67" s="432"/>
      <c r="Z67" s="432"/>
      <c r="AA67" s="432"/>
      <c r="AB67" s="432"/>
      <c r="AC67" s="432"/>
      <c r="AD67" s="432"/>
      <c r="AE67" s="432"/>
      <c r="AF67" s="432"/>
      <c r="AG67" s="432"/>
    </row>
    <row r="68" spans="1:33" s="649" customFormat="1" ht="16.5" customHeight="1" outlineLevel="1">
      <c r="A68" s="434"/>
      <c r="B68" s="444"/>
      <c r="C68" s="641" t="s">
        <v>466</v>
      </c>
      <c r="D68" s="733"/>
      <c r="E68" s="528" t="s">
        <v>461</v>
      </c>
      <c r="F68" s="748">
        <v>0.8</v>
      </c>
      <c r="G68" s="641" t="s">
        <v>130</v>
      </c>
      <c r="H68" s="85">
        <f>VLOOKUP(G68,Inputs!$C$182:$F$185,4,FALSE)</f>
        <v>0.2</v>
      </c>
      <c r="I68" s="449"/>
      <c r="J68" s="734"/>
      <c r="K68" s="445"/>
      <c r="L68" s="432"/>
      <c r="M68" s="432"/>
      <c r="N68" s="432"/>
      <c r="O68" s="432"/>
      <c r="P68" s="432"/>
      <c r="Q68" s="432"/>
      <c r="R68" s="432"/>
      <c r="S68" s="432"/>
      <c r="T68" s="432"/>
      <c r="U68" s="432"/>
      <c r="V68" s="432"/>
      <c r="W68" s="432"/>
      <c r="X68" s="432"/>
      <c r="Y68" s="432"/>
      <c r="Z68" s="432"/>
      <c r="AA68" s="432"/>
      <c r="AB68" s="432"/>
      <c r="AC68" s="432"/>
      <c r="AD68" s="432"/>
      <c r="AE68" s="432"/>
      <c r="AF68" s="432"/>
      <c r="AG68" s="432"/>
    </row>
    <row r="69" spans="1:33" s="649" customFormat="1" ht="16.5" customHeight="1" outlineLevel="2">
      <c r="A69" s="434"/>
      <c r="B69" s="735" t="s">
        <v>40</v>
      </c>
      <c r="C69" s="732" t="str">
        <f>"Purchases: "&amp;C68</f>
        <v>Purchases: Plant &amp; Machinery</v>
      </c>
      <c r="D69" s="736"/>
      <c r="E69" s="681"/>
      <c r="F69" s="681"/>
      <c r="G69" s="681"/>
      <c r="H69" s="681"/>
      <c r="I69" s="449"/>
      <c r="J69" s="734"/>
      <c r="K69" s="445"/>
      <c r="L69" s="432"/>
      <c r="M69" s="432"/>
      <c r="N69" s="432"/>
      <c r="O69" s="432"/>
      <c r="P69" s="432"/>
      <c r="Q69" s="432"/>
      <c r="R69" s="432"/>
      <c r="S69" s="432"/>
      <c r="T69" s="432"/>
      <c r="U69" s="432"/>
      <c r="V69" s="432"/>
      <c r="W69" s="432"/>
      <c r="X69" s="432"/>
      <c r="Y69" s="432"/>
      <c r="Z69" s="432"/>
      <c r="AA69" s="432"/>
      <c r="AB69" s="432"/>
      <c r="AC69" s="432"/>
      <c r="AD69" s="432"/>
      <c r="AE69" s="432"/>
      <c r="AF69" s="432"/>
      <c r="AG69" s="432"/>
    </row>
    <row r="70" spans="1:33" s="649" customFormat="1" ht="16.5" customHeight="1" outlineLevel="2">
      <c r="A70" s="434"/>
      <c r="B70" s="434"/>
      <c r="C70" s="641" t="s">
        <v>443</v>
      </c>
      <c r="D70" s="436" t="str">
        <f t="shared" ref="D70:D75" si="197">Currency_Label</f>
        <v>USD</v>
      </c>
      <c r="E70" s="681"/>
      <c r="F70" s="681"/>
      <c r="G70" s="681"/>
      <c r="H70" s="681"/>
      <c r="I70" s="71">
        <f t="shared" ref="I70:I75" si="198">SUMPRODUCT((J$6:AG$6),(J70:AG70))</f>
        <v>252500</v>
      </c>
      <c r="J70" s="269"/>
      <c r="K70" s="269">
        <v>220000</v>
      </c>
      <c r="L70" s="269"/>
      <c r="M70" s="269"/>
      <c r="N70" s="269"/>
      <c r="O70" s="269"/>
      <c r="P70" s="269"/>
      <c r="Q70" s="269"/>
      <c r="R70" s="269"/>
      <c r="S70" s="269"/>
      <c r="T70" s="269"/>
      <c r="U70" s="269">
        <v>32500</v>
      </c>
      <c r="V70" s="269"/>
      <c r="W70" s="269"/>
      <c r="X70" s="269"/>
      <c r="Y70" s="269"/>
      <c r="Z70" s="269"/>
      <c r="AA70" s="269"/>
      <c r="AB70" s="269"/>
      <c r="AC70" s="269"/>
      <c r="AD70" s="269"/>
      <c r="AE70" s="269"/>
      <c r="AF70" s="269"/>
      <c r="AG70" s="269"/>
    </row>
    <row r="71" spans="1:33" s="649" customFormat="1" ht="16.5" customHeight="1" outlineLevel="2">
      <c r="A71" s="434"/>
      <c r="B71" s="434"/>
      <c r="C71" s="641" t="s">
        <v>444</v>
      </c>
      <c r="D71" s="436" t="str">
        <f t="shared" si="197"/>
        <v>USD</v>
      </c>
      <c r="E71" s="681"/>
      <c r="F71" s="681"/>
      <c r="G71" s="681"/>
      <c r="H71" s="681"/>
      <c r="I71" s="71">
        <f t="shared" si="198"/>
        <v>0</v>
      </c>
      <c r="J71" s="269"/>
      <c r="K71" s="269"/>
      <c r="L71" s="269"/>
      <c r="M71" s="269"/>
      <c r="N71" s="269"/>
      <c r="O71" s="269"/>
      <c r="P71" s="269"/>
      <c r="Q71" s="269"/>
      <c r="R71" s="269"/>
      <c r="S71" s="269"/>
      <c r="T71" s="269"/>
      <c r="U71" s="269"/>
      <c r="V71" s="269"/>
      <c r="W71" s="269"/>
      <c r="X71" s="269"/>
      <c r="Y71" s="269"/>
      <c r="Z71" s="269"/>
      <c r="AA71" s="269"/>
      <c r="AB71" s="269"/>
      <c r="AC71" s="269"/>
      <c r="AD71" s="269"/>
      <c r="AE71" s="269"/>
      <c r="AF71" s="269"/>
      <c r="AG71" s="269"/>
    </row>
    <row r="72" spans="1:33" s="649" customFormat="1" ht="16.5" customHeight="1" outlineLevel="2">
      <c r="A72" s="434"/>
      <c r="B72" s="434"/>
      <c r="C72" s="641" t="s">
        <v>445</v>
      </c>
      <c r="D72" s="436" t="str">
        <f t="shared" si="197"/>
        <v>USD</v>
      </c>
      <c r="E72" s="681"/>
      <c r="F72" s="681"/>
      <c r="G72" s="681"/>
      <c r="H72" s="681"/>
      <c r="I72" s="71">
        <f t="shared" si="198"/>
        <v>0</v>
      </c>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69"/>
    </row>
    <row r="73" spans="1:33" s="649" customFormat="1" ht="16.5" customHeight="1" outlineLevel="2">
      <c r="A73" s="434"/>
      <c r="B73" s="434"/>
      <c r="C73" s="641" t="s">
        <v>446</v>
      </c>
      <c r="D73" s="436" t="str">
        <f t="shared" si="197"/>
        <v>USD</v>
      </c>
      <c r="E73" s="681"/>
      <c r="F73" s="681"/>
      <c r="G73" s="681"/>
      <c r="H73" s="681"/>
      <c r="I73" s="71">
        <f t="shared" si="198"/>
        <v>0</v>
      </c>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row>
    <row r="74" spans="1:33" s="649" customFormat="1" ht="16.5" customHeight="1" outlineLevel="2">
      <c r="A74" s="434"/>
      <c r="B74" s="434"/>
      <c r="C74" s="641" t="s">
        <v>447</v>
      </c>
      <c r="D74" s="436" t="str">
        <f t="shared" si="197"/>
        <v>USD</v>
      </c>
      <c r="E74" s="681"/>
      <c r="F74" s="681"/>
      <c r="G74" s="681"/>
      <c r="H74" s="681"/>
      <c r="I74" s="71">
        <f t="shared" si="198"/>
        <v>0</v>
      </c>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69"/>
    </row>
    <row r="75" spans="1:33" s="649" customFormat="1" ht="16.5" customHeight="1" outlineLevel="2">
      <c r="A75" s="434"/>
      <c r="B75" s="434"/>
      <c r="C75" s="435" t="s">
        <v>448</v>
      </c>
      <c r="D75" s="436" t="str">
        <f t="shared" si="197"/>
        <v>USD</v>
      </c>
      <c r="E75" s="681"/>
      <c r="F75" s="681"/>
      <c r="G75" s="681"/>
      <c r="H75" s="681"/>
      <c r="I75" s="71">
        <f t="shared" si="198"/>
        <v>252500</v>
      </c>
      <c r="J75" s="741">
        <f>SUM(J70:J74)*J$6</f>
        <v>0</v>
      </c>
      <c r="K75" s="741">
        <f t="shared" ref="K75" si="199">SUM(K70:K74)*K$6</f>
        <v>220000</v>
      </c>
      <c r="L75" s="741">
        <f t="shared" ref="L75" si="200">SUM(L70:L74)*L$6</f>
        <v>0</v>
      </c>
      <c r="M75" s="741">
        <f t="shared" ref="M75" si="201">SUM(M70:M74)*M$6</f>
        <v>0</v>
      </c>
      <c r="N75" s="741">
        <f t="shared" ref="N75" si="202">SUM(N70:N74)*N$6</f>
        <v>0</v>
      </c>
      <c r="O75" s="741">
        <f t="shared" ref="O75" si="203">SUM(O70:O74)*O$6</f>
        <v>0</v>
      </c>
      <c r="P75" s="741">
        <f t="shared" ref="P75" si="204">SUM(P70:P74)*P$6</f>
        <v>0</v>
      </c>
      <c r="Q75" s="741">
        <f t="shared" ref="Q75" si="205">SUM(Q70:Q74)*Q$6</f>
        <v>0</v>
      </c>
      <c r="R75" s="741">
        <f t="shared" ref="R75" si="206">SUM(R70:R74)*R$6</f>
        <v>0</v>
      </c>
      <c r="S75" s="741">
        <f t="shared" ref="S75" si="207">SUM(S70:S74)*S$6</f>
        <v>0</v>
      </c>
      <c r="T75" s="741">
        <f t="shared" ref="T75" si="208">SUM(T70:T74)*T$6</f>
        <v>0</v>
      </c>
      <c r="U75" s="741">
        <f t="shared" ref="U75" si="209">SUM(U70:U74)*U$6</f>
        <v>32500</v>
      </c>
      <c r="V75" s="741">
        <f t="shared" ref="V75" si="210">SUM(V70:V74)*V$6</f>
        <v>0</v>
      </c>
      <c r="W75" s="741">
        <f t="shared" ref="W75" si="211">SUM(W70:W74)*W$6</f>
        <v>0</v>
      </c>
      <c r="X75" s="741">
        <f t="shared" ref="X75" si="212">SUM(X70:X74)*X$6</f>
        <v>0</v>
      </c>
      <c r="Y75" s="741">
        <f t="shared" ref="Y75" si="213">SUM(Y70:Y74)*Y$6</f>
        <v>0</v>
      </c>
      <c r="Z75" s="741">
        <f t="shared" ref="Z75" si="214">SUM(Z70:Z74)*Z$6</f>
        <v>0</v>
      </c>
      <c r="AA75" s="741">
        <f t="shared" ref="AA75" si="215">SUM(AA70:AA74)*AA$6</f>
        <v>0</v>
      </c>
      <c r="AB75" s="741">
        <f t="shared" ref="AB75" si="216">SUM(AB70:AB74)*AB$6</f>
        <v>0</v>
      </c>
      <c r="AC75" s="741">
        <f t="shared" ref="AC75" si="217">SUM(AC70:AC74)*AC$6</f>
        <v>0</v>
      </c>
      <c r="AD75" s="741">
        <f t="shared" ref="AD75" si="218">SUM(AD70:AD74)*AD$6</f>
        <v>0</v>
      </c>
      <c r="AE75" s="741">
        <f t="shared" ref="AE75" si="219">SUM(AE70:AE74)*AE$6</f>
        <v>0</v>
      </c>
      <c r="AF75" s="741">
        <f t="shared" ref="AF75" si="220">SUM(AF70:AF74)*AF$6</f>
        <v>0</v>
      </c>
      <c r="AG75" s="741">
        <f t="shared" ref="AG75" si="221">SUM(AG70:AG74)*AG$6</f>
        <v>0</v>
      </c>
    </row>
    <row r="76" spans="1:33" s="649" customFormat="1" ht="16.5" customHeight="1" outlineLevel="2">
      <c r="A76" s="434"/>
      <c r="B76" s="735" t="s">
        <v>42</v>
      </c>
      <c r="C76" s="732" t="str">
        <f>"Depreciation: "&amp;C68</f>
        <v>Depreciation: Plant &amp; Machinery</v>
      </c>
      <c r="D76" s="681"/>
      <c r="E76" s="681"/>
      <c r="F76" s="681"/>
      <c r="G76" s="681"/>
      <c r="H76" s="445"/>
      <c r="I76" s="445"/>
      <c r="J76" s="445"/>
      <c r="K76" s="445"/>
      <c r="L76" s="432"/>
      <c r="M76" s="432"/>
      <c r="N76" s="432"/>
      <c r="O76" s="432"/>
      <c r="P76" s="432"/>
      <c r="Q76" s="432"/>
      <c r="R76" s="432"/>
      <c r="S76" s="432"/>
      <c r="T76" s="432"/>
      <c r="U76" s="432"/>
      <c r="V76" s="432"/>
      <c r="W76" s="432"/>
      <c r="X76" s="432"/>
      <c r="Y76" s="432"/>
      <c r="Z76" s="432"/>
      <c r="AA76" s="432"/>
      <c r="AB76" s="432"/>
      <c r="AC76" s="432"/>
      <c r="AD76" s="432"/>
      <c r="AE76" s="432"/>
      <c r="AF76" s="432"/>
      <c r="AG76" s="432"/>
    </row>
    <row r="77" spans="1:33" s="649" customFormat="1" ht="16.5" customHeight="1" outlineLevel="2">
      <c r="A77" s="434"/>
      <c r="B77" s="434"/>
      <c r="C77" s="435" t="s">
        <v>449</v>
      </c>
      <c r="D77" s="436" t="str">
        <f>Currency_Label</f>
        <v>USD</v>
      </c>
      <c r="E77" s="681"/>
      <c r="F77" s="688" t="s">
        <v>450</v>
      </c>
      <c r="G77" s="688" t="s">
        <v>30</v>
      </c>
      <c r="H77" s="528"/>
      <c r="I77" s="147">
        <f>Inputs!F226</f>
        <v>130000</v>
      </c>
      <c r="J77" s="357">
        <f t="shared" ref="J77:L77" si="222">(I77+J75+J81+J83-J88)*J$6</f>
        <v>130000</v>
      </c>
      <c r="K77" s="357">
        <f t="shared" si="222"/>
        <v>350000</v>
      </c>
      <c r="L77" s="357">
        <f t="shared" si="222"/>
        <v>350000</v>
      </c>
      <c r="M77" s="357">
        <f t="shared" ref="M77:AG77" si="223">(L77+M75+M81+M83-M88)*M$6</f>
        <v>390000</v>
      </c>
      <c r="N77" s="357">
        <f t="shared" si="223"/>
        <v>390000</v>
      </c>
      <c r="O77" s="357">
        <f t="shared" si="223"/>
        <v>390000</v>
      </c>
      <c r="P77" s="357">
        <f t="shared" si="223"/>
        <v>390000</v>
      </c>
      <c r="Q77" s="357">
        <f t="shared" si="223"/>
        <v>390000</v>
      </c>
      <c r="R77" s="357">
        <f t="shared" si="223"/>
        <v>390000</v>
      </c>
      <c r="S77" s="357">
        <f t="shared" si="223"/>
        <v>390000</v>
      </c>
      <c r="T77" s="357">
        <f t="shared" si="223"/>
        <v>390000</v>
      </c>
      <c r="U77" s="357">
        <f t="shared" si="223"/>
        <v>422500</v>
      </c>
      <c r="V77" s="357">
        <f t="shared" si="223"/>
        <v>422500</v>
      </c>
      <c r="W77" s="357">
        <f t="shared" si="223"/>
        <v>422500</v>
      </c>
      <c r="X77" s="357">
        <f t="shared" si="223"/>
        <v>422500</v>
      </c>
      <c r="Y77" s="357">
        <f t="shared" si="223"/>
        <v>422500</v>
      </c>
      <c r="Z77" s="357">
        <f t="shared" si="223"/>
        <v>422500</v>
      </c>
      <c r="AA77" s="357">
        <f t="shared" si="223"/>
        <v>422500</v>
      </c>
      <c r="AB77" s="357">
        <f t="shared" si="223"/>
        <v>422500</v>
      </c>
      <c r="AC77" s="357">
        <f t="shared" si="223"/>
        <v>422500</v>
      </c>
      <c r="AD77" s="357">
        <f t="shared" si="223"/>
        <v>422500</v>
      </c>
      <c r="AE77" s="357">
        <f t="shared" si="223"/>
        <v>0</v>
      </c>
      <c r="AF77" s="357">
        <f t="shared" si="223"/>
        <v>0</v>
      </c>
      <c r="AG77" s="357">
        <f t="shared" si="223"/>
        <v>0</v>
      </c>
    </row>
    <row r="78" spans="1:33" s="649" customFormat="1" ht="16.5" customHeight="1" outlineLevel="2">
      <c r="A78" s="434"/>
      <c r="B78" s="434"/>
      <c r="C78" s="435" t="s">
        <v>463</v>
      </c>
      <c r="D78" s="436" t="str">
        <f>Currency_Label</f>
        <v>USD</v>
      </c>
      <c r="E78" s="681"/>
      <c r="F78" s="744">
        <v>60</v>
      </c>
      <c r="G78" s="746">
        <f>IF(F78=0,0,1/F78)</f>
        <v>1.6666666666666666E-2</v>
      </c>
      <c r="H78" s="685">
        <f>IF(ABS(MIN($J78:$AG78))&gt;0.01,1,0)</f>
        <v>0</v>
      </c>
      <c r="I78" s="71">
        <f>SUM(J78:AG78)</f>
        <v>131375.00000000003</v>
      </c>
      <c r="J78" s="742">
        <f t="shared" ref="J78" si="224">IF(I77-I79&lt;IF($F79=1,$G78*I77,(I77-I79)*2*$G78),I77-I79,IF($F79=1,$G78*I77,(I77-I79)*2*$G78))*J$6</f>
        <v>2166.6666666666665</v>
      </c>
      <c r="K78" s="742">
        <f t="shared" ref="K78" si="225">IF(J77-J79&lt;IF($F79=1,$G78*J77,(J77-J79)*2*$G78),J77-J79,IF($F79=1,$G78*J77,(J77-J79)*2*$G78))*K$6</f>
        <v>2166.6666666666665</v>
      </c>
      <c r="L78" s="742">
        <f t="shared" ref="L78" si="226">IF(K77-K79&lt;IF($F79=1,$G78*K77,(K77-K79)*2*$G78),K77-K79,IF($F79=1,$G78*K77,(K77-K79)*2*$G78))*L$6</f>
        <v>5833.333333333333</v>
      </c>
      <c r="M78" s="742">
        <f t="shared" ref="M78" si="227">IF(L77-L79&lt;IF($F79=1,$G78*L77,(L77-L79)*2*$G78),L77-L79,IF($F79=1,$G78*L77,(L77-L79)*2*$G78))*M$6</f>
        <v>5833.333333333333</v>
      </c>
      <c r="N78" s="742">
        <f t="shared" ref="N78" si="228">IF(M77-M79&lt;IF($F79=1,$G78*M77,(M77-M79)*2*$G78),M77-M79,IF($F79=1,$G78*M77,(M77-M79)*2*$G78))*N$6</f>
        <v>6500</v>
      </c>
      <c r="O78" s="742">
        <f t="shared" ref="O78" si="229">IF(N77-N79&lt;IF($F79=1,$G78*N77,(N77-N79)*2*$G78),N77-N79,IF($F79=1,$G78*N77,(N77-N79)*2*$G78))*O$6</f>
        <v>6500</v>
      </c>
      <c r="P78" s="742">
        <f t="shared" ref="P78" si="230">IF(O77-O79&lt;IF($F79=1,$G78*O77,(O77-O79)*2*$G78),O77-O79,IF($F79=1,$G78*O77,(O77-O79)*2*$G78))*P$6</f>
        <v>6500</v>
      </c>
      <c r="Q78" s="742">
        <f t="shared" ref="Q78" si="231">IF(P77-P79&lt;IF($F79=1,$G78*P77,(P77-P79)*2*$G78),P77-P79,IF($F79=1,$G78*P77,(P77-P79)*2*$G78))*Q$6</f>
        <v>6500</v>
      </c>
      <c r="R78" s="742">
        <f t="shared" ref="R78" si="232">IF(Q77-Q79&lt;IF($F79=1,$G78*Q77,(Q77-Q79)*2*$G78),Q77-Q79,IF($F79=1,$G78*Q77,(Q77-Q79)*2*$G78))*R$6</f>
        <v>6500</v>
      </c>
      <c r="S78" s="742">
        <f t="shared" ref="S78" si="233">IF(R77-R79&lt;IF($F79=1,$G78*R77,(R77-R79)*2*$G78),R77-R79,IF($F79=1,$G78*R77,(R77-R79)*2*$G78))*S$6</f>
        <v>6500</v>
      </c>
      <c r="T78" s="742">
        <f t="shared" ref="T78" si="234">IF(S77-S79&lt;IF($F79=1,$G78*S77,(S77-S79)*2*$G78),S77-S79,IF($F79=1,$G78*S77,(S77-S79)*2*$G78))*T$6</f>
        <v>6500</v>
      </c>
      <c r="U78" s="742">
        <f t="shared" ref="U78" si="235">IF(T77-T79&lt;IF($F79=1,$G78*T77,(T77-T79)*2*$G78),T77-T79,IF($F79=1,$G78*T77,(T77-T79)*2*$G78))*U$6</f>
        <v>6500</v>
      </c>
      <c r="V78" s="742">
        <f t="shared" ref="V78" si="236">IF(U77-U79&lt;IF($F79=1,$G78*U77,(U77-U79)*2*$G78),U77-U79,IF($F79=1,$G78*U77,(U77-U79)*2*$G78))*V$6</f>
        <v>7041.666666666667</v>
      </c>
      <c r="W78" s="742">
        <f t="shared" ref="W78" si="237">IF(V77-V79&lt;IF($F79=1,$G78*V77,(V77-V79)*2*$G78),V77-V79,IF($F79=1,$G78*V77,(V77-V79)*2*$G78))*W$6</f>
        <v>7041.666666666667</v>
      </c>
      <c r="X78" s="742">
        <f t="shared" ref="X78" si="238">IF(W77-W79&lt;IF($F79=1,$G78*W77,(W77-W79)*2*$G78),W77-W79,IF($F79=1,$G78*W77,(W77-W79)*2*$G78))*X$6</f>
        <v>7041.666666666667</v>
      </c>
      <c r="Y78" s="742">
        <f t="shared" ref="Y78" si="239">IF(X77-X79&lt;IF($F79=1,$G78*X77,(X77-X79)*2*$G78),X77-X79,IF($F79=1,$G78*X77,(X77-X79)*2*$G78))*Y$6</f>
        <v>7041.666666666667</v>
      </c>
      <c r="Z78" s="742">
        <f t="shared" ref="Z78" si="240">IF(Y77-Y79&lt;IF($F79=1,$G78*Y77,(Y77-Y79)*2*$G78),Y77-Y79,IF($F79=1,$G78*Y77,(Y77-Y79)*2*$G78))*Z$6</f>
        <v>7041.666666666667</v>
      </c>
      <c r="AA78" s="742">
        <f t="shared" ref="AA78" si="241">IF(Z77-Z79&lt;IF($F79=1,$G78*Z77,(Z77-Z79)*2*$G78),Z77-Z79,IF($F79=1,$G78*Z77,(Z77-Z79)*2*$G78))*AA$6</f>
        <v>7041.666666666667</v>
      </c>
      <c r="AB78" s="742">
        <f t="shared" ref="AB78" si="242">IF(AA77-AA79&lt;IF($F79=1,$G78*AA77,(AA77-AA79)*2*$G78),AA77-AA79,IF($F79=1,$G78*AA77,(AA77-AA79)*2*$G78))*AB$6</f>
        <v>7041.666666666667</v>
      </c>
      <c r="AC78" s="742">
        <f t="shared" ref="AC78" si="243">IF(AB77-AB79&lt;IF($F79=1,$G78*AB77,(AB77-AB79)*2*$G78),AB77-AB79,IF($F79=1,$G78*AB77,(AB77-AB79)*2*$G78))*AC$6</f>
        <v>7041.666666666667</v>
      </c>
      <c r="AD78" s="742">
        <f t="shared" ref="AD78" si="244">IF(AC77-AC79&lt;IF($F79=1,$G78*AC77,(AC77-AC79)*2*$G78),AC77-AC79,IF($F79=1,$G78*AC77,(AC77-AC79)*2*$G78))*AD$6</f>
        <v>7041.666666666667</v>
      </c>
      <c r="AE78" s="742">
        <f t="shared" ref="AE78" si="245">IF(AD77-AD79&lt;IF($F79=1,$G78*AD77,(AD77-AD79)*2*$G78),AD77-AD79,IF($F79=1,$G78*AD77,(AD77-AD79)*2*$G78))*AE$6</f>
        <v>0</v>
      </c>
      <c r="AF78" s="742">
        <f t="shared" ref="AF78" si="246">IF(AE77-AE79&lt;IF($F79=1,$G78*AE77,(AE77-AE79)*2*$G78),AE77-AE79,IF($F79=1,$G78*AE77,(AE77-AE79)*2*$G78))*AF$6</f>
        <v>0</v>
      </c>
      <c r="AG78" s="742">
        <f t="shared" ref="AG78" si="247">IF(AF77-AF79&lt;IF($F79=1,$G78*AF77,(AF77-AF79)*2*$G78),AF77-AF79,IF($F79=1,$G78*AF77,(AF77-AF79)*2*$G78))*AG$6</f>
        <v>0</v>
      </c>
    </row>
    <row r="79" spans="1:33" s="649" customFormat="1" ht="16.5" customHeight="1" outlineLevel="2">
      <c r="A79" s="434"/>
      <c r="B79" s="434"/>
      <c r="C79" s="435" t="s">
        <v>464</v>
      </c>
      <c r="D79" s="436" t="str">
        <f>Currency_Label</f>
        <v>USD</v>
      </c>
      <c r="E79" s="274" t="s">
        <v>451</v>
      </c>
      <c r="F79" s="745">
        <v>1</v>
      </c>
      <c r="G79" s="738" t="str">
        <f>IF(F79=1," straight-line"," double declining balance")</f>
        <v xml:space="preserve"> straight-line</v>
      </c>
      <c r="H79" s="528"/>
      <c r="I79" s="740"/>
      <c r="J79" s="743">
        <f t="shared" ref="J79" si="248">(I79+J78-J89)*J$6</f>
        <v>2166.6666666666665</v>
      </c>
      <c r="K79" s="743">
        <f t="shared" ref="K79" si="249">(J79+K78-K89)*K$6</f>
        <v>4333.333333333333</v>
      </c>
      <c r="L79" s="743">
        <f t="shared" ref="L79" si="250">(K79+L78-L89)*L$6</f>
        <v>10166.666666666666</v>
      </c>
      <c r="M79" s="743">
        <f t="shared" ref="M79" si="251">(L79+M78-M89)*M$6</f>
        <v>16000</v>
      </c>
      <c r="N79" s="743">
        <f t="shared" ref="N79" si="252">(M79+N78-N89)*N$6</f>
        <v>22500</v>
      </c>
      <c r="O79" s="743">
        <f t="shared" ref="O79" si="253">(N79+O78-O89)*O$6</f>
        <v>29000</v>
      </c>
      <c r="P79" s="743">
        <f t="shared" ref="P79" si="254">(O79+P78-P89)*P$6</f>
        <v>35500</v>
      </c>
      <c r="Q79" s="743">
        <f t="shared" ref="Q79" si="255">(P79+Q78-Q89)*Q$6</f>
        <v>42000</v>
      </c>
      <c r="R79" s="743">
        <f t="shared" ref="R79" si="256">(Q79+R78-R89)*R$6</f>
        <v>48500</v>
      </c>
      <c r="S79" s="743">
        <f t="shared" ref="S79" si="257">(R79+S78-S89)*S$6</f>
        <v>55000</v>
      </c>
      <c r="T79" s="743">
        <f t="shared" ref="T79" si="258">(S79+T78-T89)*T$6</f>
        <v>61500</v>
      </c>
      <c r="U79" s="743">
        <f t="shared" ref="U79" si="259">(T79+U78-U89)*U$6</f>
        <v>68000</v>
      </c>
      <c r="V79" s="743">
        <f t="shared" ref="V79" si="260">(U79+V78-V89)*V$6</f>
        <v>75041.666666666672</v>
      </c>
      <c r="W79" s="743">
        <f t="shared" ref="W79" si="261">(V79+W78-W89)*W$6</f>
        <v>82083.333333333343</v>
      </c>
      <c r="X79" s="743">
        <f t="shared" ref="X79" si="262">(W79+X78-X89)*X$6</f>
        <v>89125.000000000015</v>
      </c>
      <c r="Y79" s="743">
        <f t="shared" ref="Y79" si="263">(X79+Y78-Y89)*Y$6</f>
        <v>96166.666666666686</v>
      </c>
      <c r="Z79" s="743">
        <f t="shared" ref="Z79" si="264">(Y79+Z78-Z89)*Z$6</f>
        <v>103208.33333333336</v>
      </c>
      <c r="AA79" s="743">
        <f t="shared" ref="AA79" si="265">(Z79+AA78-AA89)*AA$6</f>
        <v>110250.00000000003</v>
      </c>
      <c r="AB79" s="743">
        <f t="shared" ref="AB79" si="266">(AA79+AB78-AB89)*AB$6</f>
        <v>117291.6666666667</v>
      </c>
      <c r="AC79" s="743">
        <f t="shared" ref="AC79" si="267">(AB79+AC78-AC89)*AC$6</f>
        <v>124333.33333333337</v>
      </c>
      <c r="AD79" s="743">
        <f t="shared" ref="AD79" si="268">(AC79+AD78-AD89)*AD$6</f>
        <v>131375.00000000003</v>
      </c>
      <c r="AE79" s="743">
        <f t="shared" ref="AE79" si="269">(AD79+AE78-AE89)*AE$6</f>
        <v>0</v>
      </c>
      <c r="AF79" s="743">
        <f t="shared" ref="AF79" si="270">(AE79+AF78-AF89)*AF$6</f>
        <v>0</v>
      </c>
      <c r="AG79" s="743">
        <f t="shared" ref="AG79" si="271">(AF79+AG78-AG89)*AG$6</f>
        <v>0</v>
      </c>
    </row>
    <row r="80" spans="1:33" s="649" customFormat="1" ht="16.5" customHeight="1" outlineLevel="2">
      <c r="A80" s="434"/>
      <c r="B80" s="735" t="s">
        <v>43</v>
      </c>
      <c r="C80" s="732" t="str">
        <f>"Company produced additions: "&amp;C68</f>
        <v>Company produced additions: Plant &amp; Machinery</v>
      </c>
      <c r="D80" s="449"/>
      <c r="E80" s="449"/>
      <c r="F80" s="449"/>
      <c r="G80" s="449"/>
      <c r="H80" s="449"/>
      <c r="I80" s="449"/>
      <c r="J80" s="445"/>
      <c r="K80" s="445"/>
      <c r="L80" s="432"/>
      <c r="M80" s="432"/>
      <c r="N80" s="432"/>
      <c r="O80" s="432"/>
      <c r="P80" s="432"/>
      <c r="Q80" s="432"/>
      <c r="R80" s="432"/>
      <c r="S80" s="432"/>
      <c r="T80" s="432"/>
      <c r="U80" s="432"/>
      <c r="V80" s="432"/>
      <c r="W80" s="432"/>
      <c r="X80" s="432"/>
      <c r="Y80" s="432"/>
      <c r="Z80" s="432"/>
      <c r="AA80" s="432"/>
      <c r="AB80" s="432"/>
      <c r="AC80" s="432"/>
      <c r="AD80" s="432"/>
      <c r="AE80" s="432"/>
      <c r="AF80" s="432"/>
      <c r="AG80" s="432"/>
    </row>
    <row r="81" spans="1:33" s="649" customFormat="1" ht="16.5" customHeight="1" outlineLevel="2">
      <c r="A81" s="434"/>
      <c r="B81" s="434"/>
      <c r="C81" s="435" t="str">
        <f>CHOOSE(language,"2. Capitalised assets","2. Capitalized assets")</f>
        <v>2. Capitalized assets</v>
      </c>
      <c r="D81" s="737"/>
      <c r="E81" s="449"/>
      <c r="F81" s="449"/>
      <c r="G81" s="450"/>
      <c r="H81" s="449"/>
      <c r="I81" s="71">
        <f>SUMPRODUCT((J$6:AG$6),(J81:AG81))</f>
        <v>0</v>
      </c>
      <c r="J81" s="269"/>
      <c r="K81" s="269"/>
      <c r="L81" s="269"/>
      <c r="M81" s="269"/>
      <c r="N81" s="269"/>
      <c r="O81" s="269"/>
      <c r="P81" s="269"/>
      <c r="Q81" s="269"/>
      <c r="R81" s="269"/>
      <c r="S81" s="269"/>
      <c r="T81" s="269"/>
      <c r="U81" s="269"/>
      <c r="V81" s="269"/>
      <c r="W81" s="269"/>
      <c r="X81" s="269"/>
      <c r="Y81" s="269"/>
      <c r="Z81" s="269"/>
      <c r="AA81" s="269"/>
      <c r="AB81" s="269"/>
      <c r="AC81" s="269"/>
      <c r="AD81" s="269"/>
      <c r="AE81" s="269"/>
      <c r="AF81" s="269"/>
      <c r="AG81" s="269"/>
    </row>
    <row r="82" spans="1:33" s="649" customFormat="1" ht="16.5" customHeight="1" outlineLevel="2">
      <c r="A82" s="434"/>
      <c r="B82" s="735" t="s">
        <v>439</v>
      </c>
      <c r="C82" s="732" t="str">
        <f>"Finance Lease: "&amp;C68</f>
        <v>Finance Lease: Plant &amp; Machinery</v>
      </c>
      <c r="D82" s="442"/>
      <c r="E82" s="449"/>
      <c r="F82" s="449"/>
      <c r="G82" s="450"/>
      <c r="H82" s="449"/>
      <c r="I82" s="449"/>
      <c r="J82" s="445"/>
      <c r="K82" s="445"/>
      <c r="L82" s="432"/>
      <c r="M82" s="432"/>
      <c r="N82" s="432"/>
      <c r="O82" s="432"/>
      <c r="P82" s="432"/>
      <c r="Q82" s="432"/>
      <c r="R82" s="432"/>
      <c r="S82" s="432"/>
      <c r="T82" s="432"/>
      <c r="U82" s="432"/>
      <c r="V82" s="432"/>
      <c r="W82" s="432"/>
      <c r="X82" s="432"/>
      <c r="Y82" s="432"/>
      <c r="Z82" s="432"/>
      <c r="AA82" s="432"/>
      <c r="AB82" s="432"/>
      <c r="AC82" s="432"/>
      <c r="AD82" s="432"/>
      <c r="AE82" s="432"/>
      <c r="AF82" s="432"/>
      <c r="AG82" s="432"/>
    </row>
    <row r="83" spans="1:33" s="649" customFormat="1" ht="16.5" customHeight="1" outlineLevel="2">
      <c r="A83" s="434"/>
      <c r="B83" s="434"/>
      <c r="C83" s="435" t="s">
        <v>452</v>
      </c>
      <c r="D83" s="436" t="str">
        <f>Currency_Label</f>
        <v>USD</v>
      </c>
      <c r="E83" s="449"/>
      <c r="F83" s="681"/>
      <c r="G83" s="681"/>
      <c r="H83" s="449"/>
      <c r="I83" s="71">
        <f>SUMPRODUCT((J$6:AG$6),(J83:AG83))</f>
        <v>40000</v>
      </c>
      <c r="J83" s="269"/>
      <c r="K83" s="269"/>
      <c r="L83" s="269"/>
      <c r="M83" s="269">
        <v>40000</v>
      </c>
      <c r="N83" s="269"/>
      <c r="O83" s="269"/>
      <c r="P83" s="269"/>
      <c r="Q83" s="269"/>
      <c r="R83" s="269"/>
      <c r="S83" s="269"/>
      <c r="T83" s="269"/>
      <c r="U83" s="269"/>
      <c r="V83" s="269"/>
      <c r="W83" s="269"/>
      <c r="X83" s="269"/>
      <c r="Y83" s="269"/>
      <c r="Z83" s="269"/>
      <c r="AA83" s="269"/>
      <c r="AB83" s="269"/>
      <c r="AC83" s="269"/>
      <c r="AD83" s="269"/>
      <c r="AE83" s="269"/>
      <c r="AF83" s="269"/>
      <c r="AG83" s="269"/>
    </row>
    <row r="84" spans="1:33" s="649" customFormat="1" ht="16.5" customHeight="1" outlineLevel="2">
      <c r="A84" s="434"/>
      <c r="B84" s="434"/>
      <c r="C84" s="435" t="s">
        <v>453</v>
      </c>
      <c r="D84" s="436" t="str">
        <f>Currency_Label</f>
        <v>USD</v>
      </c>
      <c r="E84" s="449"/>
      <c r="F84" s="449"/>
      <c r="G84" s="450"/>
      <c r="H84" s="449"/>
      <c r="I84" s="71">
        <f>SUMPRODUCT((J$6:AG$6),(J84:AG84))</f>
        <v>2125</v>
      </c>
      <c r="J84" s="269"/>
      <c r="K84" s="269"/>
      <c r="L84" s="269"/>
      <c r="M84" s="269"/>
      <c r="N84" s="269">
        <v>125</v>
      </c>
      <c r="O84" s="269">
        <v>125</v>
      </c>
      <c r="P84" s="269">
        <v>125</v>
      </c>
      <c r="Q84" s="269">
        <v>125</v>
      </c>
      <c r="R84" s="269">
        <v>125</v>
      </c>
      <c r="S84" s="269">
        <v>125</v>
      </c>
      <c r="T84" s="269">
        <v>125</v>
      </c>
      <c r="U84" s="269">
        <v>125</v>
      </c>
      <c r="V84" s="269">
        <v>125</v>
      </c>
      <c r="W84" s="269">
        <v>125</v>
      </c>
      <c r="X84" s="269">
        <v>125</v>
      </c>
      <c r="Y84" s="269">
        <v>125</v>
      </c>
      <c r="Z84" s="269">
        <v>125</v>
      </c>
      <c r="AA84" s="269">
        <v>125</v>
      </c>
      <c r="AB84" s="269">
        <v>125</v>
      </c>
      <c r="AC84" s="269">
        <v>125</v>
      </c>
      <c r="AD84" s="269">
        <v>125</v>
      </c>
      <c r="AE84" s="269">
        <v>125</v>
      </c>
      <c r="AF84" s="269">
        <v>125</v>
      </c>
      <c r="AG84" s="269">
        <v>125</v>
      </c>
    </row>
    <row r="85" spans="1:33" s="649" customFormat="1" ht="16.5" customHeight="1" outlineLevel="2">
      <c r="A85" s="434"/>
      <c r="B85" s="434"/>
      <c r="C85" s="435" t="s">
        <v>454</v>
      </c>
      <c r="D85" s="436" t="str">
        <f>Currency_Label</f>
        <v>USD</v>
      </c>
      <c r="E85" s="449"/>
      <c r="F85" s="449"/>
      <c r="G85" s="450"/>
      <c r="H85" s="449"/>
      <c r="I85" s="71">
        <f>SUMPRODUCT((J$6:AG$6),(J85:AG85))</f>
        <v>2750</v>
      </c>
      <c r="J85" s="269"/>
      <c r="K85" s="269"/>
      <c r="L85" s="269"/>
      <c r="M85" s="269"/>
      <c r="N85" s="269"/>
      <c r="O85" s="269"/>
      <c r="P85" s="269">
        <v>1250</v>
      </c>
      <c r="Q85" s="269"/>
      <c r="R85" s="269"/>
      <c r="S85" s="269"/>
      <c r="T85" s="269"/>
      <c r="U85" s="269"/>
      <c r="V85" s="269"/>
      <c r="W85" s="269"/>
      <c r="X85" s="269"/>
      <c r="Y85" s="269"/>
      <c r="Z85" s="269"/>
      <c r="AA85" s="269"/>
      <c r="AB85" s="269">
        <v>1500</v>
      </c>
      <c r="AC85" s="269"/>
      <c r="AD85" s="269"/>
      <c r="AE85" s="269"/>
      <c r="AF85" s="269"/>
      <c r="AG85" s="269"/>
    </row>
    <row r="86" spans="1:33" s="649" customFormat="1" ht="16.5" customHeight="1" outlineLevel="2">
      <c r="A86" s="434"/>
      <c r="B86" s="735" t="s">
        <v>440</v>
      </c>
      <c r="C86" s="732" t="str">
        <f>CHOOSE(language,"Sale of "&amp;C68,"Disposal of "&amp;C68)</f>
        <v>Disposal of Plant &amp; Machinery</v>
      </c>
      <c r="D86" s="442"/>
      <c r="E86" s="449"/>
      <c r="F86" s="449"/>
      <c r="G86" s="450"/>
      <c r="H86" s="449"/>
      <c r="I86" s="449"/>
      <c r="J86" s="445"/>
      <c r="K86" s="445"/>
      <c r="L86" s="432"/>
      <c r="M86" s="432"/>
      <c r="N86" s="432"/>
      <c r="O86" s="432"/>
      <c r="P86" s="432"/>
      <c r="Q86" s="432"/>
      <c r="R86" s="432"/>
      <c r="S86" s="432"/>
      <c r="T86" s="432"/>
      <c r="U86" s="432"/>
      <c r="V86" s="432"/>
      <c r="W86" s="432"/>
      <c r="X86" s="432"/>
      <c r="Y86" s="432"/>
      <c r="Z86" s="432"/>
      <c r="AA86" s="432"/>
      <c r="AB86" s="432"/>
      <c r="AC86" s="432"/>
      <c r="AD86" s="432"/>
      <c r="AE86" s="432"/>
      <c r="AF86" s="432"/>
      <c r="AG86" s="432"/>
    </row>
    <row r="87" spans="1:33" s="649" customFormat="1" ht="16.5" customHeight="1" outlineLevel="2">
      <c r="A87" s="434"/>
      <c r="B87" s="434"/>
      <c r="C87" s="435" t="s">
        <v>455</v>
      </c>
      <c r="D87" s="436" t="str">
        <f>Currency_Label</f>
        <v>USD</v>
      </c>
      <c r="E87" s="449"/>
      <c r="F87" s="449"/>
      <c r="G87" s="450"/>
      <c r="H87" s="739"/>
      <c r="I87" s="71">
        <f>SUMPRODUCT((J$6:AG$6),(J87:AG87))</f>
        <v>0</v>
      </c>
      <c r="J87" s="269"/>
      <c r="K87" s="269"/>
      <c r="L87" s="269"/>
      <c r="M87" s="269"/>
      <c r="N87" s="269"/>
      <c r="O87" s="269"/>
      <c r="P87" s="269"/>
      <c r="Q87" s="269"/>
      <c r="R87" s="269"/>
      <c r="S87" s="269"/>
      <c r="T87" s="269"/>
      <c r="U87" s="269"/>
      <c r="V87" s="269"/>
      <c r="W87" s="269"/>
      <c r="X87" s="269"/>
      <c r="Y87" s="269"/>
      <c r="Z87" s="269"/>
      <c r="AA87" s="269"/>
      <c r="AB87" s="269"/>
      <c r="AC87" s="269"/>
      <c r="AD87" s="269"/>
      <c r="AE87" s="269"/>
      <c r="AF87" s="269"/>
      <c r="AG87" s="269"/>
    </row>
    <row r="88" spans="1:33" s="649" customFormat="1" ht="16.5" customHeight="1" outlineLevel="2">
      <c r="A88" s="434"/>
      <c r="B88" s="434"/>
      <c r="C88" s="435" t="s">
        <v>456</v>
      </c>
      <c r="D88" s="436" t="str">
        <f>Currency_Label</f>
        <v>USD</v>
      </c>
      <c r="E88" s="278" t="str">
        <f>IF(H78=0,"","Error: Please check inputs for sale of assets")</f>
        <v/>
      </c>
      <c r="F88" s="449"/>
      <c r="G88" s="450"/>
      <c r="H88" s="739"/>
      <c r="I88" s="71">
        <f>SUMPRODUCT((J$6:AG$6),(J88:AG88))</f>
        <v>0</v>
      </c>
      <c r="J88" s="269"/>
      <c r="K88" s="269"/>
      <c r="L88" s="269"/>
      <c r="M88" s="269"/>
      <c r="N88" s="269"/>
      <c r="O88" s="269"/>
      <c r="P88" s="269"/>
      <c r="Q88" s="269"/>
      <c r="R88" s="269"/>
      <c r="S88" s="269"/>
      <c r="T88" s="269"/>
      <c r="U88" s="269"/>
      <c r="V88" s="269"/>
      <c r="W88" s="269"/>
      <c r="X88" s="269"/>
      <c r="Y88" s="269"/>
      <c r="Z88" s="269"/>
      <c r="AA88" s="269"/>
      <c r="AB88" s="269"/>
      <c r="AC88" s="269"/>
      <c r="AD88" s="269"/>
      <c r="AE88" s="269"/>
      <c r="AF88" s="269"/>
      <c r="AG88" s="269"/>
    </row>
    <row r="89" spans="1:33" s="649" customFormat="1" ht="16.5" customHeight="1" outlineLevel="2">
      <c r="A89" s="434"/>
      <c r="B89" s="434"/>
      <c r="C89" s="435" t="s">
        <v>465</v>
      </c>
      <c r="D89" s="436" t="str">
        <f>Currency_Label</f>
        <v>USD</v>
      </c>
      <c r="E89" s="278" t="str">
        <f>IF(H78=0,"","Error: Please check inputs for sale of assets")</f>
        <v/>
      </c>
      <c r="F89" s="449"/>
      <c r="G89" s="450"/>
      <c r="H89" s="739"/>
      <c r="I89" s="71">
        <f>SUMPRODUCT((J$6:AG$6),(J89:AG89))</f>
        <v>0</v>
      </c>
      <c r="J89" s="269"/>
      <c r="K89" s="269"/>
      <c r="L89" s="269"/>
      <c r="M89" s="269"/>
      <c r="N89" s="269"/>
      <c r="O89" s="269"/>
      <c r="P89" s="269"/>
      <c r="Q89" s="269"/>
      <c r="R89" s="269"/>
      <c r="S89" s="269"/>
      <c r="T89" s="269"/>
      <c r="U89" s="269"/>
      <c r="V89" s="269"/>
      <c r="W89" s="269"/>
      <c r="X89" s="269"/>
      <c r="Y89" s="269"/>
      <c r="Z89" s="269"/>
      <c r="AA89" s="269"/>
      <c r="AB89" s="269"/>
      <c r="AC89" s="269"/>
      <c r="AD89" s="269"/>
      <c r="AE89" s="269"/>
      <c r="AF89" s="269"/>
      <c r="AG89" s="269"/>
    </row>
    <row r="90" spans="1:33" s="649" customFormat="1" ht="16.5" customHeight="1" outlineLevel="2">
      <c r="A90" s="434"/>
      <c r="B90" s="735" t="s">
        <v>441</v>
      </c>
      <c r="C90" s="732" t="str">
        <f>Name_VAT</f>
        <v>VAT</v>
      </c>
      <c r="D90" s="442"/>
      <c r="E90" s="449"/>
      <c r="F90" s="444"/>
      <c r="G90" s="444"/>
      <c r="H90" s="434"/>
      <c r="I90" s="434"/>
      <c r="J90" s="445"/>
      <c r="K90" s="445"/>
      <c r="L90" s="432"/>
      <c r="M90" s="432"/>
      <c r="N90" s="432"/>
      <c r="O90" s="432"/>
      <c r="P90" s="432"/>
      <c r="Q90" s="432"/>
      <c r="R90" s="432"/>
      <c r="S90" s="432"/>
      <c r="T90" s="432"/>
      <c r="U90" s="432"/>
      <c r="V90" s="432"/>
      <c r="W90" s="432"/>
      <c r="X90" s="432"/>
      <c r="Y90" s="432"/>
      <c r="Z90" s="432"/>
      <c r="AA90" s="432"/>
      <c r="AB90" s="432"/>
      <c r="AC90" s="432"/>
      <c r="AD90" s="432"/>
      <c r="AE90" s="432"/>
      <c r="AF90" s="432"/>
      <c r="AG90" s="432"/>
    </row>
    <row r="91" spans="1:33" s="649" customFormat="1" ht="16.5" customHeight="1" outlineLevel="2">
      <c r="A91" s="434"/>
      <c r="B91" s="434"/>
      <c r="C91" s="24" t="str">
        <f>Name_VAT &amp;" on "&amp;C68 &amp;" purchased &amp; leased"</f>
        <v>VAT on Plant &amp; Machinery purchased &amp; leased</v>
      </c>
      <c r="D91" s="8" t="str">
        <f t="shared" ref="D91" si="272">Currency_Label</f>
        <v>USD</v>
      </c>
      <c r="E91" s="85">
        <f>F68</f>
        <v>0.8</v>
      </c>
      <c r="F91" s="749" t="s">
        <v>462</v>
      </c>
      <c r="G91" s="85">
        <f>H68</f>
        <v>0.2</v>
      </c>
      <c r="H91" s="346"/>
      <c r="I91" s="71">
        <f>SUM(J91:AG91)</f>
        <v>46800</v>
      </c>
      <c r="J91" s="715">
        <f>(J75+J83)*$E91*$G91*J$6</f>
        <v>0</v>
      </c>
      <c r="K91" s="715">
        <f t="shared" ref="K91:L91" si="273">(K75+K83)*$E91*$G91*K$6</f>
        <v>35200</v>
      </c>
      <c r="L91" s="715">
        <f t="shared" si="273"/>
        <v>0</v>
      </c>
      <c r="M91" s="715">
        <f t="shared" ref="M91:AG91" si="274">(M75+M83)*$E91*$G91*M$6</f>
        <v>6400</v>
      </c>
      <c r="N91" s="715">
        <f t="shared" si="274"/>
        <v>0</v>
      </c>
      <c r="O91" s="715">
        <f t="shared" si="274"/>
        <v>0</v>
      </c>
      <c r="P91" s="715">
        <f t="shared" si="274"/>
        <v>0</v>
      </c>
      <c r="Q91" s="715">
        <f t="shared" si="274"/>
        <v>0</v>
      </c>
      <c r="R91" s="715">
        <f t="shared" si="274"/>
        <v>0</v>
      </c>
      <c r="S91" s="715">
        <f t="shared" si="274"/>
        <v>0</v>
      </c>
      <c r="T91" s="715">
        <f t="shared" si="274"/>
        <v>0</v>
      </c>
      <c r="U91" s="715">
        <f t="shared" si="274"/>
        <v>5200</v>
      </c>
      <c r="V91" s="715">
        <f t="shared" si="274"/>
        <v>0</v>
      </c>
      <c r="W91" s="715">
        <f t="shared" si="274"/>
        <v>0</v>
      </c>
      <c r="X91" s="715">
        <f t="shared" si="274"/>
        <v>0</v>
      </c>
      <c r="Y91" s="715">
        <f t="shared" si="274"/>
        <v>0</v>
      </c>
      <c r="Z91" s="715">
        <f t="shared" si="274"/>
        <v>0</v>
      </c>
      <c r="AA91" s="715">
        <f t="shared" si="274"/>
        <v>0</v>
      </c>
      <c r="AB91" s="715">
        <f t="shared" si="274"/>
        <v>0</v>
      </c>
      <c r="AC91" s="715">
        <f t="shared" si="274"/>
        <v>0</v>
      </c>
      <c r="AD91" s="715">
        <f t="shared" si="274"/>
        <v>0</v>
      </c>
      <c r="AE91" s="715">
        <f t="shared" si="274"/>
        <v>0</v>
      </c>
      <c r="AF91" s="715">
        <f t="shared" si="274"/>
        <v>0</v>
      </c>
      <c r="AG91" s="715">
        <f t="shared" si="274"/>
        <v>0</v>
      </c>
    </row>
    <row r="92" spans="1:33" s="649" customFormat="1" ht="16.5" customHeight="1" outlineLevel="2">
      <c r="A92" s="434"/>
      <c r="B92" s="434"/>
      <c r="C92" s="448"/>
      <c r="D92" s="442"/>
      <c r="E92" s="449"/>
      <c r="F92" s="444"/>
      <c r="G92" s="444"/>
      <c r="H92" s="434"/>
      <c r="I92" s="434"/>
      <c r="J92" s="445"/>
      <c r="K92" s="445"/>
      <c r="L92" s="432"/>
      <c r="M92" s="432"/>
      <c r="N92" s="432"/>
      <c r="O92" s="432"/>
      <c r="P92" s="432"/>
      <c r="Q92" s="432"/>
      <c r="R92" s="432"/>
      <c r="S92" s="432"/>
      <c r="T92" s="432"/>
      <c r="U92" s="432"/>
      <c r="V92" s="432"/>
      <c r="W92" s="432"/>
      <c r="X92" s="432"/>
      <c r="Y92" s="432"/>
      <c r="Z92" s="432"/>
      <c r="AA92" s="432"/>
      <c r="AB92" s="432"/>
      <c r="AC92" s="432"/>
      <c r="AD92" s="432"/>
      <c r="AE92" s="432"/>
      <c r="AF92" s="432"/>
      <c r="AG92" s="432"/>
    </row>
    <row r="93" spans="1:33" s="649" customFormat="1" ht="16.5" customHeight="1" outlineLevel="1">
      <c r="A93" s="434"/>
      <c r="B93" s="735">
        <v>3</v>
      </c>
      <c r="C93" s="732" t="s">
        <v>471</v>
      </c>
      <c r="D93" s="442"/>
      <c r="E93" s="449"/>
      <c r="F93" s="449"/>
      <c r="G93" s="450"/>
      <c r="H93" s="449"/>
      <c r="I93" s="449"/>
      <c r="J93" s="445"/>
      <c r="K93" s="445"/>
      <c r="L93" s="432"/>
      <c r="M93" s="432"/>
      <c r="N93" s="432"/>
      <c r="O93" s="432"/>
      <c r="P93" s="432"/>
      <c r="Q93" s="432"/>
      <c r="R93" s="432"/>
      <c r="S93" s="432"/>
      <c r="T93" s="432"/>
      <c r="U93" s="432"/>
      <c r="V93" s="432"/>
      <c r="W93" s="432"/>
      <c r="X93" s="432"/>
      <c r="Y93" s="432"/>
      <c r="Z93" s="432"/>
      <c r="AA93" s="432"/>
      <c r="AB93" s="432"/>
      <c r="AC93" s="432"/>
      <c r="AD93" s="432"/>
      <c r="AE93" s="432"/>
      <c r="AF93" s="432"/>
      <c r="AG93" s="432"/>
    </row>
    <row r="94" spans="1:33" s="649" customFormat="1" ht="16.5" customHeight="1" outlineLevel="1">
      <c r="A94" s="434"/>
      <c r="B94" s="444"/>
      <c r="C94" s="641" t="s">
        <v>467</v>
      </c>
      <c r="D94" s="733"/>
      <c r="E94" s="528" t="s">
        <v>461</v>
      </c>
      <c r="F94" s="748">
        <v>0.9</v>
      </c>
      <c r="G94" s="641" t="s">
        <v>130</v>
      </c>
      <c r="H94" s="85">
        <f>VLOOKUP(G94,Inputs!$C$182:$F$185,4,FALSE)</f>
        <v>0.2</v>
      </c>
      <c r="I94" s="449"/>
      <c r="J94" s="734"/>
      <c r="K94" s="445"/>
      <c r="L94" s="432"/>
      <c r="M94" s="432"/>
      <c r="N94" s="432"/>
      <c r="O94" s="432"/>
      <c r="P94" s="432"/>
      <c r="Q94" s="432"/>
      <c r="R94" s="432"/>
      <c r="S94" s="432"/>
      <c r="T94" s="432"/>
      <c r="U94" s="432"/>
      <c r="V94" s="432"/>
      <c r="W94" s="432"/>
      <c r="X94" s="432"/>
      <c r="Y94" s="432"/>
      <c r="Z94" s="432"/>
      <c r="AA94" s="432"/>
      <c r="AB94" s="432"/>
      <c r="AC94" s="432"/>
      <c r="AD94" s="432"/>
      <c r="AE94" s="432"/>
      <c r="AF94" s="432"/>
      <c r="AG94" s="432"/>
    </row>
    <row r="95" spans="1:33" s="649" customFormat="1" ht="16.5" customHeight="1" outlineLevel="2">
      <c r="A95" s="434"/>
      <c r="B95" s="735" t="s">
        <v>40</v>
      </c>
      <c r="C95" s="732" t="str">
        <f>"Purchases: "&amp;C94</f>
        <v>Purchases: Vehicles</v>
      </c>
      <c r="D95" s="736"/>
      <c r="E95" s="681"/>
      <c r="F95" s="681"/>
      <c r="G95" s="681"/>
      <c r="H95" s="681"/>
      <c r="I95" s="449"/>
      <c r="J95" s="734"/>
      <c r="K95" s="445"/>
      <c r="L95" s="432"/>
      <c r="M95" s="432"/>
      <c r="N95" s="432"/>
      <c r="O95" s="432"/>
      <c r="P95" s="432"/>
      <c r="Q95" s="432"/>
      <c r="R95" s="432"/>
      <c r="S95" s="432"/>
      <c r="T95" s="432"/>
      <c r="U95" s="432"/>
      <c r="V95" s="432"/>
      <c r="W95" s="432"/>
      <c r="X95" s="432"/>
      <c r="Y95" s="432"/>
      <c r="Z95" s="432"/>
      <c r="AA95" s="432"/>
      <c r="AB95" s="432"/>
      <c r="AC95" s="432"/>
      <c r="AD95" s="432"/>
      <c r="AE95" s="432"/>
      <c r="AF95" s="432"/>
      <c r="AG95" s="432"/>
    </row>
    <row r="96" spans="1:33" s="649" customFormat="1" ht="16.5" customHeight="1" outlineLevel="2">
      <c r="A96" s="434"/>
      <c r="B96" s="434"/>
      <c r="C96" s="641" t="s">
        <v>443</v>
      </c>
      <c r="D96" s="436" t="str">
        <f t="shared" ref="D96:D101" si="275">Currency_Label</f>
        <v>USD</v>
      </c>
      <c r="E96" s="681"/>
      <c r="F96" s="681"/>
      <c r="G96" s="681"/>
      <c r="H96" s="681"/>
      <c r="I96" s="71">
        <f t="shared" ref="I96:I101" si="276">SUMPRODUCT((J$6:AG$6),(J96:AG96))</f>
        <v>40000</v>
      </c>
      <c r="J96" s="269">
        <v>20000</v>
      </c>
      <c r="K96" s="269"/>
      <c r="L96" s="269"/>
      <c r="M96" s="269"/>
      <c r="N96" s="269"/>
      <c r="O96" s="269"/>
      <c r="P96" s="269"/>
      <c r="Q96" s="269"/>
      <c r="R96" s="269"/>
      <c r="S96" s="269"/>
      <c r="T96" s="269"/>
      <c r="U96" s="269"/>
      <c r="V96" s="269"/>
      <c r="W96" s="269">
        <v>20000</v>
      </c>
      <c r="X96" s="269"/>
      <c r="Y96" s="269"/>
      <c r="Z96" s="269"/>
      <c r="AA96" s="269"/>
      <c r="AB96" s="269"/>
      <c r="AC96" s="269"/>
      <c r="AD96" s="269"/>
      <c r="AE96" s="269"/>
      <c r="AF96" s="269"/>
      <c r="AG96" s="269"/>
    </row>
    <row r="97" spans="1:33" s="649" customFormat="1" ht="16.5" customHeight="1" outlineLevel="2">
      <c r="A97" s="434"/>
      <c r="B97" s="434"/>
      <c r="C97" s="641" t="s">
        <v>444</v>
      </c>
      <c r="D97" s="436" t="str">
        <f t="shared" si="275"/>
        <v>USD</v>
      </c>
      <c r="E97" s="681"/>
      <c r="F97" s="681"/>
      <c r="G97" s="681"/>
      <c r="H97" s="681"/>
      <c r="I97" s="71">
        <f t="shared" si="276"/>
        <v>60000</v>
      </c>
      <c r="J97" s="269">
        <v>30000</v>
      </c>
      <c r="K97" s="269"/>
      <c r="L97" s="269"/>
      <c r="M97" s="269"/>
      <c r="N97" s="269"/>
      <c r="O97" s="269"/>
      <c r="P97" s="269"/>
      <c r="Q97" s="269"/>
      <c r="R97" s="269"/>
      <c r="S97" s="269"/>
      <c r="T97" s="269"/>
      <c r="U97" s="269"/>
      <c r="V97" s="269"/>
      <c r="W97" s="269">
        <v>30000</v>
      </c>
      <c r="X97" s="269"/>
      <c r="Y97" s="269"/>
      <c r="Z97" s="269"/>
      <c r="AA97" s="269"/>
      <c r="AB97" s="269"/>
      <c r="AC97" s="269"/>
      <c r="AD97" s="269"/>
      <c r="AE97" s="269"/>
      <c r="AF97" s="269"/>
      <c r="AG97" s="269"/>
    </row>
    <row r="98" spans="1:33" s="649" customFormat="1" ht="16.5" customHeight="1" outlineLevel="2">
      <c r="A98" s="434"/>
      <c r="B98" s="434"/>
      <c r="C98" s="641" t="s">
        <v>445</v>
      </c>
      <c r="D98" s="436" t="str">
        <f t="shared" si="275"/>
        <v>USD</v>
      </c>
      <c r="E98" s="681"/>
      <c r="F98" s="681"/>
      <c r="G98" s="681"/>
      <c r="H98" s="681"/>
      <c r="I98" s="71">
        <f t="shared" si="276"/>
        <v>0</v>
      </c>
      <c r="J98" s="269"/>
      <c r="K98" s="269"/>
      <c r="L98" s="269"/>
      <c r="M98" s="269"/>
      <c r="N98" s="269"/>
      <c r="O98" s="269"/>
      <c r="P98" s="269"/>
      <c r="Q98" s="269"/>
      <c r="R98" s="269"/>
      <c r="S98" s="269"/>
      <c r="T98" s="269"/>
      <c r="U98" s="269"/>
      <c r="V98" s="269"/>
      <c r="W98" s="269"/>
      <c r="X98" s="269"/>
      <c r="Y98" s="269"/>
      <c r="Z98" s="269"/>
      <c r="AA98" s="269"/>
      <c r="AB98" s="269"/>
      <c r="AC98" s="269"/>
      <c r="AD98" s="269"/>
      <c r="AE98" s="269"/>
      <c r="AF98" s="269"/>
      <c r="AG98" s="269"/>
    </row>
    <row r="99" spans="1:33" s="649" customFormat="1" ht="16.5" customHeight="1" outlineLevel="2">
      <c r="A99" s="434"/>
      <c r="B99" s="434"/>
      <c r="C99" s="641" t="s">
        <v>446</v>
      </c>
      <c r="D99" s="436" t="str">
        <f t="shared" si="275"/>
        <v>USD</v>
      </c>
      <c r="E99" s="681"/>
      <c r="F99" s="681"/>
      <c r="G99" s="681"/>
      <c r="H99" s="681"/>
      <c r="I99" s="71">
        <f t="shared" si="276"/>
        <v>0</v>
      </c>
      <c r="J99" s="269"/>
      <c r="K99" s="269"/>
      <c r="L99" s="269"/>
      <c r="M99" s="269"/>
      <c r="N99" s="269"/>
      <c r="O99" s="269"/>
      <c r="P99" s="269"/>
      <c r="Q99" s="269"/>
      <c r="R99" s="269"/>
      <c r="S99" s="269"/>
      <c r="T99" s="269"/>
      <c r="U99" s="269"/>
      <c r="V99" s="269"/>
      <c r="W99" s="269"/>
      <c r="X99" s="269"/>
      <c r="Y99" s="269"/>
      <c r="Z99" s="269"/>
      <c r="AA99" s="269"/>
      <c r="AB99" s="269"/>
      <c r="AC99" s="269"/>
      <c r="AD99" s="269"/>
      <c r="AE99" s="269"/>
      <c r="AF99" s="269"/>
      <c r="AG99" s="269"/>
    </row>
    <row r="100" spans="1:33" s="649" customFormat="1" ht="16.5" customHeight="1" outlineLevel="2">
      <c r="A100" s="434"/>
      <c r="B100" s="434"/>
      <c r="C100" s="641" t="s">
        <v>447</v>
      </c>
      <c r="D100" s="436" t="str">
        <f t="shared" si="275"/>
        <v>USD</v>
      </c>
      <c r="E100" s="681"/>
      <c r="F100" s="681"/>
      <c r="G100" s="681"/>
      <c r="H100" s="681"/>
      <c r="I100" s="71">
        <f t="shared" si="276"/>
        <v>0</v>
      </c>
      <c r="J100" s="269"/>
      <c r="K100" s="269"/>
      <c r="L100" s="269"/>
      <c r="M100" s="269"/>
      <c r="N100" s="269"/>
      <c r="O100" s="269"/>
      <c r="P100" s="269"/>
      <c r="Q100" s="269"/>
      <c r="R100" s="269"/>
      <c r="S100" s="269"/>
      <c r="T100" s="269"/>
      <c r="U100" s="269"/>
      <c r="V100" s="269"/>
      <c r="W100" s="269"/>
      <c r="X100" s="269"/>
      <c r="Y100" s="269"/>
      <c r="Z100" s="269"/>
      <c r="AA100" s="269"/>
      <c r="AB100" s="269"/>
      <c r="AC100" s="269"/>
      <c r="AD100" s="269"/>
      <c r="AE100" s="269"/>
      <c r="AF100" s="269"/>
      <c r="AG100" s="269"/>
    </row>
    <row r="101" spans="1:33" s="649" customFormat="1" ht="16.5" customHeight="1" outlineLevel="2">
      <c r="A101" s="434"/>
      <c r="B101" s="434"/>
      <c r="C101" s="435" t="s">
        <v>448</v>
      </c>
      <c r="D101" s="436" t="str">
        <f t="shared" si="275"/>
        <v>USD</v>
      </c>
      <c r="E101" s="681"/>
      <c r="F101" s="681"/>
      <c r="G101" s="681"/>
      <c r="H101" s="681"/>
      <c r="I101" s="71">
        <f t="shared" si="276"/>
        <v>100000</v>
      </c>
      <c r="J101" s="741">
        <f>SUM(J96:J100)*J$6</f>
        <v>50000</v>
      </c>
      <c r="K101" s="741">
        <f t="shared" ref="K101" si="277">SUM(K96:K100)*K$6</f>
        <v>0</v>
      </c>
      <c r="L101" s="741">
        <f t="shared" ref="L101:M101" si="278">SUM(L96:L100)*L$6</f>
        <v>0</v>
      </c>
      <c r="M101" s="741">
        <f t="shared" si="278"/>
        <v>0</v>
      </c>
      <c r="N101" s="741">
        <f t="shared" ref="N101" si="279">SUM(N96:N100)*N$6</f>
        <v>0</v>
      </c>
      <c r="O101" s="741">
        <f t="shared" ref="O101" si="280">SUM(O96:O100)*O$6</f>
        <v>0</v>
      </c>
      <c r="P101" s="741">
        <f t="shared" ref="P101" si="281">SUM(P96:P100)*P$6</f>
        <v>0</v>
      </c>
      <c r="Q101" s="741">
        <f t="shared" ref="Q101" si="282">SUM(Q96:Q100)*Q$6</f>
        <v>0</v>
      </c>
      <c r="R101" s="741">
        <f t="shared" ref="R101" si="283">SUM(R96:R100)*R$6</f>
        <v>0</v>
      </c>
      <c r="S101" s="741">
        <f t="shared" ref="S101" si="284">SUM(S96:S100)*S$6</f>
        <v>0</v>
      </c>
      <c r="T101" s="741">
        <f t="shared" ref="T101" si="285">SUM(T96:T100)*T$6</f>
        <v>0</v>
      </c>
      <c r="U101" s="741">
        <f t="shared" ref="U101" si="286">SUM(U96:U100)*U$6</f>
        <v>0</v>
      </c>
      <c r="V101" s="741">
        <f t="shared" ref="V101" si="287">SUM(V96:V100)*V$6</f>
        <v>0</v>
      </c>
      <c r="W101" s="741">
        <f t="shared" ref="W101" si="288">SUM(W96:W100)*W$6</f>
        <v>50000</v>
      </c>
      <c r="X101" s="741">
        <f t="shared" ref="X101" si="289">SUM(X96:X100)*X$6</f>
        <v>0</v>
      </c>
      <c r="Y101" s="741">
        <f t="shared" ref="Y101" si="290">SUM(Y96:Y100)*Y$6</f>
        <v>0</v>
      </c>
      <c r="Z101" s="741">
        <f t="shared" ref="Z101" si="291">SUM(Z96:Z100)*Z$6</f>
        <v>0</v>
      </c>
      <c r="AA101" s="741">
        <f t="shared" ref="AA101" si="292">SUM(AA96:AA100)*AA$6</f>
        <v>0</v>
      </c>
      <c r="AB101" s="741">
        <f t="shared" ref="AB101" si="293">SUM(AB96:AB100)*AB$6</f>
        <v>0</v>
      </c>
      <c r="AC101" s="741">
        <f t="shared" ref="AC101" si="294">SUM(AC96:AC100)*AC$6</f>
        <v>0</v>
      </c>
      <c r="AD101" s="741">
        <f t="shared" ref="AD101" si="295">SUM(AD96:AD100)*AD$6</f>
        <v>0</v>
      </c>
      <c r="AE101" s="741">
        <f t="shared" ref="AE101" si="296">SUM(AE96:AE100)*AE$6</f>
        <v>0</v>
      </c>
      <c r="AF101" s="741">
        <f t="shared" ref="AF101" si="297">SUM(AF96:AF100)*AF$6</f>
        <v>0</v>
      </c>
      <c r="AG101" s="741">
        <f t="shared" ref="AG101" si="298">SUM(AG96:AG100)*AG$6</f>
        <v>0</v>
      </c>
    </row>
    <row r="102" spans="1:33" s="649" customFormat="1" ht="16.5" customHeight="1" outlineLevel="2">
      <c r="A102" s="434"/>
      <c r="B102" s="735" t="s">
        <v>42</v>
      </c>
      <c r="C102" s="732" t="str">
        <f>"Depreciation: "&amp;C94</f>
        <v>Depreciation: Vehicles</v>
      </c>
      <c r="D102" s="681"/>
      <c r="E102" s="681"/>
      <c r="F102" s="681"/>
      <c r="G102" s="681"/>
      <c r="H102" s="445"/>
      <c r="I102" s="445"/>
      <c r="J102" s="445"/>
      <c r="K102" s="445"/>
      <c r="L102" s="432"/>
      <c r="M102" s="432"/>
      <c r="N102" s="432"/>
      <c r="O102" s="432"/>
      <c r="P102" s="432"/>
      <c r="Q102" s="432"/>
      <c r="R102" s="432"/>
      <c r="S102" s="432"/>
      <c r="T102" s="432"/>
      <c r="U102" s="432"/>
      <c r="V102" s="432"/>
      <c r="W102" s="432"/>
      <c r="X102" s="432"/>
      <c r="Y102" s="432"/>
      <c r="Z102" s="432"/>
      <c r="AA102" s="432"/>
      <c r="AB102" s="432"/>
      <c r="AC102" s="432"/>
      <c r="AD102" s="432"/>
      <c r="AE102" s="432"/>
      <c r="AF102" s="432"/>
      <c r="AG102" s="432"/>
    </row>
    <row r="103" spans="1:33" s="649" customFormat="1" ht="16.5" customHeight="1" outlineLevel="2">
      <c r="A103" s="434"/>
      <c r="B103" s="434"/>
      <c r="C103" s="435" t="s">
        <v>449</v>
      </c>
      <c r="D103" s="436" t="str">
        <f>Currency_Label</f>
        <v>USD</v>
      </c>
      <c r="E103" s="681"/>
      <c r="F103" s="688" t="s">
        <v>450</v>
      </c>
      <c r="G103" s="688" t="s">
        <v>30</v>
      </c>
      <c r="H103" s="528"/>
      <c r="I103" s="147">
        <f>Inputs!F227</f>
        <v>25000</v>
      </c>
      <c r="J103" s="357">
        <f t="shared" ref="J103:L103" si="299">(I103+J101+J107+J109-J114)*J$6</f>
        <v>75000</v>
      </c>
      <c r="K103" s="357">
        <f t="shared" si="299"/>
        <v>75000</v>
      </c>
      <c r="L103" s="357">
        <f t="shared" si="299"/>
        <v>75000</v>
      </c>
      <c r="M103" s="357">
        <f t="shared" ref="M103:AG103" si="300">(L103+M101+M107+M109-M114)*M$6</f>
        <v>75000</v>
      </c>
      <c r="N103" s="357">
        <f t="shared" si="300"/>
        <v>75000</v>
      </c>
      <c r="O103" s="357">
        <f t="shared" si="300"/>
        <v>75000</v>
      </c>
      <c r="P103" s="357">
        <f t="shared" si="300"/>
        <v>75000</v>
      </c>
      <c r="Q103" s="357">
        <f t="shared" si="300"/>
        <v>75000</v>
      </c>
      <c r="R103" s="357">
        <f t="shared" si="300"/>
        <v>75000</v>
      </c>
      <c r="S103" s="357">
        <f t="shared" si="300"/>
        <v>75000</v>
      </c>
      <c r="T103" s="357">
        <f t="shared" si="300"/>
        <v>75000</v>
      </c>
      <c r="U103" s="357">
        <f t="shared" si="300"/>
        <v>75000</v>
      </c>
      <c r="V103" s="357">
        <f t="shared" si="300"/>
        <v>75000</v>
      </c>
      <c r="W103" s="357">
        <f t="shared" si="300"/>
        <v>125000</v>
      </c>
      <c r="X103" s="357">
        <f t="shared" si="300"/>
        <v>125000</v>
      </c>
      <c r="Y103" s="357">
        <f t="shared" si="300"/>
        <v>125000</v>
      </c>
      <c r="Z103" s="357">
        <f t="shared" si="300"/>
        <v>125000</v>
      </c>
      <c r="AA103" s="357">
        <f t="shared" si="300"/>
        <v>125000</v>
      </c>
      <c r="AB103" s="357">
        <f t="shared" si="300"/>
        <v>125000</v>
      </c>
      <c r="AC103" s="357">
        <f t="shared" si="300"/>
        <v>125000</v>
      </c>
      <c r="AD103" s="357">
        <f t="shared" si="300"/>
        <v>125000</v>
      </c>
      <c r="AE103" s="357">
        <f t="shared" si="300"/>
        <v>0</v>
      </c>
      <c r="AF103" s="357">
        <f t="shared" si="300"/>
        <v>0</v>
      </c>
      <c r="AG103" s="357">
        <f t="shared" si="300"/>
        <v>0</v>
      </c>
    </row>
    <row r="104" spans="1:33" s="649" customFormat="1" ht="16.5" customHeight="1" outlineLevel="2">
      <c r="A104" s="434"/>
      <c r="B104" s="434"/>
      <c r="C104" s="435" t="s">
        <v>463</v>
      </c>
      <c r="D104" s="436" t="str">
        <f>Currency_Label</f>
        <v>USD</v>
      </c>
      <c r="E104" s="681"/>
      <c r="F104" s="744">
        <v>72</v>
      </c>
      <c r="G104" s="746">
        <f>IF(F104=0,0,1/F104)</f>
        <v>1.3888888888888888E-2</v>
      </c>
      <c r="H104" s="685">
        <f>IF(ABS(MIN($J104:$AG104))&gt;0.01,1,0)</f>
        <v>0</v>
      </c>
      <c r="I104" s="71">
        <f>SUM(J104:AG104)</f>
        <v>26041.666666666653</v>
      </c>
      <c r="J104" s="742">
        <f t="shared" ref="J104" si="301">IF(I103-I105&lt;IF($F105=1,$G104*I103,(I103-I105)*2*$G104),I103-I105,IF($F105=1,$G104*I103,(I103-I105)*2*$G104))*J$6</f>
        <v>347.22222222222223</v>
      </c>
      <c r="K104" s="742">
        <f t="shared" ref="K104" si="302">IF(J103-J105&lt;IF($F105=1,$G104*J103,(J103-J105)*2*$G104),J103-J105,IF($F105=1,$G104*J103,(J103-J105)*2*$G104))*K$6</f>
        <v>1041.6666666666665</v>
      </c>
      <c r="L104" s="742">
        <f t="shared" ref="L104:M104" si="303">IF(K103-K105&lt;IF($F105=1,$G104*K103,(K103-K105)*2*$G104),K103-K105,IF($F105=1,$G104*K103,(K103-K105)*2*$G104))*L$6</f>
        <v>1041.6666666666665</v>
      </c>
      <c r="M104" s="742">
        <f t="shared" si="303"/>
        <v>1041.6666666666665</v>
      </c>
      <c r="N104" s="742">
        <f t="shared" ref="N104" si="304">IF(M103-M105&lt;IF($F105=1,$G104*M103,(M103-M105)*2*$G104),M103-M105,IF($F105=1,$G104*M103,(M103-M105)*2*$G104))*N$6</f>
        <v>1041.6666666666665</v>
      </c>
      <c r="O104" s="742">
        <f t="shared" ref="O104" si="305">IF(N103-N105&lt;IF($F105=1,$G104*N103,(N103-N105)*2*$G104),N103-N105,IF($F105=1,$G104*N103,(N103-N105)*2*$G104))*O$6</f>
        <v>1041.6666666666665</v>
      </c>
      <c r="P104" s="742">
        <f t="shared" ref="P104" si="306">IF(O103-O105&lt;IF($F105=1,$G104*O103,(O103-O105)*2*$G104),O103-O105,IF($F105=1,$G104*O103,(O103-O105)*2*$G104))*P$6</f>
        <v>1041.6666666666665</v>
      </c>
      <c r="Q104" s="742">
        <f t="shared" ref="Q104" si="307">IF(P103-P105&lt;IF($F105=1,$G104*P103,(P103-P105)*2*$G104),P103-P105,IF($F105=1,$G104*P103,(P103-P105)*2*$G104))*Q$6</f>
        <v>1041.6666666666665</v>
      </c>
      <c r="R104" s="742">
        <f t="shared" ref="R104" si="308">IF(Q103-Q105&lt;IF($F105=1,$G104*Q103,(Q103-Q105)*2*$G104),Q103-Q105,IF($F105=1,$G104*Q103,(Q103-Q105)*2*$G104))*R$6</f>
        <v>1041.6666666666665</v>
      </c>
      <c r="S104" s="742">
        <f t="shared" ref="S104" si="309">IF(R103-R105&lt;IF($F105=1,$G104*R103,(R103-R105)*2*$G104),R103-R105,IF($F105=1,$G104*R103,(R103-R105)*2*$G104))*S$6</f>
        <v>1041.6666666666665</v>
      </c>
      <c r="T104" s="742">
        <f t="shared" ref="T104" si="310">IF(S103-S105&lt;IF($F105=1,$G104*S103,(S103-S105)*2*$G104),S103-S105,IF($F105=1,$G104*S103,(S103-S105)*2*$G104))*T$6</f>
        <v>1041.6666666666665</v>
      </c>
      <c r="U104" s="742">
        <f t="shared" ref="U104" si="311">IF(T103-T105&lt;IF($F105=1,$G104*T103,(T103-T105)*2*$G104),T103-T105,IF($F105=1,$G104*T103,(T103-T105)*2*$G104))*U$6</f>
        <v>1041.6666666666665</v>
      </c>
      <c r="V104" s="742">
        <f t="shared" ref="V104" si="312">IF(U103-U105&lt;IF($F105=1,$G104*U103,(U103-U105)*2*$G104),U103-U105,IF($F105=1,$G104*U103,(U103-U105)*2*$G104))*V$6</f>
        <v>1041.6666666666665</v>
      </c>
      <c r="W104" s="742">
        <f t="shared" ref="W104" si="313">IF(V103-V105&lt;IF($F105=1,$G104*V103,(V103-V105)*2*$G104),V103-V105,IF($F105=1,$G104*V103,(V103-V105)*2*$G104))*W$6</f>
        <v>1041.6666666666665</v>
      </c>
      <c r="X104" s="742">
        <f t="shared" ref="X104" si="314">IF(W103-W105&lt;IF($F105=1,$G104*W103,(W103-W105)*2*$G104),W103-W105,IF($F105=1,$G104*W103,(W103-W105)*2*$G104))*X$6</f>
        <v>1736.1111111111111</v>
      </c>
      <c r="Y104" s="742">
        <f t="shared" ref="Y104" si="315">IF(X103-X105&lt;IF($F105=1,$G104*X103,(X103-X105)*2*$G104),X103-X105,IF($F105=1,$G104*X103,(X103-X105)*2*$G104))*Y$6</f>
        <v>1736.1111111111111</v>
      </c>
      <c r="Z104" s="742">
        <f t="shared" ref="Z104" si="316">IF(Y103-Y105&lt;IF($F105=1,$G104*Y103,(Y103-Y105)*2*$G104),Y103-Y105,IF($F105=1,$G104*Y103,(Y103-Y105)*2*$G104))*Z$6</f>
        <v>1736.1111111111111</v>
      </c>
      <c r="AA104" s="742">
        <f t="shared" ref="AA104" si="317">IF(Z103-Z105&lt;IF($F105=1,$G104*Z103,(Z103-Z105)*2*$G104),Z103-Z105,IF($F105=1,$G104*Z103,(Z103-Z105)*2*$G104))*AA$6</f>
        <v>1736.1111111111111</v>
      </c>
      <c r="AB104" s="742">
        <f t="shared" ref="AB104" si="318">IF(AA103-AA105&lt;IF($F105=1,$G104*AA103,(AA103-AA105)*2*$G104),AA103-AA105,IF($F105=1,$G104*AA103,(AA103-AA105)*2*$G104))*AB$6</f>
        <v>1736.1111111111111</v>
      </c>
      <c r="AC104" s="742">
        <f t="shared" ref="AC104" si="319">IF(AB103-AB105&lt;IF($F105=1,$G104*AB103,(AB103-AB105)*2*$G104),AB103-AB105,IF($F105=1,$G104*AB103,(AB103-AB105)*2*$G104))*AC$6</f>
        <v>1736.1111111111111</v>
      </c>
      <c r="AD104" s="742">
        <f t="shared" ref="AD104" si="320">IF(AC103-AC105&lt;IF($F105=1,$G104*AC103,(AC103-AC105)*2*$G104),AC103-AC105,IF($F105=1,$G104*AC103,(AC103-AC105)*2*$G104))*AD$6</f>
        <v>1736.1111111111111</v>
      </c>
      <c r="AE104" s="742">
        <f t="shared" ref="AE104" si="321">IF(AD103-AD105&lt;IF($F105=1,$G104*AD103,(AD103-AD105)*2*$G104),AD103-AD105,IF($F105=1,$G104*AD103,(AD103-AD105)*2*$G104))*AE$6</f>
        <v>0</v>
      </c>
      <c r="AF104" s="742">
        <f t="shared" ref="AF104" si="322">IF(AE103-AE105&lt;IF($F105=1,$G104*AE103,(AE103-AE105)*2*$G104),AE103-AE105,IF($F105=1,$G104*AE103,(AE103-AE105)*2*$G104))*AF$6</f>
        <v>0</v>
      </c>
      <c r="AG104" s="742">
        <f t="shared" ref="AG104" si="323">IF(AF103-AF105&lt;IF($F105=1,$G104*AF103,(AF103-AF105)*2*$G104),AF103-AF105,IF($F105=1,$G104*AF103,(AF103-AF105)*2*$G104))*AG$6</f>
        <v>0</v>
      </c>
    </row>
    <row r="105" spans="1:33" s="649" customFormat="1" ht="16.5" customHeight="1" outlineLevel="2">
      <c r="A105" s="434"/>
      <c r="B105" s="434"/>
      <c r="C105" s="435" t="s">
        <v>464</v>
      </c>
      <c r="D105" s="436" t="str">
        <f>Currency_Label</f>
        <v>USD</v>
      </c>
      <c r="E105" s="274" t="s">
        <v>451</v>
      </c>
      <c r="F105" s="745">
        <v>1</v>
      </c>
      <c r="G105" s="738" t="str">
        <f>IF(F105=1," straight-line"," double declining balance")</f>
        <v xml:space="preserve"> straight-line</v>
      </c>
      <c r="H105" s="528"/>
      <c r="I105" s="740"/>
      <c r="J105" s="743">
        <f t="shared" ref="J105" si="324">(I105+J104-J115)*J$6</f>
        <v>347.22222222222223</v>
      </c>
      <c r="K105" s="743">
        <f t="shared" ref="K105" si="325">(J105+K104-K115)*K$6</f>
        <v>1388.8888888888887</v>
      </c>
      <c r="L105" s="743">
        <f t="shared" ref="L105:M105" si="326">(K105+L104-L115)*L$6</f>
        <v>2430.5555555555552</v>
      </c>
      <c r="M105" s="743">
        <f t="shared" si="326"/>
        <v>3472.2222222222217</v>
      </c>
      <c r="N105" s="743">
        <f t="shared" ref="N105" si="327">(M105+N104-N115)*N$6</f>
        <v>4513.8888888888887</v>
      </c>
      <c r="O105" s="743">
        <f t="shared" ref="O105" si="328">(N105+O104-O115)*O$6</f>
        <v>5555.5555555555547</v>
      </c>
      <c r="P105" s="743">
        <f t="shared" ref="P105" si="329">(O105+P104-P115)*P$6</f>
        <v>6597.2222222222208</v>
      </c>
      <c r="Q105" s="743">
        <f t="shared" ref="Q105" si="330">(P105+Q104-Q115)*Q$6</f>
        <v>7638.8888888888869</v>
      </c>
      <c r="R105" s="743">
        <f t="shared" ref="R105" si="331">(Q105+R104-R115)*R$6</f>
        <v>8680.5555555555529</v>
      </c>
      <c r="S105" s="743">
        <f t="shared" ref="S105" si="332">(R105+S104-S115)*S$6</f>
        <v>9722.222222222219</v>
      </c>
      <c r="T105" s="743">
        <f t="shared" ref="T105" si="333">(S105+T104-T115)*T$6</f>
        <v>10763.888888888885</v>
      </c>
      <c r="U105" s="743">
        <f t="shared" ref="U105" si="334">(T105+U104-U115)*U$6</f>
        <v>11805.555555555551</v>
      </c>
      <c r="V105" s="743">
        <f t="shared" ref="V105" si="335">(U105+V104-V115)*V$6</f>
        <v>12847.222222222217</v>
      </c>
      <c r="W105" s="743">
        <f t="shared" ref="W105" si="336">(V105+W104-W115)*W$6</f>
        <v>13888.888888888883</v>
      </c>
      <c r="X105" s="743">
        <f t="shared" ref="X105" si="337">(W105+X104-X115)*X$6</f>
        <v>15624.999999999995</v>
      </c>
      <c r="Y105" s="743">
        <f t="shared" ref="Y105" si="338">(X105+Y104-Y115)*Y$6</f>
        <v>17361.111111111106</v>
      </c>
      <c r="Z105" s="743">
        <f t="shared" ref="Z105" si="339">(Y105+Z104-Z115)*Z$6</f>
        <v>19097.222222222215</v>
      </c>
      <c r="AA105" s="743">
        <f t="shared" ref="AA105" si="340">(Z105+AA104-AA115)*AA$6</f>
        <v>20833.333333333325</v>
      </c>
      <c r="AB105" s="743">
        <f t="shared" ref="AB105" si="341">(AA105+AB104-AB115)*AB$6</f>
        <v>22569.444444444434</v>
      </c>
      <c r="AC105" s="743">
        <f t="shared" ref="AC105" si="342">(AB105+AC104-AC115)*AC$6</f>
        <v>24305.555555555544</v>
      </c>
      <c r="AD105" s="743">
        <f t="shared" ref="AD105" si="343">(AC105+AD104-AD115)*AD$6</f>
        <v>26041.666666666653</v>
      </c>
      <c r="AE105" s="743">
        <f t="shared" ref="AE105" si="344">(AD105+AE104-AE115)*AE$6</f>
        <v>0</v>
      </c>
      <c r="AF105" s="743">
        <f t="shared" ref="AF105" si="345">(AE105+AF104-AF115)*AF$6</f>
        <v>0</v>
      </c>
      <c r="AG105" s="743">
        <f t="shared" ref="AG105" si="346">(AF105+AG104-AG115)*AG$6</f>
        <v>0</v>
      </c>
    </row>
    <row r="106" spans="1:33" s="649" customFormat="1" ht="16.5" customHeight="1" outlineLevel="2">
      <c r="A106" s="434"/>
      <c r="B106" s="735" t="s">
        <v>43</v>
      </c>
      <c r="C106" s="732" t="str">
        <f>"Company produced additions: "&amp;C94</f>
        <v>Company produced additions: Vehicles</v>
      </c>
      <c r="D106" s="449"/>
      <c r="E106" s="449"/>
      <c r="F106" s="449"/>
      <c r="G106" s="449"/>
      <c r="H106" s="449"/>
      <c r="I106" s="449"/>
      <c r="J106" s="445"/>
      <c r="K106" s="445"/>
      <c r="L106" s="432"/>
      <c r="M106" s="432"/>
      <c r="N106" s="432"/>
      <c r="O106" s="432"/>
      <c r="P106" s="432"/>
      <c r="Q106" s="432"/>
      <c r="R106" s="432"/>
      <c r="S106" s="432"/>
      <c r="T106" s="432"/>
      <c r="U106" s="432"/>
      <c r="V106" s="432"/>
      <c r="W106" s="432"/>
      <c r="X106" s="432"/>
      <c r="Y106" s="432"/>
      <c r="Z106" s="432"/>
      <c r="AA106" s="432"/>
      <c r="AB106" s="432"/>
      <c r="AC106" s="432"/>
      <c r="AD106" s="432"/>
      <c r="AE106" s="432"/>
      <c r="AF106" s="432"/>
      <c r="AG106" s="432"/>
    </row>
    <row r="107" spans="1:33" s="649" customFormat="1" ht="16.5" customHeight="1" outlineLevel="2">
      <c r="A107" s="434"/>
      <c r="B107" s="434"/>
      <c r="C107" s="435" t="str">
        <f>CHOOSE(language,"2. Capitalised assets","2. Capitalized assets")</f>
        <v>2. Capitalized assets</v>
      </c>
      <c r="D107" s="737"/>
      <c r="E107" s="449"/>
      <c r="F107" s="449"/>
      <c r="G107" s="450"/>
      <c r="H107" s="449"/>
      <c r="I107" s="71">
        <f>SUMPRODUCT((J$6:AG$6),(J107:AG107))</f>
        <v>0</v>
      </c>
      <c r="J107" s="269"/>
      <c r="K107" s="269"/>
      <c r="L107" s="269"/>
      <c r="M107" s="269"/>
      <c r="N107" s="269"/>
      <c r="O107" s="269"/>
      <c r="P107" s="269"/>
      <c r="Q107" s="269"/>
      <c r="R107" s="269"/>
      <c r="S107" s="269"/>
      <c r="T107" s="269"/>
      <c r="U107" s="269"/>
      <c r="V107" s="269"/>
      <c r="W107" s="269"/>
      <c r="X107" s="269"/>
      <c r="Y107" s="269"/>
      <c r="Z107" s="269"/>
      <c r="AA107" s="269"/>
      <c r="AB107" s="269"/>
      <c r="AC107" s="269"/>
      <c r="AD107" s="269"/>
      <c r="AE107" s="269"/>
      <c r="AF107" s="269"/>
      <c r="AG107" s="269"/>
    </row>
    <row r="108" spans="1:33" s="649" customFormat="1" ht="16.5" customHeight="1" outlineLevel="2">
      <c r="A108" s="434"/>
      <c r="B108" s="735" t="s">
        <v>439</v>
      </c>
      <c r="C108" s="732" t="str">
        <f>"Finance Lease: "&amp;C94</f>
        <v>Finance Lease: Vehicles</v>
      </c>
      <c r="D108" s="442"/>
      <c r="E108" s="449"/>
      <c r="F108" s="449"/>
      <c r="G108" s="450"/>
      <c r="H108" s="449"/>
      <c r="I108" s="449"/>
      <c r="J108" s="445"/>
      <c r="K108" s="445"/>
      <c r="L108" s="432"/>
      <c r="M108" s="432"/>
      <c r="N108" s="432"/>
      <c r="O108" s="432"/>
      <c r="P108" s="432"/>
      <c r="Q108" s="432"/>
      <c r="R108" s="432"/>
      <c r="S108" s="432"/>
      <c r="T108" s="432"/>
      <c r="U108" s="432"/>
      <c r="V108" s="432"/>
      <c r="W108" s="432"/>
      <c r="X108" s="432"/>
      <c r="Y108" s="432"/>
      <c r="Z108" s="432"/>
      <c r="AA108" s="432"/>
      <c r="AB108" s="432"/>
      <c r="AC108" s="432"/>
      <c r="AD108" s="432"/>
      <c r="AE108" s="432"/>
      <c r="AF108" s="432"/>
      <c r="AG108" s="432"/>
    </row>
    <row r="109" spans="1:33" s="649" customFormat="1" ht="16.5" customHeight="1" outlineLevel="2">
      <c r="A109" s="434"/>
      <c r="B109" s="434"/>
      <c r="C109" s="435" t="s">
        <v>452</v>
      </c>
      <c r="D109" s="436" t="str">
        <f>Currency_Label</f>
        <v>USD</v>
      </c>
      <c r="E109" s="449"/>
      <c r="F109" s="681"/>
      <c r="G109" s="681"/>
      <c r="H109" s="449"/>
      <c r="I109" s="71">
        <f>SUMPRODUCT((J$6:AG$6),(J109:AG109))</f>
        <v>0</v>
      </c>
      <c r="J109" s="269"/>
      <c r="K109" s="269"/>
      <c r="L109" s="269"/>
      <c r="M109" s="269"/>
      <c r="N109" s="269"/>
      <c r="O109" s="269"/>
      <c r="P109" s="269"/>
      <c r="Q109" s="269"/>
      <c r="R109" s="269"/>
      <c r="S109" s="269"/>
      <c r="T109" s="269"/>
      <c r="U109" s="269"/>
      <c r="V109" s="269"/>
      <c r="W109" s="269"/>
      <c r="X109" s="269"/>
      <c r="Y109" s="269"/>
      <c r="Z109" s="269"/>
      <c r="AA109" s="269"/>
      <c r="AB109" s="269"/>
      <c r="AC109" s="269"/>
      <c r="AD109" s="269"/>
      <c r="AE109" s="269"/>
      <c r="AF109" s="269"/>
      <c r="AG109" s="269"/>
    </row>
    <row r="110" spans="1:33" s="649" customFormat="1" ht="16.5" customHeight="1" outlineLevel="2">
      <c r="A110" s="434"/>
      <c r="B110" s="434"/>
      <c r="C110" s="435" t="s">
        <v>453</v>
      </c>
      <c r="D110" s="436" t="str">
        <f>Currency_Label</f>
        <v>USD</v>
      </c>
      <c r="E110" s="449"/>
      <c r="F110" s="449"/>
      <c r="G110" s="450"/>
      <c r="H110" s="449"/>
      <c r="I110" s="71">
        <f>SUMPRODUCT((J$6:AG$6),(J110:AG110))</f>
        <v>0</v>
      </c>
      <c r="J110" s="269"/>
      <c r="K110" s="269"/>
      <c r="L110" s="269"/>
      <c r="M110" s="269"/>
      <c r="N110" s="269"/>
      <c r="O110" s="269"/>
      <c r="P110" s="269"/>
      <c r="Q110" s="269"/>
      <c r="R110" s="269"/>
      <c r="S110" s="269"/>
      <c r="T110" s="269"/>
      <c r="U110" s="269"/>
      <c r="V110" s="269"/>
      <c r="W110" s="269"/>
      <c r="X110" s="269"/>
      <c r="Y110" s="269"/>
      <c r="Z110" s="269"/>
      <c r="AA110" s="269"/>
      <c r="AB110" s="269"/>
      <c r="AC110" s="269"/>
      <c r="AD110" s="269"/>
      <c r="AE110" s="269"/>
      <c r="AF110" s="269"/>
      <c r="AG110" s="269"/>
    </row>
    <row r="111" spans="1:33" s="649" customFormat="1" ht="16.5" customHeight="1" outlineLevel="2">
      <c r="A111" s="434"/>
      <c r="B111" s="434"/>
      <c r="C111" s="435" t="s">
        <v>454</v>
      </c>
      <c r="D111" s="436" t="str">
        <f>Currency_Label</f>
        <v>USD</v>
      </c>
      <c r="E111" s="449"/>
      <c r="F111" s="449"/>
      <c r="G111" s="450"/>
      <c r="H111" s="449"/>
      <c r="I111" s="71">
        <f>SUMPRODUCT((J$6:AG$6),(J111:AG111))</f>
        <v>0</v>
      </c>
      <c r="J111" s="269"/>
      <c r="K111" s="269"/>
      <c r="L111" s="269"/>
      <c r="M111" s="269"/>
      <c r="N111" s="269"/>
      <c r="O111" s="269"/>
      <c r="P111" s="269"/>
      <c r="Q111" s="269"/>
      <c r="R111" s="269"/>
      <c r="S111" s="269"/>
      <c r="T111" s="269"/>
      <c r="U111" s="269"/>
      <c r="V111" s="269"/>
      <c r="W111" s="269"/>
      <c r="X111" s="269"/>
      <c r="Y111" s="269"/>
      <c r="Z111" s="269"/>
      <c r="AA111" s="269"/>
      <c r="AB111" s="269"/>
      <c r="AC111" s="269"/>
      <c r="AD111" s="269"/>
      <c r="AE111" s="269"/>
      <c r="AF111" s="269"/>
      <c r="AG111" s="269"/>
    </row>
    <row r="112" spans="1:33" s="649" customFormat="1" ht="16.5" customHeight="1" outlineLevel="2">
      <c r="A112" s="434"/>
      <c r="B112" s="735" t="s">
        <v>440</v>
      </c>
      <c r="C112" s="732" t="str">
        <f>CHOOSE(language, "Sale of "&amp;C94,"Disposal of "&amp;C94)</f>
        <v>Disposal of Vehicles</v>
      </c>
      <c r="D112" s="442"/>
      <c r="E112" s="449"/>
      <c r="F112" s="449"/>
      <c r="G112" s="450"/>
      <c r="H112" s="449"/>
      <c r="I112" s="449"/>
      <c r="J112" s="445"/>
      <c r="K112" s="445"/>
      <c r="L112" s="432"/>
      <c r="M112" s="432"/>
      <c r="N112" s="432"/>
      <c r="O112" s="432"/>
      <c r="P112" s="432"/>
      <c r="Q112" s="432"/>
      <c r="R112" s="432"/>
      <c r="S112" s="432"/>
      <c r="T112" s="432"/>
      <c r="U112" s="432"/>
      <c r="V112" s="432"/>
      <c r="W112" s="432"/>
      <c r="X112" s="432"/>
      <c r="Y112" s="432"/>
      <c r="Z112" s="432"/>
      <c r="AA112" s="432"/>
      <c r="AB112" s="432"/>
      <c r="AC112" s="432"/>
      <c r="AD112" s="432"/>
      <c r="AE112" s="432"/>
      <c r="AF112" s="432"/>
      <c r="AG112" s="432"/>
    </row>
    <row r="113" spans="1:33" s="649" customFormat="1" ht="16.5" customHeight="1" outlineLevel="2">
      <c r="A113" s="434"/>
      <c r="B113" s="434"/>
      <c r="C113" s="435" t="s">
        <v>455</v>
      </c>
      <c r="D113" s="436" t="str">
        <f>Currency_Label</f>
        <v>USD</v>
      </c>
      <c r="E113" s="449"/>
      <c r="F113" s="449"/>
      <c r="G113" s="450"/>
      <c r="H113" s="739"/>
      <c r="I113" s="71">
        <f>SUMPRODUCT((J$6:AG$6),(J113:AG113))</f>
        <v>0</v>
      </c>
      <c r="J113" s="269"/>
      <c r="K113" s="269"/>
      <c r="L113" s="269"/>
      <c r="M113" s="269"/>
      <c r="N113" s="269"/>
      <c r="O113" s="269"/>
      <c r="P113" s="269"/>
      <c r="Q113" s="269"/>
      <c r="R113" s="269"/>
      <c r="S113" s="269"/>
      <c r="T113" s="269"/>
      <c r="U113" s="269"/>
      <c r="V113" s="269"/>
      <c r="W113" s="269"/>
      <c r="X113" s="269"/>
      <c r="Y113" s="269"/>
      <c r="Z113" s="269"/>
      <c r="AA113" s="269"/>
      <c r="AB113" s="269"/>
      <c r="AC113" s="269"/>
      <c r="AD113" s="269"/>
      <c r="AE113" s="269"/>
      <c r="AF113" s="269"/>
      <c r="AG113" s="269"/>
    </row>
    <row r="114" spans="1:33" s="649" customFormat="1" ht="16.5" customHeight="1" outlineLevel="2">
      <c r="A114" s="434"/>
      <c r="B114" s="434"/>
      <c r="C114" s="435" t="s">
        <v>456</v>
      </c>
      <c r="D114" s="436" t="str">
        <f>Currency_Label</f>
        <v>USD</v>
      </c>
      <c r="E114" s="278" t="str">
        <f>IF(H104=0,"","Error: Please check inputs for sale of assets")</f>
        <v/>
      </c>
      <c r="F114" s="449"/>
      <c r="G114" s="450"/>
      <c r="H114" s="739"/>
      <c r="I114" s="71">
        <f>SUMPRODUCT((J$6:AG$6),(J114:AG114))</f>
        <v>0</v>
      </c>
      <c r="J114" s="269"/>
      <c r="K114" s="269"/>
      <c r="L114" s="269"/>
      <c r="M114" s="269"/>
      <c r="N114" s="269"/>
      <c r="O114" s="269"/>
      <c r="P114" s="269"/>
      <c r="Q114" s="269"/>
      <c r="R114" s="269"/>
      <c r="S114" s="269"/>
      <c r="T114" s="269"/>
      <c r="U114" s="269"/>
      <c r="V114" s="269"/>
      <c r="W114" s="269"/>
      <c r="X114" s="269"/>
      <c r="Y114" s="269"/>
      <c r="Z114" s="269"/>
      <c r="AA114" s="269"/>
      <c r="AB114" s="269"/>
      <c r="AC114" s="269"/>
      <c r="AD114" s="269"/>
      <c r="AE114" s="269"/>
      <c r="AF114" s="269"/>
      <c r="AG114" s="269"/>
    </row>
    <row r="115" spans="1:33" s="649" customFormat="1" ht="16.5" customHeight="1" outlineLevel="2">
      <c r="A115" s="434"/>
      <c r="B115" s="434"/>
      <c r="C115" s="435" t="s">
        <v>465</v>
      </c>
      <c r="D115" s="436" t="str">
        <f>Currency_Label</f>
        <v>USD</v>
      </c>
      <c r="E115" s="278" t="str">
        <f>IF(H104=0,"","Error: Please check inputs for sale of assets")</f>
        <v/>
      </c>
      <c r="F115" s="449"/>
      <c r="G115" s="450"/>
      <c r="H115" s="739"/>
      <c r="I115" s="71">
        <f>SUMPRODUCT((J$6:AG$6),(J115:AG115))</f>
        <v>0</v>
      </c>
      <c r="J115" s="269"/>
      <c r="K115" s="269"/>
      <c r="L115" s="269"/>
      <c r="M115" s="269"/>
      <c r="N115" s="269"/>
      <c r="O115" s="269"/>
      <c r="P115" s="269"/>
      <c r="Q115" s="269"/>
      <c r="R115" s="269"/>
      <c r="S115" s="269"/>
      <c r="T115" s="269"/>
      <c r="U115" s="269"/>
      <c r="V115" s="269"/>
      <c r="W115" s="269"/>
      <c r="X115" s="269"/>
      <c r="Y115" s="269"/>
      <c r="Z115" s="269"/>
      <c r="AA115" s="269"/>
      <c r="AB115" s="269"/>
      <c r="AC115" s="269"/>
      <c r="AD115" s="269"/>
      <c r="AE115" s="269"/>
      <c r="AF115" s="269"/>
      <c r="AG115" s="269"/>
    </row>
    <row r="116" spans="1:33" s="649" customFormat="1" ht="16.5" customHeight="1" outlineLevel="2">
      <c r="A116" s="434"/>
      <c r="B116" s="735" t="s">
        <v>441</v>
      </c>
      <c r="C116" s="732" t="str">
        <f>Name_VAT</f>
        <v>VAT</v>
      </c>
      <c r="D116" s="442"/>
      <c r="E116" s="449"/>
      <c r="F116" s="444"/>
      <c r="G116" s="444"/>
      <c r="H116" s="434"/>
      <c r="I116" s="434"/>
      <c r="J116" s="445"/>
      <c r="K116" s="445"/>
      <c r="L116" s="432"/>
      <c r="M116" s="432"/>
      <c r="N116" s="432"/>
      <c r="O116" s="432"/>
      <c r="P116" s="432"/>
      <c r="Q116" s="432"/>
      <c r="R116" s="432"/>
      <c r="S116" s="432"/>
      <c r="T116" s="432"/>
      <c r="U116" s="432"/>
      <c r="V116" s="432"/>
      <c r="W116" s="432"/>
      <c r="X116" s="432"/>
      <c r="Y116" s="432"/>
      <c r="Z116" s="432"/>
      <c r="AA116" s="432"/>
      <c r="AB116" s="432"/>
      <c r="AC116" s="432"/>
      <c r="AD116" s="432"/>
      <c r="AE116" s="432"/>
      <c r="AF116" s="432"/>
      <c r="AG116" s="432"/>
    </row>
    <row r="117" spans="1:33" s="649" customFormat="1" ht="16.5" customHeight="1" outlineLevel="2">
      <c r="A117" s="434"/>
      <c r="B117" s="434"/>
      <c r="C117" s="24" t="str">
        <f>Name_VAT &amp;" on "&amp;C94 &amp;" purchased &amp; leased"</f>
        <v>VAT on Vehicles purchased &amp; leased</v>
      </c>
      <c r="D117" s="8" t="str">
        <f t="shared" ref="D117" si="347">Currency_Label</f>
        <v>USD</v>
      </c>
      <c r="E117" s="85">
        <f>F94</f>
        <v>0.9</v>
      </c>
      <c r="F117" s="749" t="s">
        <v>462</v>
      </c>
      <c r="G117" s="85">
        <f>H94</f>
        <v>0.2</v>
      </c>
      <c r="H117" s="346"/>
      <c r="I117" s="71">
        <f>SUM(J117:AG117)</f>
        <v>18000</v>
      </c>
      <c r="J117" s="715">
        <f>(J101+J109)*$E117*$G117*J$6</f>
        <v>9000</v>
      </c>
      <c r="K117" s="715">
        <f t="shared" ref="K117:L117" si="348">(K101+K109)*$E117*$G117*K$6</f>
        <v>0</v>
      </c>
      <c r="L117" s="715">
        <f t="shared" si="348"/>
        <v>0</v>
      </c>
      <c r="M117" s="715">
        <f t="shared" ref="M117:AG117" si="349">(M101+M109)*$E117*$G117*M$6</f>
        <v>0</v>
      </c>
      <c r="N117" s="715">
        <f t="shared" si="349"/>
        <v>0</v>
      </c>
      <c r="O117" s="715">
        <f t="shared" si="349"/>
        <v>0</v>
      </c>
      <c r="P117" s="715">
        <f t="shared" si="349"/>
        <v>0</v>
      </c>
      <c r="Q117" s="715">
        <f t="shared" si="349"/>
        <v>0</v>
      </c>
      <c r="R117" s="715">
        <f t="shared" si="349"/>
        <v>0</v>
      </c>
      <c r="S117" s="715">
        <f t="shared" si="349"/>
        <v>0</v>
      </c>
      <c r="T117" s="715">
        <f t="shared" si="349"/>
        <v>0</v>
      </c>
      <c r="U117" s="715">
        <f t="shared" si="349"/>
        <v>0</v>
      </c>
      <c r="V117" s="715">
        <f t="shared" si="349"/>
        <v>0</v>
      </c>
      <c r="W117" s="715">
        <f t="shared" si="349"/>
        <v>9000</v>
      </c>
      <c r="X117" s="715">
        <f t="shared" si="349"/>
        <v>0</v>
      </c>
      <c r="Y117" s="715">
        <f t="shared" si="349"/>
        <v>0</v>
      </c>
      <c r="Z117" s="715">
        <f t="shared" si="349"/>
        <v>0</v>
      </c>
      <c r="AA117" s="715">
        <f t="shared" si="349"/>
        <v>0</v>
      </c>
      <c r="AB117" s="715">
        <f t="shared" si="349"/>
        <v>0</v>
      </c>
      <c r="AC117" s="715">
        <f t="shared" si="349"/>
        <v>0</v>
      </c>
      <c r="AD117" s="715">
        <f t="shared" si="349"/>
        <v>0</v>
      </c>
      <c r="AE117" s="715">
        <f t="shared" si="349"/>
        <v>0</v>
      </c>
      <c r="AF117" s="715">
        <f t="shared" si="349"/>
        <v>0</v>
      </c>
      <c r="AG117" s="715">
        <f t="shared" si="349"/>
        <v>0</v>
      </c>
    </row>
    <row r="118" spans="1:33" s="649" customFormat="1" ht="16.5" customHeight="1" outlineLevel="2">
      <c r="A118" s="434"/>
      <c r="B118" s="434"/>
      <c r="C118" s="448"/>
      <c r="D118" s="442"/>
      <c r="E118" s="449"/>
      <c r="F118" s="444"/>
      <c r="G118" s="444"/>
      <c r="H118" s="434"/>
      <c r="I118" s="434"/>
      <c r="J118" s="445"/>
      <c r="K118" s="445"/>
      <c r="L118" s="432"/>
      <c r="M118" s="432"/>
      <c r="N118" s="432"/>
      <c r="O118" s="432"/>
      <c r="P118" s="432"/>
      <c r="Q118" s="432"/>
      <c r="R118" s="432"/>
      <c r="S118" s="432"/>
      <c r="T118" s="432"/>
      <c r="U118" s="432"/>
      <c r="V118" s="432"/>
      <c r="W118" s="432"/>
      <c r="X118" s="432"/>
      <c r="Y118" s="432"/>
      <c r="Z118" s="432"/>
      <c r="AA118" s="432"/>
      <c r="AB118" s="432"/>
      <c r="AC118" s="432"/>
      <c r="AD118" s="432"/>
      <c r="AE118" s="432"/>
      <c r="AF118" s="432"/>
      <c r="AG118" s="432"/>
    </row>
    <row r="119" spans="1:33" s="649" customFormat="1" ht="16.5" customHeight="1" outlineLevel="2">
      <c r="A119" s="434"/>
      <c r="B119" s="735"/>
      <c r="C119" s="732" t="s">
        <v>468</v>
      </c>
      <c r="D119" s="442"/>
      <c r="E119" s="432"/>
      <c r="F119" s="432"/>
      <c r="G119" s="432"/>
      <c r="H119" s="432"/>
      <c r="I119" s="432"/>
      <c r="J119" s="432"/>
      <c r="K119" s="432"/>
      <c r="L119" s="432"/>
      <c r="M119" s="432"/>
      <c r="N119" s="432"/>
      <c r="O119" s="432"/>
      <c r="P119" s="432"/>
      <c r="Q119" s="432"/>
      <c r="R119" s="432"/>
      <c r="S119" s="432"/>
      <c r="T119" s="432"/>
      <c r="U119" s="432"/>
      <c r="V119" s="432"/>
      <c r="W119" s="432"/>
      <c r="X119" s="432"/>
      <c r="Y119" s="432"/>
      <c r="Z119" s="432"/>
      <c r="AA119" s="432"/>
      <c r="AB119" s="432"/>
      <c r="AC119" s="432"/>
      <c r="AD119" s="432"/>
      <c r="AE119" s="432"/>
      <c r="AF119" s="432"/>
      <c r="AG119" s="432"/>
    </row>
    <row r="120" spans="1:33" s="649" customFormat="1" ht="16.5" customHeight="1" outlineLevel="2">
      <c r="A120" s="434"/>
      <c r="B120" s="434"/>
      <c r="C120" s="649" t="s">
        <v>140</v>
      </c>
      <c r="D120" s="436" t="str">
        <f>Currency_Label</f>
        <v>USD</v>
      </c>
      <c r="E120" s="432"/>
      <c r="F120" s="432"/>
      <c r="G120" s="432"/>
      <c r="H120" s="432"/>
      <c r="I120" s="432"/>
      <c r="J120" s="747">
        <f t="shared" ref="J120" si="350">I123*J$6</f>
        <v>255000</v>
      </c>
      <c r="K120" s="747">
        <f t="shared" ref="K120" si="351">J123*K$6</f>
        <v>300486.11111111112</v>
      </c>
      <c r="L120" s="747">
        <f t="shared" ref="L120:M120" si="352">K123*L$6</f>
        <v>515277.77777777781</v>
      </c>
      <c r="M120" s="747">
        <f t="shared" si="352"/>
        <v>506402.77777777781</v>
      </c>
      <c r="N120" s="747">
        <f t="shared" ref="N120" si="353">M123*N$6</f>
        <v>537527.77777777775</v>
      </c>
      <c r="O120" s="747">
        <f t="shared" ref="O120" si="354">N123*O$6</f>
        <v>527986.11111111112</v>
      </c>
      <c r="P120" s="747">
        <f t="shared" ref="P120" si="355">O123*P$6</f>
        <v>518444.44444444444</v>
      </c>
      <c r="Q120" s="747">
        <f t="shared" ref="Q120" si="356">P123*Q$6</f>
        <v>508902.77777777775</v>
      </c>
      <c r="R120" s="747">
        <f t="shared" ref="R120" si="357">Q123*R$6</f>
        <v>499361.11111111107</v>
      </c>
      <c r="S120" s="747">
        <f t="shared" ref="S120" si="358">R123*S$6</f>
        <v>489819.44444444438</v>
      </c>
      <c r="T120" s="747">
        <f t="shared" ref="T120" si="359">S123*T$6</f>
        <v>480277.77777777769</v>
      </c>
      <c r="U120" s="747">
        <f t="shared" ref="U120" si="360">T123*U$6</f>
        <v>470736.11111111101</v>
      </c>
      <c r="V120" s="747">
        <f t="shared" ref="V120" si="361">U123*V$6</f>
        <v>493694.44444444432</v>
      </c>
      <c r="W120" s="747">
        <f t="shared" ref="W120" si="362">V123*W$6</f>
        <v>483611.11111111101</v>
      </c>
      <c r="X120" s="747">
        <f t="shared" ref="X120" si="363">W123*X$6</f>
        <v>523527.77777777769</v>
      </c>
      <c r="Y120" s="747">
        <f t="shared" ref="Y120" si="364">X123*Y$6</f>
        <v>512749.99999999994</v>
      </c>
      <c r="Z120" s="747">
        <f t="shared" ref="Z120" si="365">Y123*Z$6</f>
        <v>501972.22222222219</v>
      </c>
      <c r="AA120" s="747">
        <f t="shared" ref="AA120" si="366">Z123*AA$6</f>
        <v>491194.44444444444</v>
      </c>
      <c r="AB120" s="747">
        <f t="shared" ref="AB120" si="367">AA123*AB$6</f>
        <v>480416.66666666669</v>
      </c>
      <c r="AC120" s="747">
        <f t="shared" ref="AC120" si="368">AB123*AC$6</f>
        <v>469638.88888888893</v>
      </c>
      <c r="AD120" s="747">
        <f t="shared" ref="AD120" si="369">AC123*AD$6</f>
        <v>458861.11111111118</v>
      </c>
      <c r="AE120" s="747">
        <f t="shared" ref="AE120" si="370">AD123*AE$6</f>
        <v>0</v>
      </c>
      <c r="AF120" s="747">
        <f t="shared" ref="AF120" si="371">AE123*AF$6</f>
        <v>0</v>
      </c>
      <c r="AG120" s="747">
        <f t="shared" ref="AG120" si="372">AF123*AG$6</f>
        <v>0</v>
      </c>
    </row>
    <row r="121" spans="1:33" s="649" customFormat="1" ht="16.5" customHeight="1" outlineLevel="2">
      <c r="A121" s="434"/>
      <c r="B121" s="434"/>
      <c r="C121" s="435" t="s">
        <v>458</v>
      </c>
      <c r="D121" s="436" t="str">
        <f>Currency_Label</f>
        <v>USD</v>
      </c>
      <c r="E121" s="432"/>
      <c r="F121" s="432"/>
      <c r="G121" s="432"/>
      <c r="H121" s="432"/>
      <c r="I121" s="71">
        <f>SUM(J121:AG121)</f>
        <v>392500</v>
      </c>
      <c r="J121" s="357">
        <f t="shared" ref="J121:AG121" si="373">(J49+J55+J57)+(J75+J81+J83)+(J101+J107+J109)</f>
        <v>50000</v>
      </c>
      <c r="K121" s="357">
        <f t="shared" si="373"/>
        <v>220000</v>
      </c>
      <c r="L121" s="357">
        <f t="shared" si="373"/>
        <v>0</v>
      </c>
      <c r="M121" s="357">
        <f t="shared" si="373"/>
        <v>40000</v>
      </c>
      <c r="N121" s="357">
        <f t="shared" si="373"/>
        <v>0</v>
      </c>
      <c r="O121" s="357">
        <f t="shared" si="373"/>
        <v>0</v>
      </c>
      <c r="P121" s="357">
        <f t="shared" si="373"/>
        <v>0</v>
      </c>
      <c r="Q121" s="357">
        <f t="shared" si="373"/>
        <v>0</v>
      </c>
      <c r="R121" s="357">
        <f t="shared" si="373"/>
        <v>0</v>
      </c>
      <c r="S121" s="357">
        <f t="shared" si="373"/>
        <v>0</v>
      </c>
      <c r="T121" s="357">
        <f t="shared" si="373"/>
        <v>0</v>
      </c>
      <c r="U121" s="357">
        <f t="shared" si="373"/>
        <v>32500</v>
      </c>
      <c r="V121" s="357">
        <f t="shared" si="373"/>
        <v>0</v>
      </c>
      <c r="W121" s="357">
        <f t="shared" si="373"/>
        <v>50000</v>
      </c>
      <c r="X121" s="357">
        <f t="shared" si="373"/>
        <v>0</v>
      </c>
      <c r="Y121" s="357">
        <f t="shared" si="373"/>
        <v>0</v>
      </c>
      <c r="Z121" s="357">
        <f t="shared" si="373"/>
        <v>0</v>
      </c>
      <c r="AA121" s="357">
        <f t="shared" si="373"/>
        <v>0</v>
      </c>
      <c r="AB121" s="357">
        <f t="shared" si="373"/>
        <v>0</v>
      </c>
      <c r="AC121" s="357">
        <f t="shared" si="373"/>
        <v>0</v>
      </c>
      <c r="AD121" s="357">
        <f t="shared" si="373"/>
        <v>0</v>
      </c>
      <c r="AE121" s="357">
        <f t="shared" si="373"/>
        <v>0</v>
      </c>
      <c r="AF121" s="357">
        <f t="shared" si="373"/>
        <v>0</v>
      </c>
      <c r="AG121" s="357">
        <f t="shared" si="373"/>
        <v>0</v>
      </c>
    </row>
    <row r="122" spans="1:33" s="649" customFormat="1" ht="16.5" customHeight="1" outlineLevel="2">
      <c r="A122" s="434"/>
      <c r="B122" s="434"/>
      <c r="C122" s="435" t="s">
        <v>473</v>
      </c>
      <c r="D122" s="436" t="str">
        <f>Currency_Label</f>
        <v>USD</v>
      </c>
      <c r="E122" s="432"/>
      <c r="F122" s="432"/>
      <c r="G122" s="432"/>
      <c r="H122" s="432"/>
      <c r="I122" s="71">
        <f>SUM(J122:AG122)</f>
        <v>-199416.66666666669</v>
      </c>
      <c r="J122" s="357">
        <f t="shared" ref="J122:AG122" si="374">-(J52+J62-J63)-(J78+J88-J89)-(J104+J114-J115)</f>
        <v>-4513.8888888888887</v>
      </c>
      <c r="K122" s="357">
        <f t="shared" si="374"/>
        <v>-5208.3333333333321</v>
      </c>
      <c r="L122" s="357">
        <f t="shared" si="374"/>
        <v>-8875</v>
      </c>
      <c r="M122" s="357">
        <f t="shared" si="374"/>
        <v>-8875</v>
      </c>
      <c r="N122" s="357">
        <f t="shared" si="374"/>
        <v>-9541.6666666666661</v>
      </c>
      <c r="O122" s="357">
        <f t="shared" si="374"/>
        <v>-9541.6666666666661</v>
      </c>
      <c r="P122" s="357">
        <f t="shared" si="374"/>
        <v>-9541.6666666666661</v>
      </c>
      <c r="Q122" s="357">
        <f t="shared" si="374"/>
        <v>-9541.6666666666661</v>
      </c>
      <c r="R122" s="357">
        <f t="shared" si="374"/>
        <v>-9541.6666666666661</v>
      </c>
      <c r="S122" s="357">
        <f t="shared" si="374"/>
        <v>-9541.6666666666661</v>
      </c>
      <c r="T122" s="357">
        <f t="shared" si="374"/>
        <v>-9541.6666666666661</v>
      </c>
      <c r="U122" s="357">
        <f t="shared" si="374"/>
        <v>-9541.6666666666661</v>
      </c>
      <c r="V122" s="357">
        <f t="shared" si="374"/>
        <v>-10083.333333333334</v>
      </c>
      <c r="W122" s="357">
        <f t="shared" si="374"/>
        <v>-10083.333333333334</v>
      </c>
      <c r="X122" s="357">
        <f t="shared" si="374"/>
        <v>-10777.777777777779</v>
      </c>
      <c r="Y122" s="357">
        <f t="shared" si="374"/>
        <v>-10777.777777777779</v>
      </c>
      <c r="Z122" s="357">
        <f t="shared" si="374"/>
        <v>-10777.777777777779</v>
      </c>
      <c r="AA122" s="357">
        <f t="shared" si="374"/>
        <v>-10777.777777777779</v>
      </c>
      <c r="AB122" s="357">
        <f t="shared" si="374"/>
        <v>-10777.777777777779</v>
      </c>
      <c r="AC122" s="357">
        <f t="shared" si="374"/>
        <v>-10777.777777777779</v>
      </c>
      <c r="AD122" s="357">
        <f t="shared" si="374"/>
        <v>-10777.777777777779</v>
      </c>
      <c r="AE122" s="357">
        <f t="shared" si="374"/>
        <v>0</v>
      </c>
      <c r="AF122" s="357">
        <f t="shared" si="374"/>
        <v>0</v>
      </c>
      <c r="AG122" s="357">
        <f t="shared" si="374"/>
        <v>0</v>
      </c>
    </row>
    <row r="123" spans="1:33" s="649" customFormat="1" ht="16.5" customHeight="1" outlineLevel="2" thickBot="1">
      <c r="A123" s="434"/>
      <c r="B123" s="434"/>
      <c r="C123" s="649" t="s">
        <v>141</v>
      </c>
      <c r="D123" s="436" t="str">
        <f>Currency_Label</f>
        <v>USD</v>
      </c>
      <c r="E123" s="432"/>
      <c r="F123" s="444"/>
      <c r="G123" s="444"/>
      <c r="H123" s="434"/>
      <c r="I123" s="147">
        <f>Inputs!F224</f>
        <v>255000</v>
      </c>
      <c r="J123" s="457">
        <f>IF(ABS(SUM(J120:J122))&lt;0.001,0,SUM(J120:J122))</f>
        <v>300486.11111111112</v>
      </c>
      <c r="K123" s="457">
        <f t="shared" ref="K123" si="375">IF(ABS(SUM(K120:K122))&lt;0.001,0,SUM(K120:K122))</f>
        <v>515277.77777777781</v>
      </c>
      <c r="L123" s="457">
        <f t="shared" ref="L123:M123" si="376">IF(ABS(SUM(L120:L122))&lt;0.001,0,SUM(L120:L122))</f>
        <v>506402.77777777781</v>
      </c>
      <c r="M123" s="457">
        <f t="shared" si="376"/>
        <v>537527.77777777775</v>
      </c>
      <c r="N123" s="457">
        <f t="shared" ref="N123" si="377">IF(ABS(SUM(N120:N122))&lt;0.001,0,SUM(N120:N122))</f>
        <v>527986.11111111112</v>
      </c>
      <c r="O123" s="457">
        <f t="shared" ref="O123" si="378">IF(ABS(SUM(O120:O122))&lt;0.001,0,SUM(O120:O122))</f>
        <v>518444.44444444444</v>
      </c>
      <c r="P123" s="457">
        <f t="shared" ref="P123" si="379">IF(ABS(SUM(P120:P122))&lt;0.001,0,SUM(P120:P122))</f>
        <v>508902.77777777775</v>
      </c>
      <c r="Q123" s="457">
        <f t="shared" ref="Q123" si="380">IF(ABS(SUM(Q120:Q122))&lt;0.001,0,SUM(Q120:Q122))</f>
        <v>499361.11111111107</v>
      </c>
      <c r="R123" s="457">
        <f t="shared" ref="R123" si="381">IF(ABS(SUM(R120:R122))&lt;0.001,0,SUM(R120:R122))</f>
        <v>489819.44444444438</v>
      </c>
      <c r="S123" s="457">
        <f t="shared" ref="S123" si="382">IF(ABS(SUM(S120:S122))&lt;0.001,0,SUM(S120:S122))</f>
        <v>480277.77777777769</v>
      </c>
      <c r="T123" s="457">
        <f t="shared" ref="T123" si="383">IF(ABS(SUM(T120:T122))&lt;0.001,0,SUM(T120:T122))</f>
        <v>470736.11111111101</v>
      </c>
      <c r="U123" s="457">
        <f t="shared" ref="U123" si="384">IF(ABS(SUM(U120:U122))&lt;0.001,0,SUM(U120:U122))</f>
        <v>493694.44444444432</v>
      </c>
      <c r="V123" s="457">
        <f t="shared" ref="V123" si="385">IF(ABS(SUM(V120:V122))&lt;0.001,0,SUM(V120:V122))</f>
        <v>483611.11111111101</v>
      </c>
      <c r="W123" s="457">
        <f t="shared" ref="W123" si="386">IF(ABS(SUM(W120:W122))&lt;0.001,0,SUM(W120:W122))</f>
        <v>523527.77777777769</v>
      </c>
      <c r="X123" s="457">
        <f t="shared" ref="X123" si="387">IF(ABS(SUM(X120:X122))&lt;0.001,0,SUM(X120:X122))</f>
        <v>512749.99999999994</v>
      </c>
      <c r="Y123" s="457">
        <f t="shared" ref="Y123" si="388">IF(ABS(SUM(Y120:Y122))&lt;0.001,0,SUM(Y120:Y122))</f>
        <v>501972.22222222219</v>
      </c>
      <c r="Z123" s="457">
        <f t="shared" ref="Z123" si="389">IF(ABS(SUM(Z120:Z122))&lt;0.001,0,SUM(Z120:Z122))</f>
        <v>491194.44444444444</v>
      </c>
      <c r="AA123" s="457">
        <f t="shared" ref="AA123" si="390">IF(ABS(SUM(AA120:AA122))&lt;0.001,0,SUM(AA120:AA122))</f>
        <v>480416.66666666669</v>
      </c>
      <c r="AB123" s="457">
        <f t="shared" ref="AB123" si="391">IF(ABS(SUM(AB120:AB122))&lt;0.001,0,SUM(AB120:AB122))</f>
        <v>469638.88888888893</v>
      </c>
      <c r="AC123" s="457">
        <f t="shared" ref="AC123" si="392">IF(ABS(SUM(AC120:AC122))&lt;0.001,0,SUM(AC120:AC122))</f>
        <v>458861.11111111118</v>
      </c>
      <c r="AD123" s="457">
        <f t="shared" ref="AD123" si="393">IF(ABS(SUM(AD120:AD122))&lt;0.001,0,SUM(AD120:AD122))</f>
        <v>448083.33333333343</v>
      </c>
      <c r="AE123" s="457">
        <f t="shared" ref="AE123" si="394">IF(ABS(SUM(AE120:AE122))&lt;0.001,0,SUM(AE120:AE122))</f>
        <v>0</v>
      </c>
      <c r="AF123" s="457">
        <f t="shared" ref="AF123" si="395">IF(ABS(SUM(AF120:AF122))&lt;0.001,0,SUM(AF120:AF122))</f>
        <v>0</v>
      </c>
      <c r="AG123" s="457">
        <f t="shared" ref="AG123" si="396">IF(ABS(SUM(AG120:AG122))&lt;0.001,0,SUM(AG120:AG122))</f>
        <v>0</v>
      </c>
    </row>
    <row r="124" spans="1:33" s="649" customFormat="1" ht="16.5" customHeight="1" outlineLevel="2" thickTop="1">
      <c r="A124" s="434"/>
      <c r="B124" s="434"/>
      <c r="C124" s="448"/>
      <c r="D124" s="442"/>
      <c r="E124" s="449"/>
      <c r="F124" s="444"/>
      <c r="G124" s="444"/>
      <c r="H124" s="434"/>
      <c r="I124" s="434"/>
      <c r="J124" s="445"/>
      <c r="K124" s="445"/>
      <c r="L124" s="432"/>
      <c r="M124" s="432"/>
      <c r="N124" s="432"/>
      <c r="O124" s="432"/>
      <c r="P124" s="432"/>
      <c r="Q124" s="432"/>
      <c r="R124" s="432"/>
      <c r="S124" s="432"/>
      <c r="T124" s="432"/>
      <c r="U124" s="432"/>
      <c r="V124" s="432"/>
      <c r="W124" s="432"/>
      <c r="X124" s="432"/>
      <c r="Y124" s="432"/>
      <c r="Z124" s="432"/>
      <c r="AA124" s="432"/>
      <c r="AB124" s="432"/>
      <c r="AC124" s="432"/>
      <c r="AD124" s="432"/>
      <c r="AE124" s="432"/>
      <c r="AF124" s="432"/>
      <c r="AG124" s="432"/>
    </row>
    <row r="125" spans="1:33" s="649" customFormat="1" ht="16.5" customHeight="1" outlineLevel="1">
      <c r="A125" s="434"/>
      <c r="B125" s="434"/>
      <c r="C125" s="448"/>
      <c r="D125" s="442"/>
      <c r="E125" s="449"/>
      <c r="F125" s="444"/>
      <c r="G125" s="444"/>
      <c r="H125" s="434"/>
      <c r="I125" s="434"/>
      <c r="J125" s="445"/>
      <c r="K125" s="445"/>
      <c r="L125" s="455"/>
      <c r="M125" s="455"/>
      <c r="N125" s="432"/>
      <c r="O125" s="432"/>
      <c r="P125" s="432"/>
      <c r="Q125" s="432"/>
      <c r="R125" s="432"/>
      <c r="S125" s="432"/>
      <c r="T125" s="432"/>
      <c r="U125" s="432"/>
      <c r="V125" s="432"/>
      <c r="W125" s="432"/>
      <c r="X125" s="432"/>
      <c r="Y125" s="432"/>
      <c r="Z125" s="432"/>
      <c r="AA125" s="432"/>
      <c r="AB125" s="432"/>
      <c r="AC125" s="432"/>
      <c r="AD125" s="432"/>
      <c r="AE125" s="432"/>
      <c r="AF125" s="432"/>
      <c r="AG125" s="432"/>
    </row>
    <row r="126" spans="1:33" s="649" customFormat="1" ht="22.5" customHeight="1">
      <c r="A126" s="279"/>
      <c r="B126" s="279" t="s">
        <v>472</v>
      </c>
      <c r="C126" s="279" t="s">
        <v>927</v>
      </c>
      <c r="D126" s="442"/>
      <c r="E126" s="434"/>
      <c r="F126" s="434"/>
      <c r="G126" s="434"/>
      <c r="H126" s="434"/>
      <c r="I126" s="434"/>
      <c r="J126" s="434"/>
      <c r="K126" s="445"/>
      <c r="L126" s="432"/>
      <c r="M126" s="432"/>
      <c r="N126" s="432"/>
      <c r="O126" s="432"/>
      <c r="P126" s="432"/>
      <c r="Q126" s="432"/>
      <c r="R126" s="432"/>
      <c r="S126" s="432"/>
      <c r="T126" s="432"/>
      <c r="U126" s="432"/>
      <c r="V126" s="432"/>
      <c r="W126" s="432"/>
      <c r="X126" s="432"/>
      <c r="Y126" s="432"/>
      <c r="Z126" s="432"/>
      <c r="AA126" s="432"/>
      <c r="AB126" s="432"/>
      <c r="AC126" s="432"/>
      <c r="AD126" s="432"/>
      <c r="AE126" s="432"/>
      <c r="AF126" s="432"/>
      <c r="AG126" s="432"/>
    </row>
    <row r="127" spans="1:33" s="649" customFormat="1" ht="16.5" customHeight="1" outlineLevel="1">
      <c r="A127" s="434"/>
      <c r="B127" s="735" t="s">
        <v>40</v>
      </c>
      <c r="C127" s="732" t="str">
        <f>"Purchases: "&amp;C126</f>
        <v>Purchases: Financial Assets / Investments</v>
      </c>
      <c r="D127" s="736"/>
      <c r="E127" s="528" t="s">
        <v>461</v>
      </c>
      <c r="F127" s="748">
        <v>1</v>
      </c>
      <c r="G127" s="641" t="s">
        <v>378</v>
      </c>
      <c r="H127" s="85">
        <f>VLOOKUP(G127,Inputs!$C$182:$F$185,4,FALSE)</f>
        <v>0</v>
      </c>
      <c r="I127" s="449"/>
      <c r="J127" s="734"/>
      <c r="K127" s="734"/>
      <c r="L127" s="734"/>
      <c r="M127" s="734"/>
      <c r="N127" s="734"/>
      <c r="O127" s="734"/>
      <c r="P127" s="734"/>
      <c r="Q127" s="734"/>
      <c r="R127" s="734"/>
      <c r="S127" s="734"/>
      <c r="T127" s="734"/>
      <c r="U127" s="734"/>
      <c r="V127" s="734"/>
      <c r="W127" s="734"/>
      <c r="X127" s="734"/>
      <c r="Y127" s="734"/>
      <c r="Z127" s="734"/>
      <c r="AA127" s="734"/>
      <c r="AB127" s="734"/>
      <c r="AC127" s="734"/>
      <c r="AD127" s="734"/>
      <c r="AE127" s="734"/>
      <c r="AF127" s="734"/>
      <c r="AG127" s="734"/>
    </row>
    <row r="128" spans="1:33" s="649" customFormat="1" ht="16.5" customHeight="1" outlineLevel="1">
      <c r="A128" s="434"/>
      <c r="B128" s="434"/>
      <c r="C128" s="641" t="s">
        <v>443</v>
      </c>
      <c r="D128" s="436" t="str">
        <f t="shared" ref="D128:D133" si="397">Currency_Label</f>
        <v>USD</v>
      </c>
      <c r="E128" s="681"/>
      <c r="F128" s="681"/>
      <c r="G128" s="681"/>
      <c r="H128" s="681"/>
      <c r="I128" s="71">
        <f t="shared" ref="I128:I133" si="398">SUMPRODUCT((J$6:AG$6),(J128:AG128))</f>
        <v>66250</v>
      </c>
      <c r="J128" s="269"/>
      <c r="K128" s="269"/>
      <c r="L128" s="269"/>
      <c r="M128" s="269"/>
      <c r="N128" s="269">
        <v>55000</v>
      </c>
      <c r="O128" s="269"/>
      <c r="P128" s="269"/>
      <c r="Q128" s="269"/>
      <c r="R128" s="269"/>
      <c r="S128" s="269"/>
      <c r="T128" s="269"/>
      <c r="U128" s="269">
        <v>11250</v>
      </c>
      <c r="V128" s="269"/>
      <c r="W128" s="269"/>
      <c r="X128" s="269"/>
      <c r="Y128" s="269"/>
      <c r="Z128" s="269"/>
      <c r="AA128" s="269"/>
      <c r="AB128" s="269"/>
      <c r="AC128" s="269"/>
      <c r="AD128" s="269"/>
      <c r="AE128" s="269"/>
      <c r="AF128" s="269"/>
      <c r="AG128" s="269"/>
    </row>
    <row r="129" spans="1:33" s="649" customFormat="1" ht="16.5" customHeight="1" outlineLevel="1">
      <c r="A129" s="434"/>
      <c r="B129" s="434"/>
      <c r="C129" s="641" t="s">
        <v>444</v>
      </c>
      <c r="D129" s="436" t="str">
        <f t="shared" si="397"/>
        <v>USD</v>
      </c>
      <c r="E129" s="681"/>
      <c r="F129" s="681"/>
      <c r="G129" s="681"/>
      <c r="H129" s="681"/>
      <c r="I129" s="71">
        <f t="shared" si="398"/>
        <v>0</v>
      </c>
      <c r="J129" s="269"/>
      <c r="K129" s="269"/>
      <c r="L129" s="269"/>
      <c r="M129" s="269"/>
      <c r="N129" s="269"/>
      <c r="O129" s="269"/>
      <c r="P129" s="269"/>
      <c r="Q129" s="269"/>
      <c r="R129" s="269"/>
      <c r="S129" s="269"/>
      <c r="T129" s="269"/>
      <c r="U129" s="269"/>
      <c r="V129" s="269"/>
      <c r="W129" s="269"/>
      <c r="X129" s="269"/>
      <c r="Y129" s="269"/>
      <c r="Z129" s="269"/>
      <c r="AA129" s="269"/>
      <c r="AB129" s="269"/>
      <c r="AC129" s="269"/>
      <c r="AD129" s="269"/>
      <c r="AE129" s="269"/>
      <c r="AF129" s="269"/>
      <c r="AG129" s="269"/>
    </row>
    <row r="130" spans="1:33" s="649" customFormat="1" ht="16.5" customHeight="1" outlineLevel="1">
      <c r="A130" s="434"/>
      <c r="B130" s="434"/>
      <c r="C130" s="641" t="s">
        <v>445</v>
      </c>
      <c r="D130" s="436" t="str">
        <f t="shared" si="397"/>
        <v>USD</v>
      </c>
      <c r="E130" s="681"/>
      <c r="F130" s="681"/>
      <c r="G130" s="681"/>
      <c r="H130" s="681"/>
      <c r="I130" s="71">
        <f t="shared" si="398"/>
        <v>0</v>
      </c>
      <c r="J130" s="269"/>
      <c r="K130" s="269"/>
      <c r="L130" s="269"/>
      <c r="M130" s="269"/>
      <c r="N130" s="269"/>
      <c r="O130" s="269"/>
      <c r="P130" s="269"/>
      <c r="Q130" s="269"/>
      <c r="R130" s="269"/>
      <c r="S130" s="269"/>
      <c r="T130" s="269"/>
      <c r="U130" s="269"/>
      <c r="V130" s="269"/>
      <c r="W130" s="269"/>
      <c r="X130" s="269"/>
      <c r="Y130" s="269"/>
      <c r="Z130" s="269"/>
      <c r="AA130" s="269"/>
      <c r="AB130" s="269"/>
      <c r="AC130" s="269"/>
      <c r="AD130" s="269"/>
      <c r="AE130" s="269"/>
      <c r="AF130" s="269"/>
      <c r="AG130" s="269"/>
    </row>
    <row r="131" spans="1:33" s="649" customFormat="1" ht="16.5" customHeight="1" outlineLevel="1">
      <c r="A131" s="434"/>
      <c r="B131" s="434"/>
      <c r="C131" s="641" t="s">
        <v>446</v>
      </c>
      <c r="D131" s="436" t="str">
        <f t="shared" si="397"/>
        <v>USD</v>
      </c>
      <c r="E131" s="681"/>
      <c r="F131" s="681"/>
      <c r="G131" s="681"/>
      <c r="H131" s="681"/>
      <c r="I131" s="71">
        <f t="shared" si="398"/>
        <v>0</v>
      </c>
      <c r="J131" s="269"/>
      <c r="K131" s="269"/>
      <c r="L131" s="269"/>
      <c r="M131" s="269"/>
      <c r="N131" s="269"/>
      <c r="O131" s="269"/>
      <c r="P131" s="269"/>
      <c r="Q131" s="269"/>
      <c r="R131" s="269"/>
      <c r="S131" s="269"/>
      <c r="T131" s="269"/>
      <c r="U131" s="269"/>
      <c r="V131" s="269"/>
      <c r="W131" s="269"/>
      <c r="X131" s="269"/>
      <c r="Y131" s="269"/>
      <c r="Z131" s="269"/>
      <c r="AA131" s="269"/>
      <c r="AB131" s="269"/>
      <c r="AC131" s="269"/>
      <c r="AD131" s="269"/>
      <c r="AE131" s="269"/>
      <c r="AF131" s="269"/>
      <c r="AG131" s="269"/>
    </row>
    <row r="132" spans="1:33" s="649" customFormat="1" ht="16.5" customHeight="1" outlineLevel="1">
      <c r="A132" s="434"/>
      <c r="B132" s="434"/>
      <c r="C132" s="641" t="s">
        <v>447</v>
      </c>
      <c r="D132" s="436" t="str">
        <f t="shared" si="397"/>
        <v>USD</v>
      </c>
      <c r="E132" s="681"/>
      <c r="F132" s="681"/>
      <c r="G132" s="681"/>
      <c r="H132" s="681"/>
      <c r="I132" s="71">
        <f t="shared" si="398"/>
        <v>0</v>
      </c>
      <c r="J132" s="269"/>
      <c r="K132" s="269"/>
      <c r="L132" s="269"/>
      <c r="M132" s="269"/>
      <c r="N132" s="269"/>
      <c r="O132" s="269"/>
      <c r="P132" s="269"/>
      <c r="Q132" s="269"/>
      <c r="R132" s="269"/>
      <c r="S132" s="269"/>
      <c r="T132" s="269"/>
      <c r="U132" s="269"/>
      <c r="V132" s="269"/>
      <c r="W132" s="269"/>
      <c r="X132" s="269"/>
      <c r="Y132" s="269"/>
      <c r="Z132" s="269"/>
      <c r="AA132" s="269"/>
      <c r="AB132" s="269"/>
      <c r="AC132" s="269"/>
      <c r="AD132" s="269"/>
      <c r="AE132" s="269"/>
      <c r="AF132" s="269"/>
      <c r="AG132" s="269"/>
    </row>
    <row r="133" spans="1:33" s="649" customFormat="1" ht="16.5" customHeight="1" outlineLevel="1">
      <c r="A133" s="434"/>
      <c r="B133" s="434"/>
      <c r="C133" s="435" t="s">
        <v>448</v>
      </c>
      <c r="D133" s="436" t="str">
        <f t="shared" si="397"/>
        <v>USD</v>
      </c>
      <c r="E133" s="681"/>
      <c r="F133" s="681"/>
      <c r="G133" s="681"/>
      <c r="H133" s="681"/>
      <c r="I133" s="71">
        <f t="shared" si="398"/>
        <v>66250</v>
      </c>
      <c r="J133" s="741">
        <f>SUM(J128:J132)*J$6</f>
        <v>0</v>
      </c>
      <c r="K133" s="741">
        <f>SUM(K128:K132)*K$6</f>
        <v>0</v>
      </c>
      <c r="L133" s="741">
        <f t="shared" ref="L133:AG133" si="399">SUM(L128:L132)*L$6</f>
        <v>0</v>
      </c>
      <c r="M133" s="741">
        <f t="shared" si="399"/>
        <v>0</v>
      </c>
      <c r="N133" s="741">
        <f t="shared" si="399"/>
        <v>55000</v>
      </c>
      <c r="O133" s="741">
        <f t="shared" si="399"/>
        <v>0</v>
      </c>
      <c r="P133" s="741">
        <f t="shared" si="399"/>
        <v>0</v>
      </c>
      <c r="Q133" s="741">
        <f t="shared" si="399"/>
        <v>0</v>
      </c>
      <c r="R133" s="741">
        <f t="shared" si="399"/>
        <v>0</v>
      </c>
      <c r="S133" s="741">
        <f t="shared" si="399"/>
        <v>0</v>
      </c>
      <c r="T133" s="741">
        <f t="shared" si="399"/>
        <v>0</v>
      </c>
      <c r="U133" s="741">
        <f t="shared" si="399"/>
        <v>11250</v>
      </c>
      <c r="V133" s="741">
        <f t="shared" si="399"/>
        <v>0</v>
      </c>
      <c r="W133" s="741">
        <f t="shared" si="399"/>
        <v>0</v>
      </c>
      <c r="X133" s="741">
        <f t="shared" si="399"/>
        <v>0</v>
      </c>
      <c r="Y133" s="741">
        <f t="shared" si="399"/>
        <v>0</v>
      </c>
      <c r="Z133" s="741">
        <f t="shared" si="399"/>
        <v>0</v>
      </c>
      <c r="AA133" s="741">
        <f t="shared" si="399"/>
        <v>0</v>
      </c>
      <c r="AB133" s="741">
        <f t="shared" si="399"/>
        <v>0</v>
      </c>
      <c r="AC133" s="741">
        <f t="shared" si="399"/>
        <v>0</v>
      </c>
      <c r="AD133" s="741">
        <f t="shared" si="399"/>
        <v>0</v>
      </c>
      <c r="AE133" s="741">
        <f t="shared" si="399"/>
        <v>0</v>
      </c>
      <c r="AF133" s="741">
        <f t="shared" si="399"/>
        <v>0</v>
      </c>
      <c r="AG133" s="741">
        <f t="shared" si="399"/>
        <v>0</v>
      </c>
    </row>
    <row r="134" spans="1:33" s="649" customFormat="1" ht="16.5" customHeight="1" outlineLevel="2">
      <c r="A134" s="434"/>
      <c r="B134" s="735" t="s">
        <v>42</v>
      </c>
      <c r="C134" s="732" t="str">
        <f>"Depreciation: "&amp;C126</f>
        <v>Depreciation: Financial Assets / Investments</v>
      </c>
      <c r="D134" s="681"/>
      <c r="E134" s="681"/>
      <c r="F134" s="681"/>
      <c r="G134" s="681"/>
      <c r="H134" s="445"/>
      <c r="I134" s="445"/>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row>
    <row r="135" spans="1:33" s="649" customFormat="1" ht="16.5" customHeight="1" outlineLevel="2">
      <c r="A135" s="434"/>
      <c r="B135" s="434"/>
      <c r="C135" s="435" t="s">
        <v>449</v>
      </c>
      <c r="D135" s="436" t="str">
        <f>Currency_Label</f>
        <v>USD</v>
      </c>
      <c r="E135" s="681"/>
      <c r="F135" s="688" t="s">
        <v>450</v>
      </c>
      <c r="G135" s="688" t="s">
        <v>30</v>
      </c>
      <c r="H135" s="528"/>
      <c r="I135" s="147">
        <f>Inputs!F228</f>
        <v>0</v>
      </c>
      <c r="J135" s="357">
        <f t="shared" ref="J135:K135" si="400">(I135+J133+J139+J141-J146)*J$6</f>
        <v>0</v>
      </c>
      <c r="K135" s="357">
        <f t="shared" si="400"/>
        <v>0</v>
      </c>
      <c r="L135" s="357">
        <f t="shared" ref="L135:AG135" si="401">(K135+L133+L139+L141-L146)*L$6</f>
        <v>0</v>
      </c>
      <c r="M135" s="357">
        <f t="shared" si="401"/>
        <v>0</v>
      </c>
      <c r="N135" s="357">
        <f t="shared" si="401"/>
        <v>55000</v>
      </c>
      <c r="O135" s="357">
        <f t="shared" si="401"/>
        <v>55000</v>
      </c>
      <c r="P135" s="357">
        <f t="shared" si="401"/>
        <v>55000</v>
      </c>
      <c r="Q135" s="357">
        <f t="shared" si="401"/>
        <v>55000</v>
      </c>
      <c r="R135" s="357">
        <f t="shared" si="401"/>
        <v>55000</v>
      </c>
      <c r="S135" s="357">
        <f t="shared" si="401"/>
        <v>55000</v>
      </c>
      <c r="T135" s="357">
        <f t="shared" si="401"/>
        <v>55000</v>
      </c>
      <c r="U135" s="357">
        <f t="shared" si="401"/>
        <v>66250</v>
      </c>
      <c r="V135" s="357">
        <f t="shared" si="401"/>
        <v>66250</v>
      </c>
      <c r="W135" s="357">
        <f t="shared" si="401"/>
        <v>66250</v>
      </c>
      <c r="X135" s="357">
        <f t="shared" si="401"/>
        <v>66250</v>
      </c>
      <c r="Y135" s="357">
        <f t="shared" si="401"/>
        <v>66250</v>
      </c>
      <c r="Z135" s="357">
        <f t="shared" si="401"/>
        <v>66250</v>
      </c>
      <c r="AA135" s="357">
        <f t="shared" si="401"/>
        <v>66250</v>
      </c>
      <c r="AB135" s="357">
        <f t="shared" si="401"/>
        <v>66250</v>
      </c>
      <c r="AC135" s="357">
        <f t="shared" si="401"/>
        <v>66250</v>
      </c>
      <c r="AD135" s="357">
        <f t="shared" si="401"/>
        <v>66250</v>
      </c>
      <c r="AE135" s="357">
        <f t="shared" si="401"/>
        <v>0</v>
      </c>
      <c r="AF135" s="357">
        <f t="shared" si="401"/>
        <v>0</v>
      </c>
      <c r="AG135" s="357">
        <f t="shared" si="401"/>
        <v>0</v>
      </c>
    </row>
    <row r="136" spans="1:33" s="649" customFormat="1" ht="16.5" customHeight="1" outlineLevel="2">
      <c r="A136" s="434"/>
      <c r="B136" s="434"/>
      <c r="C136" s="435" t="s">
        <v>463</v>
      </c>
      <c r="D136" s="436" t="str">
        <f>Currency_Label</f>
        <v>USD</v>
      </c>
      <c r="E136" s="681"/>
      <c r="F136" s="744">
        <v>0</v>
      </c>
      <c r="G136" s="746">
        <f>IF(F136=0,0,1/F136)</f>
        <v>0</v>
      </c>
      <c r="H136" s="685">
        <f>IF(ABS(MIN($J136:$AG136))&gt;0.01,1,0)</f>
        <v>0</v>
      </c>
      <c r="I136" s="71">
        <f>SUM(J136:AG136)</f>
        <v>0</v>
      </c>
      <c r="J136" s="742">
        <f t="shared" ref="J136:K136" si="402">IF(I135-I137&lt;IF($F137=1,$G136*I135,(I135-I137)*2*$G136),I135-I137,IF($F137=1,$G136*I135,(I135-I137)*2*$G136))*J$6</f>
        <v>0</v>
      </c>
      <c r="K136" s="742">
        <f t="shared" si="402"/>
        <v>0</v>
      </c>
      <c r="L136" s="742">
        <f t="shared" ref="L136" si="403">IF(K135-K137&lt;IF($F137=1,$G136*K135,(K135-K137)*2*$G136),K135-K137,IF($F137=1,$G136*K135,(K135-K137)*2*$G136))*L$6</f>
        <v>0</v>
      </c>
      <c r="M136" s="742">
        <f t="shared" ref="M136" si="404">IF(L135-L137&lt;IF($F137=1,$G136*L135,(L135-L137)*2*$G136),L135-L137,IF($F137=1,$G136*L135,(L135-L137)*2*$G136))*M$6</f>
        <v>0</v>
      </c>
      <c r="N136" s="742">
        <f t="shared" ref="N136" si="405">IF(M135-M137&lt;IF($F137=1,$G136*M135,(M135-M137)*2*$G136),M135-M137,IF($F137=1,$G136*M135,(M135-M137)*2*$G136))*N$6</f>
        <v>0</v>
      </c>
      <c r="O136" s="742">
        <f t="shared" ref="O136" si="406">IF(N135-N137&lt;IF($F137=1,$G136*N135,(N135-N137)*2*$G136),N135-N137,IF($F137=1,$G136*N135,(N135-N137)*2*$G136))*O$6</f>
        <v>0</v>
      </c>
      <c r="P136" s="742">
        <f t="shared" ref="P136" si="407">IF(O135-O137&lt;IF($F137=1,$G136*O135,(O135-O137)*2*$G136),O135-O137,IF($F137=1,$G136*O135,(O135-O137)*2*$G136))*P$6</f>
        <v>0</v>
      </c>
      <c r="Q136" s="742">
        <f t="shared" ref="Q136" si="408">IF(P135-P137&lt;IF($F137=1,$G136*P135,(P135-P137)*2*$G136),P135-P137,IF($F137=1,$G136*P135,(P135-P137)*2*$G136))*Q$6</f>
        <v>0</v>
      </c>
      <c r="R136" s="742">
        <f t="shared" ref="R136" si="409">IF(Q135-Q137&lt;IF($F137=1,$G136*Q135,(Q135-Q137)*2*$G136),Q135-Q137,IF($F137=1,$G136*Q135,(Q135-Q137)*2*$G136))*R$6</f>
        <v>0</v>
      </c>
      <c r="S136" s="742">
        <f t="shared" ref="S136" si="410">IF(R135-R137&lt;IF($F137=1,$G136*R135,(R135-R137)*2*$G136),R135-R137,IF($F137=1,$G136*R135,(R135-R137)*2*$G136))*S$6</f>
        <v>0</v>
      </c>
      <c r="T136" s="742">
        <f t="shared" ref="T136" si="411">IF(S135-S137&lt;IF($F137=1,$G136*S135,(S135-S137)*2*$G136),S135-S137,IF($F137=1,$G136*S135,(S135-S137)*2*$G136))*T$6</f>
        <v>0</v>
      </c>
      <c r="U136" s="742">
        <f t="shared" ref="U136" si="412">IF(T135-T137&lt;IF($F137=1,$G136*T135,(T135-T137)*2*$G136),T135-T137,IF($F137=1,$G136*T135,(T135-T137)*2*$G136))*U$6</f>
        <v>0</v>
      </c>
      <c r="V136" s="742">
        <f t="shared" ref="V136" si="413">IF(U135-U137&lt;IF($F137=1,$G136*U135,(U135-U137)*2*$G136),U135-U137,IF($F137=1,$G136*U135,(U135-U137)*2*$G136))*V$6</f>
        <v>0</v>
      </c>
      <c r="W136" s="742">
        <f t="shared" ref="W136" si="414">IF(V135-V137&lt;IF($F137=1,$G136*V135,(V135-V137)*2*$G136),V135-V137,IF($F137=1,$G136*V135,(V135-V137)*2*$G136))*W$6</f>
        <v>0</v>
      </c>
      <c r="X136" s="742">
        <f t="shared" ref="X136" si="415">IF(W135-W137&lt;IF($F137=1,$G136*W135,(W135-W137)*2*$G136),W135-W137,IF($F137=1,$G136*W135,(W135-W137)*2*$G136))*X$6</f>
        <v>0</v>
      </c>
      <c r="Y136" s="742">
        <f t="shared" ref="Y136" si="416">IF(X135-X137&lt;IF($F137=1,$G136*X135,(X135-X137)*2*$G136),X135-X137,IF($F137=1,$G136*X135,(X135-X137)*2*$G136))*Y$6</f>
        <v>0</v>
      </c>
      <c r="Z136" s="742">
        <f t="shared" ref="Z136" si="417">IF(Y135-Y137&lt;IF($F137=1,$G136*Y135,(Y135-Y137)*2*$G136),Y135-Y137,IF($F137=1,$G136*Y135,(Y135-Y137)*2*$G136))*Z$6</f>
        <v>0</v>
      </c>
      <c r="AA136" s="742">
        <f t="shared" ref="AA136" si="418">IF(Z135-Z137&lt;IF($F137=1,$G136*Z135,(Z135-Z137)*2*$G136),Z135-Z137,IF($F137=1,$G136*Z135,(Z135-Z137)*2*$G136))*AA$6</f>
        <v>0</v>
      </c>
      <c r="AB136" s="742">
        <f t="shared" ref="AB136" si="419">IF(AA135-AA137&lt;IF($F137=1,$G136*AA135,(AA135-AA137)*2*$G136),AA135-AA137,IF($F137=1,$G136*AA135,(AA135-AA137)*2*$G136))*AB$6</f>
        <v>0</v>
      </c>
      <c r="AC136" s="742">
        <f t="shared" ref="AC136" si="420">IF(AB135-AB137&lt;IF($F137=1,$G136*AB135,(AB135-AB137)*2*$G136),AB135-AB137,IF($F137=1,$G136*AB135,(AB135-AB137)*2*$G136))*AC$6</f>
        <v>0</v>
      </c>
      <c r="AD136" s="742">
        <f t="shared" ref="AD136" si="421">IF(AC135-AC137&lt;IF($F137=1,$G136*AC135,(AC135-AC137)*2*$G136),AC135-AC137,IF($F137=1,$G136*AC135,(AC135-AC137)*2*$G136))*AD$6</f>
        <v>0</v>
      </c>
      <c r="AE136" s="742">
        <f t="shared" ref="AE136" si="422">IF(AD135-AD137&lt;IF($F137=1,$G136*AD135,(AD135-AD137)*2*$G136),AD135-AD137,IF($F137=1,$G136*AD135,(AD135-AD137)*2*$G136))*AE$6</f>
        <v>0</v>
      </c>
      <c r="AF136" s="742">
        <f t="shared" ref="AF136" si="423">IF(AE135-AE137&lt;IF($F137=1,$G136*AE135,(AE135-AE137)*2*$G136),AE135-AE137,IF($F137=1,$G136*AE135,(AE135-AE137)*2*$G136))*AF$6</f>
        <v>0</v>
      </c>
      <c r="AG136" s="742">
        <f t="shared" ref="AG136" si="424">IF(AF135-AF137&lt;IF($F137=1,$G136*AF135,(AF135-AF137)*2*$G136),AF135-AF137,IF($F137=1,$G136*AF135,(AF135-AF137)*2*$G136))*AG$6</f>
        <v>0</v>
      </c>
    </row>
    <row r="137" spans="1:33" s="649" customFormat="1" ht="16.5" customHeight="1" outlineLevel="2">
      <c r="A137" s="434"/>
      <c r="B137" s="434"/>
      <c r="C137" s="435" t="s">
        <v>464</v>
      </c>
      <c r="D137" s="436" t="str">
        <f>Currency_Label</f>
        <v>USD</v>
      </c>
      <c r="E137" s="274" t="s">
        <v>451</v>
      </c>
      <c r="F137" s="745">
        <v>1</v>
      </c>
      <c r="G137" s="738" t="str">
        <f>IF(F137=1," straight-line"," double declining balance")</f>
        <v xml:space="preserve"> straight-line</v>
      </c>
      <c r="H137" s="528"/>
      <c r="I137" s="740"/>
      <c r="J137" s="743">
        <f t="shared" ref="J137:K137" si="425">(I137+J136-J147)*J$6</f>
        <v>0</v>
      </c>
      <c r="K137" s="743">
        <f t="shared" si="425"/>
        <v>0</v>
      </c>
      <c r="L137" s="743">
        <f t="shared" ref="L137" si="426">(K137+L136-L147)*L$6</f>
        <v>0</v>
      </c>
      <c r="M137" s="743">
        <f t="shared" ref="M137" si="427">(L137+M136-M147)*M$6</f>
        <v>0</v>
      </c>
      <c r="N137" s="743">
        <f t="shared" ref="N137" si="428">(M137+N136-N147)*N$6</f>
        <v>0</v>
      </c>
      <c r="O137" s="743">
        <f t="shared" ref="O137" si="429">(N137+O136-O147)*O$6</f>
        <v>0</v>
      </c>
      <c r="P137" s="743">
        <f t="shared" ref="P137" si="430">(O137+P136-P147)*P$6</f>
        <v>0</v>
      </c>
      <c r="Q137" s="743">
        <f t="shared" ref="Q137" si="431">(P137+Q136-Q147)*Q$6</f>
        <v>0</v>
      </c>
      <c r="R137" s="743">
        <f t="shared" ref="R137" si="432">(Q137+R136-R147)*R$6</f>
        <v>0</v>
      </c>
      <c r="S137" s="743">
        <f t="shared" ref="S137" si="433">(R137+S136-S147)*S$6</f>
        <v>0</v>
      </c>
      <c r="T137" s="743">
        <f t="shared" ref="T137" si="434">(S137+T136-T147)*T$6</f>
        <v>0</v>
      </c>
      <c r="U137" s="743">
        <f t="shared" ref="U137" si="435">(T137+U136-U147)*U$6</f>
        <v>0</v>
      </c>
      <c r="V137" s="743">
        <f t="shared" ref="V137" si="436">(U137+V136-V147)*V$6</f>
        <v>0</v>
      </c>
      <c r="W137" s="743">
        <f t="shared" ref="W137" si="437">(V137+W136-W147)*W$6</f>
        <v>0</v>
      </c>
      <c r="X137" s="743">
        <f t="shared" ref="X137" si="438">(W137+X136-X147)*X$6</f>
        <v>0</v>
      </c>
      <c r="Y137" s="743">
        <f t="shared" ref="Y137" si="439">(X137+Y136-Y147)*Y$6</f>
        <v>0</v>
      </c>
      <c r="Z137" s="743">
        <f t="shared" ref="Z137" si="440">(Y137+Z136-Z147)*Z$6</f>
        <v>0</v>
      </c>
      <c r="AA137" s="743">
        <f t="shared" ref="AA137" si="441">(Z137+AA136-AA147)*AA$6</f>
        <v>0</v>
      </c>
      <c r="AB137" s="743">
        <f t="shared" ref="AB137" si="442">(AA137+AB136-AB147)*AB$6</f>
        <v>0</v>
      </c>
      <c r="AC137" s="743">
        <f t="shared" ref="AC137" si="443">(AB137+AC136-AC147)*AC$6</f>
        <v>0</v>
      </c>
      <c r="AD137" s="743">
        <f t="shared" ref="AD137" si="444">(AC137+AD136-AD147)*AD$6</f>
        <v>0</v>
      </c>
      <c r="AE137" s="743">
        <f t="shared" ref="AE137" si="445">(AD137+AE136-AE147)*AE$6</f>
        <v>0</v>
      </c>
      <c r="AF137" s="743">
        <f t="shared" ref="AF137" si="446">(AE137+AF136-AF147)*AF$6</f>
        <v>0</v>
      </c>
      <c r="AG137" s="743">
        <f t="shared" ref="AG137" si="447">(AF137+AG136-AG147)*AG$6</f>
        <v>0</v>
      </c>
    </row>
    <row r="138" spans="1:33" s="649" customFormat="1" ht="16.5" customHeight="1" outlineLevel="2">
      <c r="A138" s="434"/>
      <c r="B138" s="735" t="s">
        <v>43</v>
      </c>
      <c r="C138" s="732" t="str">
        <f>"Company produced additions: "&amp;C126</f>
        <v>Company produced additions: Financial Assets / Investments</v>
      </c>
      <c r="D138" s="449"/>
      <c r="E138" s="449"/>
      <c r="F138" s="449"/>
      <c r="G138" s="449"/>
      <c r="H138" s="449"/>
      <c r="I138" s="449"/>
      <c r="J138" s="445"/>
      <c r="K138" s="445"/>
      <c r="L138" s="445"/>
      <c r="M138" s="445"/>
      <c r="N138" s="445"/>
      <c r="O138" s="445"/>
      <c r="P138" s="445"/>
      <c r="Q138" s="445"/>
      <c r="R138" s="445"/>
      <c r="S138" s="445"/>
      <c r="T138" s="445"/>
      <c r="U138" s="445"/>
      <c r="V138" s="445"/>
      <c r="W138" s="445"/>
      <c r="X138" s="445"/>
      <c r="Y138" s="445"/>
      <c r="Z138" s="445"/>
      <c r="AA138" s="445"/>
      <c r="AB138" s="445"/>
      <c r="AC138" s="445"/>
      <c r="AD138" s="445"/>
      <c r="AE138" s="445"/>
      <c r="AF138" s="445"/>
      <c r="AG138" s="445"/>
    </row>
    <row r="139" spans="1:33" s="649" customFormat="1" ht="16.5" customHeight="1" outlineLevel="2">
      <c r="A139" s="434"/>
      <c r="B139" s="434"/>
      <c r="C139" s="435" t="str">
        <f>CHOOSE(language,"2. Capitalised assets","2. Capitalized assets")</f>
        <v>2. Capitalized assets</v>
      </c>
      <c r="D139" s="737"/>
      <c r="E139" s="449"/>
      <c r="F139" s="449"/>
      <c r="G139" s="450"/>
      <c r="H139" s="449"/>
      <c r="I139" s="71">
        <f>SUMPRODUCT((J$6:AG$6),(J139:AG139))</f>
        <v>0</v>
      </c>
      <c r="J139" s="269"/>
      <c r="K139" s="269"/>
      <c r="L139" s="269"/>
      <c r="M139" s="269"/>
      <c r="N139" s="269"/>
      <c r="O139" s="269"/>
      <c r="P139" s="269"/>
      <c r="Q139" s="269"/>
      <c r="R139" s="269"/>
      <c r="S139" s="269"/>
      <c r="T139" s="269"/>
      <c r="U139" s="269"/>
      <c r="V139" s="269"/>
      <c r="W139" s="269"/>
      <c r="X139" s="269"/>
      <c r="Y139" s="269"/>
      <c r="Z139" s="269"/>
      <c r="AA139" s="269"/>
      <c r="AB139" s="269"/>
      <c r="AC139" s="269"/>
      <c r="AD139" s="269"/>
      <c r="AE139" s="269"/>
      <c r="AF139" s="269"/>
      <c r="AG139" s="269"/>
    </row>
    <row r="140" spans="1:33" s="649" customFormat="1" ht="16.5" customHeight="1" outlineLevel="2">
      <c r="A140" s="434"/>
      <c r="B140" s="735" t="s">
        <v>439</v>
      </c>
      <c r="C140" s="732" t="str">
        <f>"Finance Lease: "&amp;C126</f>
        <v>Finance Lease: Financial Assets / Investments</v>
      </c>
      <c r="D140" s="442"/>
      <c r="E140" s="449"/>
      <c r="F140" s="449"/>
      <c r="G140" s="450"/>
      <c r="H140" s="449"/>
      <c r="I140" s="449"/>
      <c r="J140" s="445"/>
      <c r="K140" s="445"/>
      <c r="L140" s="445"/>
      <c r="M140" s="445"/>
      <c r="N140" s="445"/>
      <c r="O140" s="445"/>
      <c r="P140" s="445"/>
      <c r="Q140" s="445"/>
      <c r="R140" s="445"/>
      <c r="S140" s="445"/>
      <c r="T140" s="445"/>
      <c r="U140" s="445"/>
      <c r="V140" s="445"/>
      <c r="W140" s="445"/>
      <c r="X140" s="445"/>
      <c r="Y140" s="445"/>
      <c r="Z140" s="445"/>
      <c r="AA140" s="445"/>
      <c r="AB140" s="445"/>
      <c r="AC140" s="445"/>
      <c r="AD140" s="445"/>
      <c r="AE140" s="445"/>
      <c r="AF140" s="445"/>
      <c r="AG140" s="445"/>
    </row>
    <row r="141" spans="1:33" s="649" customFormat="1" ht="16.5" customHeight="1" outlineLevel="2">
      <c r="A141" s="434"/>
      <c r="B141" s="434"/>
      <c r="C141" s="435" t="s">
        <v>452</v>
      </c>
      <c r="D141" s="436" t="str">
        <f>Currency_Label</f>
        <v>USD</v>
      </c>
      <c r="E141" s="449"/>
      <c r="F141" s="681"/>
      <c r="G141" s="681"/>
      <c r="H141" s="449"/>
      <c r="I141" s="71">
        <f>SUMPRODUCT((J$6:AG$6),(J141:AG141))</f>
        <v>0</v>
      </c>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row>
    <row r="142" spans="1:33" s="649" customFormat="1" ht="16.5" customHeight="1" outlineLevel="2">
      <c r="A142" s="434"/>
      <c r="B142" s="434"/>
      <c r="C142" s="435" t="s">
        <v>453</v>
      </c>
      <c r="D142" s="436" t="str">
        <f>Currency_Label</f>
        <v>USD</v>
      </c>
      <c r="E142" s="449"/>
      <c r="F142" s="449"/>
      <c r="G142" s="450"/>
      <c r="H142" s="449"/>
      <c r="I142" s="71">
        <f>SUMPRODUCT((J$6:AG$6),(J142:AG142))</f>
        <v>0</v>
      </c>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row>
    <row r="143" spans="1:33" s="649" customFormat="1" ht="16.5" customHeight="1" outlineLevel="2">
      <c r="A143" s="434"/>
      <c r="B143" s="434"/>
      <c r="C143" s="435" t="s">
        <v>454</v>
      </c>
      <c r="D143" s="436" t="str">
        <f>Currency_Label</f>
        <v>USD</v>
      </c>
      <c r="E143" s="449"/>
      <c r="F143" s="449"/>
      <c r="G143" s="450"/>
      <c r="H143" s="449"/>
      <c r="I143" s="71">
        <f>SUMPRODUCT((J$6:AG$6),(J143:AG143))</f>
        <v>0</v>
      </c>
      <c r="J143" s="269"/>
      <c r="K143" s="269"/>
      <c r="L143" s="269"/>
      <c r="M143" s="269"/>
      <c r="N143" s="269"/>
      <c r="O143" s="269"/>
      <c r="P143" s="269"/>
      <c r="Q143" s="269"/>
      <c r="R143" s="269"/>
      <c r="S143" s="269"/>
      <c r="T143" s="269"/>
      <c r="U143" s="269"/>
      <c r="V143" s="269"/>
      <c r="W143" s="269"/>
      <c r="X143" s="269"/>
      <c r="Y143" s="269"/>
      <c r="Z143" s="269"/>
      <c r="AA143" s="269"/>
      <c r="AB143" s="269"/>
      <c r="AC143" s="269"/>
      <c r="AD143" s="269"/>
      <c r="AE143" s="269"/>
      <c r="AF143" s="269"/>
      <c r="AG143" s="269"/>
    </row>
    <row r="144" spans="1:33" s="649" customFormat="1" ht="16.5" customHeight="1" outlineLevel="2">
      <c r="A144" s="434"/>
      <c r="B144" s="735" t="s">
        <v>440</v>
      </c>
      <c r="C144" s="732" t="str">
        <f>CHOOSE(language,"Sale of "&amp;C126,"Disposal of "&amp;C126)</f>
        <v>Disposal of Financial Assets / Investments</v>
      </c>
      <c r="D144" s="442"/>
      <c r="E144" s="449"/>
      <c r="F144" s="449"/>
      <c r="G144" s="450"/>
      <c r="H144" s="449"/>
      <c r="I144" s="449"/>
      <c r="J144" s="445"/>
      <c r="K144" s="445"/>
      <c r="L144" s="445"/>
      <c r="M144" s="445"/>
      <c r="N144" s="445"/>
      <c r="O144" s="445"/>
      <c r="P144" s="445"/>
      <c r="Q144" s="445"/>
      <c r="R144" s="445"/>
      <c r="S144" s="445"/>
      <c r="T144" s="445"/>
      <c r="U144" s="445"/>
      <c r="V144" s="445"/>
      <c r="W144" s="445"/>
      <c r="X144" s="445"/>
      <c r="Y144" s="445"/>
      <c r="Z144" s="445"/>
      <c r="AA144" s="445"/>
      <c r="AB144" s="445"/>
      <c r="AC144" s="445"/>
      <c r="AD144" s="445"/>
      <c r="AE144" s="445"/>
      <c r="AF144" s="445"/>
      <c r="AG144" s="445"/>
    </row>
    <row r="145" spans="1:33" s="649" customFormat="1" ht="16.5" customHeight="1" outlineLevel="2">
      <c r="A145" s="434"/>
      <c r="B145" s="434"/>
      <c r="C145" s="435" t="s">
        <v>455</v>
      </c>
      <c r="D145" s="436" t="str">
        <f>Currency_Label</f>
        <v>USD</v>
      </c>
      <c r="E145" s="449"/>
      <c r="F145" s="449"/>
      <c r="G145" s="450"/>
      <c r="H145" s="739"/>
      <c r="I145" s="71">
        <f>SUMPRODUCT((J$6:AG$6),(J145:AG145))</f>
        <v>0</v>
      </c>
      <c r="J145" s="269"/>
      <c r="K145" s="269"/>
      <c r="L145" s="269"/>
      <c r="M145" s="269"/>
      <c r="N145" s="269"/>
      <c r="O145" s="269"/>
      <c r="P145" s="269"/>
      <c r="Q145" s="269"/>
      <c r="R145" s="269"/>
      <c r="S145" s="269"/>
      <c r="T145" s="269"/>
      <c r="U145" s="269"/>
      <c r="V145" s="269"/>
      <c r="W145" s="269"/>
      <c r="X145" s="269"/>
      <c r="Y145" s="269"/>
      <c r="Z145" s="269"/>
      <c r="AA145" s="269"/>
      <c r="AB145" s="269"/>
      <c r="AC145" s="269"/>
      <c r="AD145" s="269"/>
      <c r="AE145" s="269"/>
      <c r="AF145" s="269"/>
      <c r="AG145" s="269"/>
    </row>
    <row r="146" spans="1:33" s="649" customFormat="1" ht="16.5" customHeight="1" outlineLevel="2">
      <c r="A146" s="434"/>
      <c r="B146" s="434"/>
      <c r="C146" s="435" t="s">
        <v>456</v>
      </c>
      <c r="D146" s="436" t="str">
        <f>Currency_Label</f>
        <v>USD</v>
      </c>
      <c r="E146" s="278" t="str">
        <f>IF(H136=0,"","Error: Please check inputs for sale of assets")</f>
        <v/>
      </c>
      <c r="F146" s="449"/>
      <c r="G146" s="450"/>
      <c r="H146" s="739"/>
      <c r="I146" s="71">
        <f>SUMPRODUCT((J$6:AG$6),(J146:AG146))</f>
        <v>0</v>
      </c>
      <c r="J146" s="269"/>
      <c r="K146" s="269"/>
      <c r="L146" s="269"/>
      <c r="M146" s="269"/>
      <c r="N146" s="269"/>
      <c r="O146" s="269"/>
      <c r="P146" s="269"/>
      <c r="Q146" s="269"/>
      <c r="R146" s="269"/>
      <c r="S146" s="269"/>
      <c r="T146" s="269"/>
      <c r="U146" s="269"/>
      <c r="V146" s="269"/>
      <c r="W146" s="269"/>
      <c r="X146" s="269"/>
      <c r="Y146" s="269"/>
      <c r="Z146" s="269"/>
      <c r="AA146" s="269"/>
      <c r="AB146" s="269"/>
      <c r="AC146" s="269"/>
      <c r="AD146" s="269"/>
      <c r="AE146" s="269"/>
      <c r="AF146" s="269"/>
      <c r="AG146" s="269"/>
    </row>
    <row r="147" spans="1:33" s="649" customFormat="1" ht="16.5" customHeight="1" outlineLevel="2">
      <c r="A147" s="434"/>
      <c r="B147" s="434"/>
      <c r="C147" s="435" t="s">
        <v>465</v>
      </c>
      <c r="D147" s="436" t="str">
        <f>Currency_Label</f>
        <v>USD</v>
      </c>
      <c r="E147" s="278" t="str">
        <f>IF(H136=0,"","Error: Please check inputs for sale of assets")</f>
        <v/>
      </c>
      <c r="F147" s="449"/>
      <c r="G147" s="450"/>
      <c r="H147" s="739"/>
      <c r="I147" s="71">
        <f>SUMPRODUCT((J$6:AG$6),(J147:AG147))</f>
        <v>0</v>
      </c>
      <c r="J147" s="269"/>
      <c r="K147" s="269"/>
      <c r="L147" s="269"/>
      <c r="M147" s="269"/>
      <c r="N147" s="269"/>
      <c r="O147" s="269"/>
      <c r="P147" s="269"/>
      <c r="Q147" s="269"/>
      <c r="R147" s="269"/>
      <c r="S147" s="269"/>
      <c r="T147" s="269"/>
      <c r="U147" s="269"/>
      <c r="V147" s="269"/>
      <c r="W147" s="269"/>
      <c r="X147" s="269"/>
      <c r="Y147" s="269"/>
      <c r="Z147" s="269"/>
      <c r="AA147" s="269"/>
      <c r="AB147" s="269"/>
      <c r="AC147" s="269"/>
      <c r="AD147" s="269"/>
      <c r="AE147" s="269"/>
      <c r="AF147" s="269"/>
      <c r="AG147" s="269"/>
    </row>
    <row r="148" spans="1:33" s="649" customFormat="1" ht="16.5" customHeight="1" outlineLevel="2">
      <c r="A148" s="434"/>
      <c r="B148" s="735" t="s">
        <v>441</v>
      </c>
      <c r="C148" s="732" t="str">
        <f>Name_VAT</f>
        <v>VAT</v>
      </c>
      <c r="D148" s="442"/>
      <c r="E148" s="449"/>
      <c r="F148" s="444"/>
      <c r="G148" s="444"/>
      <c r="H148" s="434"/>
      <c r="I148" s="434"/>
      <c r="J148" s="445"/>
      <c r="K148" s="445"/>
      <c r="L148" s="445"/>
      <c r="M148" s="445"/>
      <c r="N148" s="445"/>
      <c r="O148" s="445"/>
      <c r="P148" s="445"/>
      <c r="Q148" s="445"/>
      <c r="R148" s="445"/>
      <c r="S148" s="445"/>
      <c r="T148" s="445"/>
      <c r="U148" s="445"/>
      <c r="V148" s="445"/>
      <c r="W148" s="445"/>
      <c r="X148" s="445"/>
      <c r="Y148" s="445"/>
      <c r="Z148" s="445"/>
      <c r="AA148" s="445"/>
      <c r="AB148" s="445"/>
      <c r="AC148" s="445"/>
      <c r="AD148" s="445"/>
      <c r="AE148" s="445"/>
      <c r="AF148" s="445"/>
      <c r="AG148" s="445"/>
    </row>
    <row r="149" spans="1:33" s="649" customFormat="1" ht="16.5" customHeight="1" outlineLevel="2">
      <c r="A149" s="434"/>
      <c r="B149" s="434"/>
      <c r="C149" s="24" t="str">
        <f>Name_VAT &amp;" on "&amp;C126 &amp;" purchased &amp; leased"</f>
        <v>VAT on Financial Assets / Investments purchased &amp; leased</v>
      </c>
      <c r="D149" s="8" t="str">
        <f t="shared" ref="D149" si="448">Currency_Label</f>
        <v>USD</v>
      </c>
      <c r="E149" s="85">
        <f>F127</f>
        <v>1</v>
      </c>
      <c r="F149" s="749" t="s">
        <v>462</v>
      </c>
      <c r="G149" s="85">
        <f>H127</f>
        <v>0</v>
      </c>
      <c r="H149" s="346"/>
      <c r="I149" s="71">
        <f>SUM(J149:AG149)</f>
        <v>0</v>
      </c>
      <c r="J149" s="715">
        <f t="shared" ref="J149:AG149" si="449">(J133+J141)*$E149*$G149*J$6</f>
        <v>0</v>
      </c>
      <c r="K149" s="715">
        <f t="shared" si="449"/>
        <v>0</v>
      </c>
      <c r="L149" s="715">
        <f t="shared" si="449"/>
        <v>0</v>
      </c>
      <c r="M149" s="715">
        <f t="shared" si="449"/>
        <v>0</v>
      </c>
      <c r="N149" s="715">
        <f t="shared" si="449"/>
        <v>0</v>
      </c>
      <c r="O149" s="715">
        <f t="shared" si="449"/>
        <v>0</v>
      </c>
      <c r="P149" s="715">
        <f t="shared" si="449"/>
        <v>0</v>
      </c>
      <c r="Q149" s="715">
        <f t="shared" si="449"/>
        <v>0</v>
      </c>
      <c r="R149" s="715">
        <f t="shared" si="449"/>
        <v>0</v>
      </c>
      <c r="S149" s="715">
        <f t="shared" si="449"/>
        <v>0</v>
      </c>
      <c r="T149" s="715">
        <f t="shared" si="449"/>
        <v>0</v>
      </c>
      <c r="U149" s="715">
        <f t="shared" si="449"/>
        <v>0</v>
      </c>
      <c r="V149" s="715">
        <f t="shared" si="449"/>
        <v>0</v>
      </c>
      <c r="W149" s="715">
        <f t="shared" si="449"/>
        <v>0</v>
      </c>
      <c r="X149" s="715">
        <f t="shared" si="449"/>
        <v>0</v>
      </c>
      <c r="Y149" s="715">
        <f t="shared" si="449"/>
        <v>0</v>
      </c>
      <c r="Z149" s="715">
        <f t="shared" si="449"/>
        <v>0</v>
      </c>
      <c r="AA149" s="715">
        <f t="shared" si="449"/>
        <v>0</v>
      </c>
      <c r="AB149" s="715">
        <f t="shared" si="449"/>
        <v>0</v>
      </c>
      <c r="AC149" s="715">
        <f t="shared" si="449"/>
        <v>0</v>
      </c>
      <c r="AD149" s="715">
        <f t="shared" si="449"/>
        <v>0</v>
      </c>
      <c r="AE149" s="715">
        <f t="shared" si="449"/>
        <v>0</v>
      </c>
      <c r="AF149" s="715">
        <f t="shared" si="449"/>
        <v>0</v>
      </c>
      <c r="AG149" s="715">
        <f t="shared" si="449"/>
        <v>0</v>
      </c>
    </row>
    <row r="150" spans="1:33" s="649" customFormat="1" ht="16.5" customHeight="1" outlineLevel="2">
      <c r="A150" s="434"/>
      <c r="B150" s="735"/>
      <c r="C150" s="732"/>
      <c r="D150" s="442"/>
      <c r="E150" s="449"/>
      <c r="F150" s="444"/>
      <c r="G150" s="444"/>
      <c r="H150" s="434"/>
      <c r="I150" s="434"/>
      <c r="J150" s="445"/>
      <c r="K150" s="445"/>
      <c r="L150" s="445"/>
      <c r="M150" s="445"/>
      <c r="N150" s="445"/>
      <c r="O150" s="445"/>
      <c r="P150" s="445"/>
      <c r="Q150" s="445"/>
      <c r="R150" s="445"/>
      <c r="S150" s="445"/>
      <c r="T150" s="445"/>
      <c r="U150" s="445"/>
      <c r="V150" s="445"/>
      <c r="W150" s="445"/>
      <c r="X150" s="445"/>
      <c r="Y150" s="445"/>
      <c r="Z150" s="445"/>
      <c r="AA150" s="445"/>
      <c r="AB150" s="445"/>
      <c r="AC150" s="445"/>
      <c r="AD150" s="445"/>
      <c r="AE150" s="445"/>
      <c r="AF150" s="445"/>
      <c r="AG150" s="445"/>
    </row>
    <row r="151" spans="1:33" s="704" customFormat="1" ht="16.5" customHeight="1" outlineLevel="2">
      <c r="A151" s="434"/>
      <c r="B151" s="735"/>
      <c r="C151" s="732" t="str">
        <f>"BS Account: "&amp;C126</f>
        <v>BS Account: Financial Assets / Investments</v>
      </c>
      <c r="D151" s="442"/>
      <c r="E151" s="449"/>
      <c r="F151" s="444"/>
      <c r="G151" s="444"/>
      <c r="H151" s="434"/>
      <c r="I151" s="434"/>
      <c r="J151" s="445"/>
      <c r="K151" s="445"/>
      <c r="L151" s="445"/>
      <c r="M151" s="445"/>
      <c r="N151" s="445"/>
      <c r="O151" s="445"/>
      <c r="P151" s="445"/>
      <c r="Q151" s="445"/>
      <c r="R151" s="445"/>
      <c r="S151" s="445"/>
      <c r="T151" s="445"/>
      <c r="U151" s="445"/>
      <c r="V151" s="445"/>
      <c r="W151" s="445"/>
      <c r="X151" s="445"/>
      <c r="Y151" s="445"/>
      <c r="Z151" s="445"/>
      <c r="AA151" s="445"/>
      <c r="AB151" s="445"/>
      <c r="AC151" s="445"/>
      <c r="AD151" s="445"/>
      <c r="AE151" s="445"/>
      <c r="AF151" s="445"/>
      <c r="AG151" s="445"/>
    </row>
    <row r="152" spans="1:33" s="649" customFormat="1" ht="16.5" customHeight="1" outlineLevel="2">
      <c r="A152" s="434"/>
      <c r="B152" s="434"/>
      <c r="C152" s="649" t="s">
        <v>140</v>
      </c>
      <c r="D152" s="436" t="str">
        <f>Currency_Label</f>
        <v>USD</v>
      </c>
      <c r="E152" s="432"/>
      <c r="F152" s="432"/>
      <c r="G152" s="432"/>
      <c r="H152" s="432"/>
      <c r="I152" s="432"/>
      <c r="J152" s="747">
        <f t="shared" ref="J152:K152" si="450">I155*J$6</f>
        <v>0</v>
      </c>
      <c r="K152" s="747">
        <f t="shared" si="450"/>
        <v>0</v>
      </c>
      <c r="L152" s="747">
        <f t="shared" ref="L152" si="451">K155*L$6</f>
        <v>0</v>
      </c>
      <c r="M152" s="747">
        <f t="shared" ref="M152" si="452">L155*M$6</f>
        <v>0</v>
      </c>
      <c r="N152" s="747">
        <f t="shared" ref="N152" si="453">M155*N$6</f>
        <v>0</v>
      </c>
      <c r="O152" s="747">
        <f t="shared" ref="O152" si="454">N155*O$6</f>
        <v>55000</v>
      </c>
      <c r="P152" s="747">
        <f t="shared" ref="P152" si="455">O155*P$6</f>
        <v>55000</v>
      </c>
      <c r="Q152" s="747">
        <f t="shared" ref="Q152" si="456">P155*Q$6</f>
        <v>55000</v>
      </c>
      <c r="R152" s="747">
        <f t="shared" ref="R152" si="457">Q155*R$6</f>
        <v>55000</v>
      </c>
      <c r="S152" s="747">
        <f t="shared" ref="S152" si="458">R155*S$6</f>
        <v>55000</v>
      </c>
      <c r="T152" s="747">
        <f t="shared" ref="T152" si="459">S155*T$6</f>
        <v>55000</v>
      </c>
      <c r="U152" s="747">
        <f t="shared" ref="U152" si="460">T155*U$6</f>
        <v>55000</v>
      </c>
      <c r="V152" s="747">
        <f t="shared" ref="V152" si="461">U155*V$6</f>
        <v>66250</v>
      </c>
      <c r="W152" s="747">
        <f t="shared" ref="W152" si="462">V155*W$6</f>
        <v>66250</v>
      </c>
      <c r="X152" s="747">
        <f t="shared" ref="X152" si="463">W155*X$6</f>
        <v>66250</v>
      </c>
      <c r="Y152" s="747">
        <f t="shared" ref="Y152" si="464">X155*Y$6</f>
        <v>66250</v>
      </c>
      <c r="Z152" s="747">
        <f t="shared" ref="Z152" si="465">Y155*Z$6</f>
        <v>66250</v>
      </c>
      <c r="AA152" s="747">
        <f t="shared" ref="AA152" si="466">Z155*AA$6</f>
        <v>66250</v>
      </c>
      <c r="AB152" s="747">
        <f t="shared" ref="AB152" si="467">AA155*AB$6</f>
        <v>66250</v>
      </c>
      <c r="AC152" s="747">
        <f t="shared" ref="AC152" si="468">AB155*AC$6</f>
        <v>66250</v>
      </c>
      <c r="AD152" s="747">
        <f t="shared" ref="AD152" si="469">AC155*AD$6</f>
        <v>66250</v>
      </c>
      <c r="AE152" s="747">
        <f t="shared" ref="AE152" si="470">AD155*AE$6</f>
        <v>0</v>
      </c>
      <c r="AF152" s="747">
        <f t="shared" ref="AF152" si="471">AE155*AF$6</f>
        <v>0</v>
      </c>
      <c r="AG152" s="747">
        <f t="shared" ref="AG152" si="472">AF155*AG$6</f>
        <v>0</v>
      </c>
    </row>
    <row r="153" spans="1:33" s="649" customFormat="1" ht="16.5" customHeight="1" outlineLevel="2">
      <c r="A153" s="434"/>
      <c r="B153" s="434"/>
      <c r="C153" s="435" t="s">
        <v>458</v>
      </c>
      <c r="D153" s="436" t="str">
        <f>Currency_Label</f>
        <v>USD</v>
      </c>
      <c r="E153" s="432"/>
      <c r="F153" s="432"/>
      <c r="G153" s="432"/>
      <c r="H153" s="432"/>
      <c r="I153" s="71">
        <f>SUM(J153:AG153)</f>
        <v>66250</v>
      </c>
      <c r="J153" s="357">
        <f t="shared" ref="J153:AG153" si="473">J133+J139+J141</f>
        <v>0</v>
      </c>
      <c r="K153" s="357">
        <f t="shared" si="473"/>
        <v>0</v>
      </c>
      <c r="L153" s="357">
        <f t="shared" si="473"/>
        <v>0</v>
      </c>
      <c r="M153" s="357">
        <f t="shared" si="473"/>
        <v>0</v>
      </c>
      <c r="N153" s="357">
        <f t="shared" si="473"/>
        <v>55000</v>
      </c>
      <c r="O153" s="357">
        <f t="shared" si="473"/>
        <v>0</v>
      </c>
      <c r="P153" s="357">
        <f t="shared" si="473"/>
        <v>0</v>
      </c>
      <c r="Q153" s="357">
        <f t="shared" si="473"/>
        <v>0</v>
      </c>
      <c r="R153" s="357">
        <f t="shared" si="473"/>
        <v>0</v>
      </c>
      <c r="S153" s="357">
        <f t="shared" si="473"/>
        <v>0</v>
      </c>
      <c r="T153" s="357">
        <f t="shared" si="473"/>
        <v>0</v>
      </c>
      <c r="U153" s="357">
        <f t="shared" si="473"/>
        <v>11250</v>
      </c>
      <c r="V153" s="357">
        <f t="shared" si="473"/>
        <v>0</v>
      </c>
      <c r="W153" s="357">
        <f t="shared" si="473"/>
        <v>0</v>
      </c>
      <c r="X153" s="357">
        <f t="shared" si="473"/>
        <v>0</v>
      </c>
      <c r="Y153" s="357">
        <f t="shared" si="473"/>
        <v>0</v>
      </c>
      <c r="Z153" s="357">
        <f t="shared" si="473"/>
        <v>0</v>
      </c>
      <c r="AA153" s="357">
        <f t="shared" si="473"/>
        <v>0</v>
      </c>
      <c r="AB153" s="357">
        <f t="shared" si="473"/>
        <v>0</v>
      </c>
      <c r="AC153" s="357">
        <f t="shared" si="473"/>
        <v>0</v>
      </c>
      <c r="AD153" s="357">
        <f t="shared" si="473"/>
        <v>0</v>
      </c>
      <c r="AE153" s="357">
        <f t="shared" si="473"/>
        <v>0</v>
      </c>
      <c r="AF153" s="357">
        <f t="shared" si="473"/>
        <v>0</v>
      </c>
      <c r="AG153" s="357">
        <f t="shared" si="473"/>
        <v>0</v>
      </c>
    </row>
    <row r="154" spans="1:33" s="649" customFormat="1" ht="16.5" customHeight="1" outlineLevel="2">
      <c r="A154" s="434"/>
      <c r="B154" s="434"/>
      <c r="C154" s="435" t="s">
        <v>473</v>
      </c>
      <c r="D154" s="436" t="str">
        <f>Currency_Label</f>
        <v>USD</v>
      </c>
      <c r="E154" s="432"/>
      <c r="F154" s="432"/>
      <c r="G154" s="432"/>
      <c r="H154" s="432"/>
      <c r="I154" s="71">
        <f>SUM(J154:AG154)</f>
        <v>0</v>
      </c>
      <c r="J154" s="357">
        <f t="shared" ref="J154:AG154" si="474">-(J136+J146-J147)</f>
        <v>0</v>
      </c>
      <c r="K154" s="357">
        <f t="shared" si="474"/>
        <v>0</v>
      </c>
      <c r="L154" s="357">
        <f t="shared" si="474"/>
        <v>0</v>
      </c>
      <c r="M154" s="357">
        <f t="shared" si="474"/>
        <v>0</v>
      </c>
      <c r="N154" s="357">
        <f t="shared" si="474"/>
        <v>0</v>
      </c>
      <c r="O154" s="357">
        <f t="shared" si="474"/>
        <v>0</v>
      </c>
      <c r="P154" s="357">
        <f t="shared" si="474"/>
        <v>0</v>
      </c>
      <c r="Q154" s="357">
        <f t="shared" si="474"/>
        <v>0</v>
      </c>
      <c r="R154" s="357">
        <f t="shared" si="474"/>
        <v>0</v>
      </c>
      <c r="S154" s="357">
        <f t="shared" si="474"/>
        <v>0</v>
      </c>
      <c r="T154" s="357">
        <f t="shared" si="474"/>
        <v>0</v>
      </c>
      <c r="U154" s="357">
        <f t="shared" si="474"/>
        <v>0</v>
      </c>
      <c r="V154" s="357">
        <f t="shared" si="474"/>
        <v>0</v>
      </c>
      <c r="W154" s="357">
        <f t="shared" si="474"/>
        <v>0</v>
      </c>
      <c r="X154" s="357">
        <f t="shared" si="474"/>
        <v>0</v>
      </c>
      <c r="Y154" s="357">
        <f t="shared" si="474"/>
        <v>0</v>
      </c>
      <c r="Z154" s="357">
        <f t="shared" si="474"/>
        <v>0</v>
      </c>
      <c r="AA154" s="357">
        <f t="shared" si="474"/>
        <v>0</v>
      </c>
      <c r="AB154" s="357">
        <f t="shared" si="474"/>
        <v>0</v>
      </c>
      <c r="AC154" s="357">
        <f t="shared" si="474"/>
        <v>0</v>
      </c>
      <c r="AD154" s="357">
        <f t="shared" si="474"/>
        <v>0</v>
      </c>
      <c r="AE154" s="357">
        <f t="shared" si="474"/>
        <v>0</v>
      </c>
      <c r="AF154" s="357">
        <f t="shared" si="474"/>
        <v>0</v>
      </c>
      <c r="AG154" s="357">
        <f t="shared" si="474"/>
        <v>0</v>
      </c>
    </row>
    <row r="155" spans="1:33" s="649" customFormat="1" ht="16.5" customHeight="1" outlineLevel="2" thickBot="1">
      <c r="A155" s="434"/>
      <c r="B155" s="434"/>
      <c r="C155" s="649" t="s">
        <v>141</v>
      </c>
      <c r="D155" s="436" t="str">
        <f>Currency_Label</f>
        <v>USD</v>
      </c>
      <c r="E155" s="432"/>
      <c r="F155" s="444"/>
      <c r="G155" s="444"/>
      <c r="H155" s="434"/>
      <c r="I155" s="147">
        <f>Inputs!F228</f>
        <v>0</v>
      </c>
      <c r="J155" s="457">
        <f>IF(ABS(SUM(J152:J154))&lt;0.001,0,SUM(J152:J154))</f>
        <v>0</v>
      </c>
      <c r="K155" s="457">
        <f>IF(ABS(SUM(K152:K154))&lt;0.001,0,SUM(K152:K154))</f>
        <v>0</v>
      </c>
      <c r="L155" s="457">
        <f t="shared" ref="L155:AG155" si="475">IF(ABS(SUM(L152:L154))&lt;0.001,0,SUM(L152:L154))</f>
        <v>0</v>
      </c>
      <c r="M155" s="457">
        <f t="shared" si="475"/>
        <v>0</v>
      </c>
      <c r="N155" s="457">
        <f t="shared" si="475"/>
        <v>55000</v>
      </c>
      <c r="O155" s="457">
        <f t="shared" si="475"/>
        <v>55000</v>
      </c>
      <c r="P155" s="457">
        <f t="shared" si="475"/>
        <v>55000</v>
      </c>
      <c r="Q155" s="457">
        <f t="shared" si="475"/>
        <v>55000</v>
      </c>
      <c r="R155" s="457">
        <f t="shared" si="475"/>
        <v>55000</v>
      </c>
      <c r="S155" s="457">
        <f t="shared" si="475"/>
        <v>55000</v>
      </c>
      <c r="T155" s="457">
        <f t="shared" si="475"/>
        <v>55000</v>
      </c>
      <c r="U155" s="457">
        <f t="shared" si="475"/>
        <v>66250</v>
      </c>
      <c r="V155" s="457">
        <f t="shared" si="475"/>
        <v>66250</v>
      </c>
      <c r="W155" s="457">
        <f t="shared" si="475"/>
        <v>66250</v>
      </c>
      <c r="X155" s="457">
        <f t="shared" si="475"/>
        <v>66250</v>
      </c>
      <c r="Y155" s="457">
        <f t="shared" si="475"/>
        <v>66250</v>
      </c>
      <c r="Z155" s="457">
        <f t="shared" si="475"/>
        <v>66250</v>
      </c>
      <c r="AA155" s="457">
        <f t="shared" si="475"/>
        <v>66250</v>
      </c>
      <c r="AB155" s="457">
        <f t="shared" si="475"/>
        <v>66250</v>
      </c>
      <c r="AC155" s="457">
        <f t="shared" si="475"/>
        <v>66250</v>
      </c>
      <c r="AD155" s="457">
        <f t="shared" si="475"/>
        <v>66250</v>
      </c>
      <c r="AE155" s="457">
        <f t="shared" si="475"/>
        <v>0</v>
      </c>
      <c r="AF155" s="457">
        <f t="shared" si="475"/>
        <v>0</v>
      </c>
      <c r="AG155" s="457">
        <f t="shared" si="475"/>
        <v>0</v>
      </c>
    </row>
    <row r="156" spans="1:33" s="649" customFormat="1" ht="16.5" customHeight="1" outlineLevel="2" thickTop="1">
      <c r="A156" s="434"/>
      <c r="B156" s="434"/>
      <c r="C156" s="448"/>
      <c r="D156" s="442"/>
      <c r="E156" s="449"/>
      <c r="F156" s="444"/>
      <c r="G156" s="444"/>
      <c r="H156" s="434"/>
      <c r="I156" s="434"/>
      <c r="J156" s="445"/>
      <c r="K156" s="445"/>
      <c r="L156" s="445"/>
      <c r="M156" s="445"/>
      <c r="N156" s="445"/>
      <c r="O156" s="445"/>
      <c r="P156" s="445"/>
      <c r="Q156" s="445"/>
      <c r="R156" s="445"/>
      <c r="S156" s="445"/>
      <c r="T156" s="445"/>
      <c r="U156" s="445"/>
      <c r="V156" s="445"/>
      <c r="W156" s="445"/>
      <c r="X156" s="445"/>
      <c r="Y156" s="445"/>
      <c r="Z156" s="445"/>
      <c r="AA156" s="445"/>
      <c r="AB156" s="445"/>
      <c r="AC156" s="445"/>
      <c r="AD156" s="445"/>
      <c r="AE156" s="445"/>
      <c r="AF156" s="445"/>
      <c r="AG156" s="445"/>
    </row>
    <row r="157" spans="1:33" s="649" customFormat="1" ht="16.5" customHeight="1" outlineLevel="1">
      <c r="A157" s="434"/>
      <c r="B157" s="434"/>
      <c r="C157" s="448"/>
      <c r="D157" s="442"/>
      <c r="E157" s="449"/>
      <c r="F157" s="444"/>
      <c r="G157" s="444"/>
      <c r="H157" s="434"/>
      <c r="I157" s="434"/>
      <c r="J157" s="445"/>
      <c r="K157" s="445"/>
      <c r="L157" s="432"/>
      <c r="M157" s="432"/>
      <c r="N157" s="432"/>
      <c r="O157" s="432"/>
      <c r="P157" s="432"/>
      <c r="Q157" s="432"/>
      <c r="R157" s="432"/>
      <c r="S157" s="432"/>
      <c r="T157" s="432"/>
      <c r="U157" s="432"/>
      <c r="V157" s="432"/>
      <c r="W157" s="432"/>
      <c r="X157" s="432"/>
      <c r="Y157" s="432"/>
      <c r="Z157" s="432"/>
      <c r="AA157" s="432"/>
      <c r="AB157" s="432"/>
      <c r="AC157" s="432"/>
      <c r="AD157" s="432"/>
      <c r="AE157" s="432"/>
      <c r="AF157" s="432"/>
      <c r="AG157" s="432"/>
    </row>
    <row r="158" spans="1:33" s="649" customFormat="1" ht="22.5" customHeight="1">
      <c r="A158" s="279"/>
      <c r="B158" s="279" t="s">
        <v>482</v>
      </c>
      <c r="C158" s="279" t="s">
        <v>929</v>
      </c>
      <c r="D158" s="442"/>
      <c r="E158" s="445"/>
      <c r="F158" s="445"/>
      <c r="G158" s="445"/>
      <c r="H158" s="445"/>
      <c r="I158" s="445"/>
      <c r="J158" s="445"/>
      <c r="K158" s="445"/>
      <c r="L158" s="432"/>
      <c r="M158" s="432"/>
      <c r="N158" s="432"/>
      <c r="O158" s="432"/>
      <c r="P158" s="432"/>
      <c r="Q158" s="432"/>
      <c r="R158" s="432"/>
      <c r="S158" s="432"/>
      <c r="T158" s="432"/>
      <c r="U158" s="432"/>
      <c r="V158" s="432"/>
      <c r="W158" s="432"/>
      <c r="X158" s="432"/>
      <c r="Y158" s="432"/>
      <c r="Z158" s="432"/>
      <c r="AA158" s="432"/>
      <c r="AB158" s="432"/>
      <c r="AC158" s="432"/>
      <c r="AD158" s="432"/>
      <c r="AE158" s="432"/>
      <c r="AF158" s="432"/>
      <c r="AG158" s="432"/>
    </row>
    <row r="159" spans="1:33" s="649" customFormat="1" ht="16.5" customHeight="1" outlineLevel="1">
      <c r="A159" s="434"/>
      <c r="B159" s="434"/>
      <c r="C159" s="732" t="s">
        <v>476</v>
      </c>
      <c r="D159" s="442"/>
      <c r="E159" s="449"/>
      <c r="F159" s="444"/>
      <c r="G159" s="444"/>
      <c r="H159" s="434"/>
      <c r="I159" s="434"/>
      <c r="J159" s="445"/>
      <c r="K159" s="445"/>
      <c r="L159" s="432"/>
      <c r="M159" s="432"/>
      <c r="N159" s="432"/>
      <c r="O159" s="432"/>
      <c r="P159" s="432"/>
      <c r="Q159" s="432"/>
      <c r="R159" s="432"/>
      <c r="S159" s="432"/>
      <c r="T159" s="432"/>
      <c r="U159" s="432"/>
      <c r="V159" s="432"/>
      <c r="W159" s="432"/>
      <c r="X159" s="432"/>
      <c r="Y159" s="432"/>
      <c r="Z159" s="432"/>
      <c r="AA159" s="432"/>
      <c r="AB159" s="432"/>
      <c r="AC159" s="432"/>
      <c r="AD159" s="432"/>
      <c r="AE159" s="432"/>
      <c r="AF159" s="432"/>
      <c r="AG159" s="432"/>
    </row>
    <row r="160" spans="1:33" s="649" customFormat="1" ht="16.5" customHeight="1" outlineLevel="1">
      <c r="A160" s="434"/>
      <c r="B160" s="434"/>
      <c r="C160" s="435" t="s">
        <v>474</v>
      </c>
      <c r="D160" s="436" t="str">
        <f>Currency_Label</f>
        <v>USD</v>
      </c>
      <c r="E160" s="449"/>
      <c r="F160" s="444"/>
      <c r="G160" s="444"/>
      <c r="H160" s="434"/>
      <c r="I160" s="71">
        <f>SUM(J160:AG160)</f>
        <v>493750</v>
      </c>
      <c r="J160" s="357">
        <f>(J16+J49+J75+J101+J133)*J6</f>
        <v>125000</v>
      </c>
      <c r="K160" s="357">
        <f t="shared" ref="K160:AG160" si="476">(K16+K49+K75+K101+K133)*K6</f>
        <v>220000</v>
      </c>
      <c r="L160" s="357">
        <f t="shared" si="476"/>
        <v>0</v>
      </c>
      <c r="M160" s="357">
        <f t="shared" si="476"/>
        <v>0</v>
      </c>
      <c r="N160" s="357">
        <f t="shared" si="476"/>
        <v>55000</v>
      </c>
      <c r="O160" s="357">
        <f t="shared" si="476"/>
        <v>0</v>
      </c>
      <c r="P160" s="357">
        <f t="shared" si="476"/>
        <v>0</v>
      </c>
      <c r="Q160" s="357">
        <f t="shared" si="476"/>
        <v>0</v>
      </c>
      <c r="R160" s="357">
        <f t="shared" si="476"/>
        <v>0</v>
      </c>
      <c r="S160" s="357">
        <f t="shared" si="476"/>
        <v>0</v>
      </c>
      <c r="T160" s="357">
        <f t="shared" si="476"/>
        <v>0</v>
      </c>
      <c r="U160" s="357">
        <f t="shared" si="476"/>
        <v>43750</v>
      </c>
      <c r="V160" s="357">
        <f t="shared" si="476"/>
        <v>0</v>
      </c>
      <c r="W160" s="357">
        <f t="shared" si="476"/>
        <v>50000</v>
      </c>
      <c r="X160" s="357">
        <f t="shared" si="476"/>
        <v>0</v>
      </c>
      <c r="Y160" s="357">
        <f t="shared" si="476"/>
        <v>0</v>
      </c>
      <c r="Z160" s="357">
        <f t="shared" si="476"/>
        <v>0</v>
      </c>
      <c r="AA160" s="357">
        <f t="shared" si="476"/>
        <v>0</v>
      </c>
      <c r="AB160" s="357">
        <f t="shared" si="476"/>
        <v>0</v>
      </c>
      <c r="AC160" s="357">
        <f t="shared" si="476"/>
        <v>0</v>
      </c>
      <c r="AD160" s="357">
        <f t="shared" si="476"/>
        <v>0</v>
      </c>
      <c r="AE160" s="357">
        <f t="shared" si="476"/>
        <v>0</v>
      </c>
      <c r="AF160" s="357">
        <f t="shared" si="476"/>
        <v>0</v>
      </c>
      <c r="AG160" s="357">
        <f t="shared" si="476"/>
        <v>0</v>
      </c>
    </row>
    <row r="161" spans="1:33" s="830" customFormat="1" ht="16.5" customHeight="1" outlineLevel="2">
      <c r="A161" s="434"/>
      <c r="B161" s="434"/>
      <c r="C161" s="435" t="s">
        <v>722</v>
      </c>
      <c r="D161" s="436" t="str">
        <f>Currency_Label</f>
        <v>USD</v>
      </c>
      <c r="E161" s="449"/>
      <c r="F161" s="444"/>
      <c r="G161" s="444"/>
      <c r="H161" s="434"/>
      <c r="I161" s="71">
        <f>SUM(J161:AG161)</f>
        <v>75000</v>
      </c>
      <c r="J161" s="357">
        <f>J16*J6</f>
        <v>75000</v>
      </c>
      <c r="K161" s="357">
        <f t="shared" ref="K161:AG161" si="477">K16*K6</f>
        <v>0</v>
      </c>
      <c r="L161" s="357">
        <f t="shared" si="477"/>
        <v>0</v>
      </c>
      <c r="M161" s="357">
        <f t="shared" si="477"/>
        <v>0</v>
      </c>
      <c r="N161" s="357">
        <f t="shared" si="477"/>
        <v>0</v>
      </c>
      <c r="O161" s="357">
        <f t="shared" si="477"/>
        <v>0</v>
      </c>
      <c r="P161" s="357">
        <f t="shared" si="477"/>
        <v>0</v>
      </c>
      <c r="Q161" s="357">
        <f t="shared" si="477"/>
        <v>0</v>
      </c>
      <c r="R161" s="357">
        <f t="shared" si="477"/>
        <v>0</v>
      </c>
      <c r="S161" s="357">
        <f t="shared" si="477"/>
        <v>0</v>
      </c>
      <c r="T161" s="357">
        <f t="shared" si="477"/>
        <v>0</v>
      </c>
      <c r="U161" s="357">
        <f t="shared" si="477"/>
        <v>0</v>
      </c>
      <c r="V161" s="357">
        <f t="shared" si="477"/>
        <v>0</v>
      </c>
      <c r="W161" s="357">
        <f t="shared" si="477"/>
        <v>0</v>
      </c>
      <c r="X161" s="357">
        <f t="shared" si="477"/>
        <v>0</v>
      </c>
      <c r="Y161" s="357">
        <f t="shared" si="477"/>
        <v>0</v>
      </c>
      <c r="Z161" s="357">
        <f t="shared" si="477"/>
        <v>0</v>
      </c>
      <c r="AA161" s="357">
        <f t="shared" si="477"/>
        <v>0</v>
      </c>
      <c r="AB161" s="357">
        <f t="shared" si="477"/>
        <v>0</v>
      </c>
      <c r="AC161" s="357">
        <f t="shared" si="477"/>
        <v>0</v>
      </c>
      <c r="AD161" s="357">
        <f t="shared" si="477"/>
        <v>0</v>
      </c>
      <c r="AE161" s="357">
        <f t="shared" si="477"/>
        <v>0</v>
      </c>
      <c r="AF161" s="357">
        <f t="shared" si="477"/>
        <v>0</v>
      </c>
      <c r="AG161" s="357">
        <f t="shared" si="477"/>
        <v>0</v>
      </c>
    </row>
    <row r="162" spans="1:33" s="830" customFormat="1" ht="16.5" customHeight="1" outlineLevel="2">
      <c r="A162" s="434"/>
      <c r="B162" s="434"/>
      <c r="C162" s="435" t="s">
        <v>723</v>
      </c>
      <c r="D162" s="436" t="str">
        <f>Currency_Label</f>
        <v>USD</v>
      </c>
      <c r="E162" s="449"/>
      <c r="F162" s="444"/>
      <c r="G162" s="444"/>
      <c r="H162" s="434"/>
      <c r="I162" s="71">
        <f>SUM(J162:AG162)</f>
        <v>352500</v>
      </c>
      <c r="J162" s="357">
        <f>(J49+J75+J101)*J6</f>
        <v>50000</v>
      </c>
      <c r="K162" s="357">
        <f t="shared" ref="K162:AG162" si="478">(K49+K75+K101)*K6</f>
        <v>220000</v>
      </c>
      <c r="L162" s="357">
        <f t="shared" si="478"/>
        <v>0</v>
      </c>
      <c r="M162" s="357">
        <f t="shared" si="478"/>
        <v>0</v>
      </c>
      <c r="N162" s="357">
        <f t="shared" si="478"/>
        <v>0</v>
      </c>
      <c r="O162" s="357">
        <f t="shared" si="478"/>
        <v>0</v>
      </c>
      <c r="P162" s="357">
        <f t="shared" si="478"/>
        <v>0</v>
      </c>
      <c r="Q162" s="357">
        <f t="shared" si="478"/>
        <v>0</v>
      </c>
      <c r="R162" s="357">
        <f t="shared" si="478"/>
        <v>0</v>
      </c>
      <c r="S162" s="357">
        <f t="shared" si="478"/>
        <v>0</v>
      </c>
      <c r="T162" s="357">
        <f t="shared" si="478"/>
        <v>0</v>
      </c>
      <c r="U162" s="357">
        <f t="shared" si="478"/>
        <v>32500</v>
      </c>
      <c r="V162" s="357">
        <f t="shared" si="478"/>
        <v>0</v>
      </c>
      <c r="W162" s="357">
        <f t="shared" si="478"/>
        <v>50000</v>
      </c>
      <c r="X162" s="357">
        <f t="shared" si="478"/>
        <v>0</v>
      </c>
      <c r="Y162" s="357">
        <f t="shared" si="478"/>
        <v>0</v>
      </c>
      <c r="Z162" s="357">
        <f t="shared" si="478"/>
        <v>0</v>
      </c>
      <c r="AA162" s="357">
        <f t="shared" si="478"/>
        <v>0</v>
      </c>
      <c r="AB162" s="357">
        <f t="shared" si="478"/>
        <v>0</v>
      </c>
      <c r="AC162" s="357">
        <f t="shared" si="478"/>
        <v>0</v>
      </c>
      <c r="AD162" s="357">
        <f t="shared" si="478"/>
        <v>0</v>
      </c>
      <c r="AE162" s="357">
        <f t="shared" si="478"/>
        <v>0</v>
      </c>
      <c r="AF162" s="357">
        <f t="shared" si="478"/>
        <v>0</v>
      </c>
      <c r="AG162" s="357">
        <f t="shared" si="478"/>
        <v>0</v>
      </c>
    </row>
    <row r="163" spans="1:33" s="830" customFormat="1" ht="16.5" customHeight="1" outlineLevel="2">
      <c r="A163" s="434"/>
      <c r="B163" s="434"/>
      <c r="C163" s="435" t="s">
        <v>724</v>
      </c>
      <c r="D163" s="436" t="str">
        <f>Currency_Label</f>
        <v>USD</v>
      </c>
      <c r="E163" s="449"/>
      <c r="F163" s="444"/>
      <c r="G163" s="444"/>
      <c r="H163" s="434"/>
      <c r="I163" s="71">
        <f>SUM(J163:AG163)</f>
        <v>66250</v>
      </c>
      <c r="J163" s="357">
        <f>J133*J6</f>
        <v>0</v>
      </c>
      <c r="K163" s="357">
        <f t="shared" ref="K163:AG163" si="479">K133*K6</f>
        <v>0</v>
      </c>
      <c r="L163" s="357">
        <f t="shared" si="479"/>
        <v>0</v>
      </c>
      <c r="M163" s="357">
        <f t="shared" si="479"/>
        <v>0</v>
      </c>
      <c r="N163" s="357">
        <f t="shared" si="479"/>
        <v>55000</v>
      </c>
      <c r="O163" s="357">
        <f t="shared" si="479"/>
        <v>0</v>
      </c>
      <c r="P163" s="357">
        <f t="shared" si="479"/>
        <v>0</v>
      </c>
      <c r="Q163" s="357">
        <f t="shared" si="479"/>
        <v>0</v>
      </c>
      <c r="R163" s="357">
        <f t="shared" si="479"/>
        <v>0</v>
      </c>
      <c r="S163" s="357">
        <f t="shared" si="479"/>
        <v>0</v>
      </c>
      <c r="T163" s="357">
        <f t="shared" si="479"/>
        <v>0</v>
      </c>
      <c r="U163" s="357">
        <f t="shared" si="479"/>
        <v>11250</v>
      </c>
      <c r="V163" s="357">
        <f t="shared" si="479"/>
        <v>0</v>
      </c>
      <c r="W163" s="357">
        <f t="shared" si="479"/>
        <v>0</v>
      </c>
      <c r="X163" s="357">
        <f t="shared" si="479"/>
        <v>0</v>
      </c>
      <c r="Y163" s="357">
        <f t="shared" si="479"/>
        <v>0</v>
      </c>
      <c r="Z163" s="357">
        <f t="shared" si="479"/>
        <v>0</v>
      </c>
      <c r="AA163" s="357">
        <f t="shared" si="479"/>
        <v>0</v>
      </c>
      <c r="AB163" s="357">
        <f t="shared" si="479"/>
        <v>0</v>
      </c>
      <c r="AC163" s="357">
        <f t="shared" si="479"/>
        <v>0</v>
      </c>
      <c r="AD163" s="357">
        <f t="shared" si="479"/>
        <v>0</v>
      </c>
      <c r="AE163" s="357">
        <f t="shared" si="479"/>
        <v>0</v>
      </c>
      <c r="AF163" s="357">
        <f t="shared" si="479"/>
        <v>0</v>
      </c>
      <c r="AG163" s="357">
        <f t="shared" si="479"/>
        <v>0</v>
      </c>
    </row>
    <row r="164" spans="1:33" s="649" customFormat="1" ht="16.5" customHeight="1" outlineLevel="1">
      <c r="A164" s="434"/>
      <c r="B164" s="434"/>
      <c r="C164" s="435" t="str">
        <f>CHOOSE(language,"Depreciation &amp; Amortisation per period","Depreciation &amp; Amortization per period")</f>
        <v>Depreciation &amp; Amortization per period</v>
      </c>
      <c r="D164" s="436" t="str">
        <f>Currency_Label</f>
        <v>USD</v>
      </c>
      <c r="E164" s="449"/>
      <c r="F164" s="444"/>
      <c r="G164" s="444"/>
      <c r="H164" s="434"/>
      <c r="I164" s="71">
        <f>SUM(J164:AG164)</f>
        <v>212266.66666666657</v>
      </c>
      <c r="J164" s="357">
        <f t="shared" ref="J164:AG164" si="480">(J19+J52+J78+J104+J136)*J6</f>
        <v>4530.5555555555557</v>
      </c>
      <c r="K164" s="357">
        <f t="shared" si="480"/>
        <v>5850</v>
      </c>
      <c r="L164" s="357">
        <f t="shared" si="480"/>
        <v>9516.6666666666661</v>
      </c>
      <c r="M164" s="357">
        <f t="shared" si="480"/>
        <v>9516.6666666666661</v>
      </c>
      <c r="N164" s="357">
        <f t="shared" si="480"/>
        <v>10183.333333333332</v>
      </c>
      <c r="O164" s="357">
        <f t="shared" si="480"/>
        <v>10183.333333333332</v>
      </c>
      <c r="P164" s="357">
        <f t="shared" si="480"/>
        <v>10183.333333333332</v>
      </c>
      <c r="Q164" s="357">
        <f t="shared" si="480"/>
        <v>10183.333333333332</v>
      </c>
      <c r="R164" s="357">
        <f t="shared" si="480"/>
        <v>10183.333333333332</v>
      </c>
      <c r="S164" s="357">
        <f t="shared" si="480"/>
        <v>10183.333333333332</v>
      </c>
      <c r="T164" s="357">
        <f t="shared" si="480"/>
        <v>10183.333333333332</v>
      </c>
      <c r="U164" s="357">
        <f t="shared" si="480"/>
        <v>10183.333333333332</v>
      </c>
      <c r="V164" s="357">
        <f t="shared" si="480"/>
        <v>10725</v>
      </c>
      <c r="W164" s="357">
        <f t="shared" si="480"/>
        <v>10725</v>
      </c>
      <c r="X164" s="357">
        <f t="shared" si="480"/>
        <v>11419.444444444445</v>
      </c>
      <c r="Y164" s="357">
        <f t="shared" si="480"/>
        <v>11419.444444444445</v>
      </c>
      <c r="Z164" s="357">
        <f t="shared" si="480"/>
        <v>11419.444444444445</v>
      </c>
      <c r="AA164" s="357">
        <f t="shared" si="480"/>
        <v>11419.444444444445</v>
      </c>
      <c r="AB164" s="357">
        <f t="shared" si="480"/>
        <v>11419.444444444445</v>
      </c>
      <c r="AC164" s="357">
        <f t="shared" si="480"/>
        <v>11419.444444444445</v>
      </c>
      <c r="AD164" s="357">
        <f t="shared" si="480"/>
        <v>11419.444444444445</v>
      </c>
      <c r="AE164" s="357">
        <f t="shared" si="480"/>
        <v>0</v>
      </c>
      <c r="AF164" s="357">
        <f t="shared" si="480"/>
        <v>0</v>
      </c>
      <c r="AG164" s="357">
        <f t="shared" si="480"/>
        <v>0</v>
      </c>
    </row>
    <row r="165" spans="1:33" s="649" customFormat="1" ht="16.5" customHeight="1" outlineLevel="1">
      <c r="A165" s="434"/>
      <c r="B165" s="434"/>
      <c r="C165" s="732" t="s">
        <v>495</v>
      </c>
      <c r="D165" s="442"/>
      <c r="E165" s="449"/>
      <c r="F165" s="444"/>
      <c r="G165" s="444"/>
      <c r="H165" s="434"/>
      <c r="I165" s="434"/>
      <c r="J165" s="445"/>
      <c r="K165" s="445"/>
      <c r="L165" s="445"/>
      <c r="M165" s="445"/>
      <c r="N165" s="445"/>
      <c r="O165" s="445"/>
      <c r="P165" s="445"/>
      <c r="Q165" s="445"/>
      <c r="R165" s="445"/>
      <c r="S165" s="445"/>
      <c r="T165" s="445"/>
      <c r="U165" s="445"/>
      <c r="V165" s="445"/>
      <c r="W165" s="445"/>
      <c r="X165" s="445"/>
      <c r="Y165" s="445"/>
      <c r="Z165" s="445"/>
      <c r="AA165" s="445"/>
      <c r="AB165" s="445"/>
      <c r="AC165" s="445"/>
      <c r="AD165" s="445"/>
      <c r="AE165" s="445"/>
      <c r="AF165" s="445"/>
      <c r="AG165" s="445"/>
    </row>
    <row r="166" spans="1:33" s="704" customFormat="1" ht="16.5" customHeight="1" outlineLevel="1">
      <c r="A166" s="434"/>
      <c r="B166" s="434"/>
      <c r="C166" s="435" t="s">
        <v>494</v>
      </c>
      <c r="D166" s="436" t="str">
        <f>Currency_Label</f>
        <v>USD</v>
      </c>
      <c r="E166" s="449"/>
      <c r="F166" s="444"/>
      <c r="G166" s="444"/>
      <c r="H166" s="434"/>
      <c r="I166" s="71">
        <f>SUM(J166:AG166)</f>
        <v>0</v>
      </c>
      <c r="J166" s="357">
        <f>(J22+J55+J81+J107+J139)*J6</f>
        <v>0</v>
      </c>
      <c r="K166" s="357">
        <f t="shared" ref="K166:AG166" si="481">(K22+K55+K81+K107+K139)*K6</f>
        <v>0</v>
      </c>
      <c r="L166" s="357">
        <f t="shared" si="481"/>
        <v>0</v>
      </c>
      <c r="M166" s="357">
        <f t="shared" si="481"/>
        <v>0</v>
      </c>
      <c r="N166" s="357">
        <f t="shared" si="481"/>
        <v>0</v>
      </c>
      <c r="O166" s="357">
        <f t="shared" si="481"/>
        <v>0</v>
      </c>
      <c r="P166" s="357">
        <f t="shared" si="481"/>
        <v>0</v>
      </c>
      <c r="Q166" s="357">
        <f t="shared" si="481"/>
        <v>0</v>
      </c>
      <c r="R166" s="357">
        <f t="shared" si="481"/>
        <v>0</v>
      </c>
      <c r="S166" s="357">
        <f t="shared" si="481"/>
        <v>0</v>
      </c>
      <c r="T166" s="357">
        <f t="shared" si="481"/>
        <v>0</v>
      </c>
      <c r="U166" s="357">
        <f t="shared" si="481"/>
        <v>0</v>
      </c>
      <c r="V166" s="357">
        <f t="shared" si="481"/>
        <v>0</v>
      </c>
      <c r="W166" s="357">
        <f t="shared" si="481"/>
        <v>0</v>
      </c>
      <c r="X166" s="357">
        <f t="shared" si="481"/>
        <v>0</v>
      </c>
      <c r="Y166" s="357">
        <f t="shared" si="481"/>
        <v>0</v>
      </c>
      <c r="Z166" s="357">
        <f t="shared" si="481"/>
        <v>0</v>
      </c>
      <c r="AA166" s="357">
        <f t="shared" si="481"/>
        <v>0</v>
      </c>
      <c r="AB166" s="357">
        <f t="shared" si="481"/>
        <v>0</v>
      </c>
      <c r="AC166" s="357">
        <f t="shared" si="481"/>
        <v>0</v>
      </c>
      <c r="AD166" s="357">
        <f t="shared" si="481"/>
        <v>0</v>
      </c>
      <c r="AE166" s="357">
        <f t="shared" si="481"/>
        <v>0</v>
      </c>
      <c r="AF166" s="357">
        <f t="shared" si="481"/>
        <v>0</v>
      </c>
      <c r="AG166" s="357">
        <f t="shared" si="481"/>
        <v>0</v>
      </c>
    </row>
    <row r="167" spans="1:33" s="704" customFormat="1" ht="16.5" customHeight="1" outlineLevel="1">
      <c r="A167" s="434"/>
      <c r="B167" s="434"/>
      <c r="C167" s="732" t="s">
        <v>477</v>
      </c>
      <c r="D167" s="442"/>
      <c r="E167" s="449"/>
      <c r="F167" s="444"/>
      <c r="G167" s="444"/>
      <c r="H167" s="434"/>
      <c r="I167" s="434"/>
      <c r="J167" s="445"/>
      <c r="K167" s="445"/>
      <c r="L167" s="445"/>
      <c r="M167" s="445"/>
      <c r="N167" s="445"/>
      <c r="O167" s="445"/>
      <c r="P167" s="445"/>
      <c r="Q167" s="445"/>
      <c r="R167" s="445"/>
      <c r="S167" s="445"/>
      <c r="T167" s="445"/>
      <c r="U167" s="445"/>
      <c r="V167" s="445"/>
      <c r="W167" s="445"/>
      <c r="X167" s="445"/>
      <c r="Y167" s="445"/>
      <c r="Z167" s="445"/>
      <c r="AA167" s="445"/>
      <c r="AB167" s="445"/>
      <c r="AC167" s="445"/>
      <c r="AD167" s="445"/>
      <c r="AE167" s="445"/>
      <c r="AF167" s="445"/>
      <c r="AG167" s="445"/>
    </row>
    <row r="168" spans="1:33" s="649" customFormat="1" ht="16.5" customHeight="1" outlineLevel="1">
      <c r="A168" s="434"/>
      <c r="B168" s="434"/>
      <c r="C168" s="435" t="s">
        <v>475</v>
      </c>
      <c r="D168" s="436" t="str">
        <f>Currency_Label</f>
        <v>USD</v>
      </c>
      <c r="E168" s="449"/>
      <c r="F168" s="444"/>
      <c r="G168" s="444"/>
      <c r="H168" s="434"/>
      <c r="I168" s="71">
        <f>SUM(J168:AG168)</f>
        <v>40000</v>
      </c>
      <c r="J168" s="357">
        <f t="shared" ref="J168:AG168" si="482">(J24+J57+J83+J109+J141)*J6</f>
        <v>0</v>
      </c>
      <c r="K168" s="357">
        <f t="shared" si="482"/>
        <v>0</v>
      </c>
      <c r="L168" s="357">
        <f t="shared" si="482"/>
        <v>0</v>
      </c>
      <c r="M168" s="357">
        <f t="shared" si="482"/>
        <v>40000</v>
      </c>
      <c r="N168" s="357">
        <f t="shared" si="482"/>
        <v>0</v>
      </c>
      <c r="O168" s="357">
        <f t="shared" si="482"/>
        <v>0</v>
      </c>
      <c r="P168" s="357">
        <f t="shared" si="482"/>
        <v>0</v>
      </c>
      <c r="Q168" s="357">
        <f t="shared" si="482"/>
        <v>0</v>
      </c>
      <c r="R168" s="357">
        <f t="shared" si="482"/>
        <v>0</v>
      </c>
      <c r="S168" s="357">
        <f t="shared" si="482"/>
        <v>0</v>
      </c>
      <c r="T168" s="357">
        <f t="shared" si="482"/>
        <v>0</v>
      </c>
      <c r="U168" s="357">
        <f t="shared" si="482"/>
        <v>0</v>
      </c>
      <c r="V168" s="357">
        <f t="shared" si="482"/>
        <v>0</v>
      </c>
      <c r="W168" s="357">
        <f t="shared" si="482"/>
        <v>0</v>
      </c>
      <c r="X168" s="357">
        <f t="shared" si="482"/>
        <v>0</v>
      </c>
      <c r="Y168" s="357">
        <f t="shared" si="482"/>
        <v>0</v>
      </c>
      <c r="Z168" s="357">
        <f t="shared" si="482"/>
        <v>0</v>
      </c>
      <c r="AA168" s="357">
        <f t="shared" si="482"/>
        <v>0</v>
      </c>
      <c r="AB168" s="357">
        <f t="shared" si="482"/>
        <v>0</v>
      </c>
      <c r="AC168" s="357">
        <f t="shared" si="482"/>
        <v>0</v>
      </c>
      <c r="AD168" s="357">
        <f t="shared" si="482"/>
        <v>0</v>
      </c>
      <c r="AE168" s="357">
        <f t="shared" si="482"/>
        <v>0</v>
      </c>
      <c r="AF168" s="357">
        <f t="shared" si="482"/>
        <v>0</v>
      </c>
      <c r="AG168" s="357">
        <f t="shared" si="482"/>
        <v>0</v>
      </c>
    </row>
    <row r="169" spans="1:33" s="649" customFormat="1" ht="16.5" customHeight="1" outlineLevel="1">
      <c r="A169" s="434"/>
      <c r="B169" s="434"/>
      <c r="C169" s="435" t="s">
        <v>453</v>
      </c>
      <c r="D169" s="436" t="str">
        <f>Currency_Label</f>
        <v>USD</v>
      </c>
      <c r="E169" s="449"/>
      <c r="F169" s="444"/>
      <c r="G169" s="444"/>
      <c r="H169" s="434"/>
      <c r="I169" s="71">
        <f>SUM(J169:AG169)</f>
        <v>2125</v>
      </c>
      <c r="J169" s="357">
        <f t="shared" ref="J169:AG169" si="483">(J25+J58+J84+J110+J142)*J6</f>
        <v>0</v>
      </c>
      <c r="K169" s="357">
        <f t="shared" si="483"/>
        <v>0</v>
      </c>
      <c r="L169" s="357">
        <f t="shared" si="483"/>
        <v>0</v>
      </c>
      <c r="M169" s="357">
        <f t="shared" si="483"/>
        <v>0</v>
      </c>
      <c r="N169" s="357">
        <f t="shared" si="483"/>
        <v>125</v>
      </c>
      <c r="O169" s="357">
        <f t="shared" si="483"/>
        <v>125</v>
      </c>
      <c r="P169" s="357">
        <f t="shared" si="483"/>
        <v>125</v>
      </c>
      <c r="Q169" s="357">
        <f t="shared" si="483"/>
        <v>125</v>
      </c>
      <c r="R169" s="357">
        <f t="shared" si="483"/>
        <v>125</v>
      </c>
      <c r="S169" s="357">
        <f t="shared" si="483"/>
        <v>125</v>
      </c>
      <c r="T169" s="357">
        <f t="shared" si="483"/>
        <v>125</v>
      </c>
      <c r="U169" s="357">
        <f t="shared" si="483"/>
        <v>125</v>
      </c>
      <c r="V169" s="357">
        <f t="shared" si="483"/>
        <v>125</v>
      </c>
      <c r="W169" s="357">
        <f t="shared" si="483"/>
        <v>125</v>
      </c>
      <c r="X169" s="357">
        <f t="shared" si="483"/>
        <v>125</v>
      </c>
      <c r="Y169" s="357">
        <f t="shared" si="483"/>
        <v>125</v>
      </c>
      <c r="Z169" s="357">
        <f t="shared" si="483"/>
        <v>125</v>
      </c>
      <c r="AA169" s="357">
        <f t="shared" si="483"/>
        <v>125</v>
      </c>
      <c r="AB169" s="357">
        <f t="shared" si="483"/>
        <v>125</v>
      </c>
      <c r="AC169" s="357">
        <f t="shared" si="483"/>
        <v>125</v>
      </c>
      <c r="AD169" s="357">
        <f t="shared" si="483"/>
        <v>125</v>
      </c>
      <c r="AE169" s="357">
        <f t="shared" si="483"/>
        <v>0</v>
      </c>
      <c r="AF169" s="357">
        <f t="shared" si="483"/>
        <v>0</v>
      </c>
      <c r="AG169" s="357">
        <f t="shared" si="483"/>
        <v>0</v>
      </c>
    </row>
    <row r="170" spans="1:33" s="649" customFormat="1" ht="16.5" customHeight="1" outlineLevel="1">
      <c r="A170" s="434"/>
      <c r="B170" s="434"/>
      <c r="C170" s="435" t="s">
        <v>454</v>
      </c>
      <c r="D170" s="436" t="str">
        <f>Currency_Label</f>
        <v>USD</v>
      </c>
      <c r="E170" s="449"/>
      <c r="F170" s="444"/>
      <c r="G170" s="444"/>
      <c r="H170" s="434"/>
      <c r="I170" s="71">
        <f>SUM(J170:AG170)</f>
        <v>2750</v>
      </c>
      <c r="J170" s="357">
        <f t="shared" ref="J170:AG170" si="484">(J26+J59+J85+J111+J143)*J6</f>
        <v>0</v>
      </c>
      <c r="K170" s="357">
        <f t="shared" si="484"/>
        <v>0</v>
      </c>
      <c r="L170" s="357">
        <f t="shared" si="484"/>
        <v>0</v>
      </c>
      <c r="M170" s="357">
        <f t="shared" si="484"/>
        <v>0</v>
      </c>
      <c r="N170" s="357">
        <f t="shared" si="484"/>
        <v>0</v>
      </c>
      <c r="O170" s="357">
        <f t="shared" si="484"/>
        <v>0</v>
      </c>
      <c r="P170" s="357">
        <f t="shared" si="484"/>
        <v>1250</v>
      </c>
      <c r="Q170" s="357">
        <f t="shared" si="484"/>
        <v>0</v>
      </c>
      <c r="R170" s="357">
        <f t="shared" si="484"/>
        <v>0</v>
      </c>
      <c r="S170" s="357">
        <f t="shared" si="484"/>
        <v>0</v>
      </c>
      <c r="T170" s="357">
        <f t="shared" si="484"/>
        <v>0</v>
      </c>
      <c r="U170" s="357">
        <f t="shared" si="484"/>
        <v>0</v>
      </c>
      <c r="V170" s="357">
        <f t="shared" si="484"/>
        <v>0</v>
      </c>
      <c r="W170" s="357">
        <f t="shared" si="484"/>
        <v>0</v>
      </c>
      <c r="X170" s="357">
        <f t="shared" si="484"/>
        <v>0</v>
      </c>
      <c r="Y170" s="357">
        <f t="shared" si="484"/>
        <v>0</v>
      </c>
      <c r="Z170" s="357">
        <f t="shared" si="484"/>
        <v>0</v>
      </c>
      <c r="AA170" s="357">
        <f t="shared" si="484"/>
        <v>0</v>
      </c>
      <c r="AB170" s="357">
        <f t="shared" si="484"/>
        <v>1500</v>
      </c>
      <c r="AC170" s="357">
        <f t="shared" si="484"/>
        <v>0</v>
      </c>
      <c r="AD170" s="357">
        <f t="shared" si="484"/>
        <v>0</v>
      </c>
      <c r="AE170" s="357">
        <f t="shared" si="484"/>
        <v>0</v>
      </c>
      <c r="AF170" s="357">
        <f t="shared" si="484"/>
        <v>0</v>
      </c>
      <c r="AG170" s="357">
        <f t="shared" si="484"/>
        <v>0</v>
      </c>
    </row>
    <row r="171" spans="1:33" s="649" customFormat="1" ht="16.5" customHeight="1" outlineLevel="1">
      <c r="A171" s="434"/>
      <c r="B171" s="434"/>
      <c r="C171" s="732" t="s">
        <v>490</v>
      </c>
      <c r="D171" s="342"/>
      <c r="E171" s="287"/>
      <c r="F171" s="287"/>
      <c r="G171" s="287"/>
      <c r="H171" s="287"/>
      <c r="I171" s="287"/>
      <c r="J171" s="287"/>
      <c r="K171" s="445"/>
      <c r="L171" s="445"/>
      <c r="M171" s="445"/>
      <c r="N171" s="445"/>
      <c r="O171" s="445"/>
      <c r="P171" s="445"/>
      <c r="Q171" s="445"/>
      <c r="R171" s="445"/>
      <c r="S171" s="445"/>
      <c r="T171" s="445"/>
      <c r="U171" s="445"/>
      <c r="V171" s="445"/>
      <c r="W171" s="445"/>
      <c r="X171" s="445"/>
      <c r="Y171" s="445"/>
      <c r="Z171" s="445"/>
      <c r="AA171" s="445"/>
      <c r="AB171" s="445"/>
      <c r="AC171" s="445"/>
      <c r="AD171" s="445"/>
      <c r="AE171" s="445"/>
      <c r="AF171" s="445"/>
      <c r="AG171" s="445"/>
    </row>
    <row r="172" spans="1:33" s="704" customFormat="1" ht="16.5" customHeight="1" outlineLevel="1">
      <c r="A172" s="434"/>
      <c r="B172" s="434"/>
      <c r="C172" s="704" t="s">
        <v>140</v>
      </c>
      <c r="D172" s="8" t="str">
        <f>Currency_Label</f>
        <v>USD</v>
      </c>
      <c r="E172" s="287"/>
      <c r="F172" s="287"/>
      <c r="G172" s="287"/>
      <c r="H172" s="287"/>
      <c r="I172" s="287"/>
      <c r="J172" s="720">
        <f t="shared" ref="J172:AG172" si="485">I175*J6</f>
        <v>0</v>
      </c>
      <c r="K172" s="720">
        <f t="shared" si="485"/>
        <v>0</v>
      </c>
      <c r="L172" s="720">
        <f t="shared" si="485"/>
        <v>0</v>
      </c>
      <c r="M172" s="720">
        <f t="shared" si="485"/>
        <v>0</v>
      </c>
      <c r="N172" s="720">
        <f t="shared" si="485"/>
        <v>40000</v>
      </c>
      <c r="O172" s="720">
        <f t="shared" si="485"/>
        <v>40000</v>
      </c>
      <c r="P172" s="720">
        <f t="shared" si="485"/>
        <v>40000</v>
      </c>
      <c r="Q172" s="720">
        <f t="shared" si="485"/>
        <v>38750</v>
      </c>
      <c r="R172" s="720">
        <f t="shared" si="485"/>
        <v>38750</v>
      </c>
      <c r="S172" s="720">
        <f t="shared" si="485"/>
        <v>38750</v>
      </c>
      <c r="T172" s="720">
        <f t="shared" si="485"/>
        <v>38750</v>
      </c>
      <c r="U172" s="720">
        <f t="shared" si="485"/>
        <v>38750</v>
      </c>
      <c r="V172" s="720">
        <f t="shared" si="485"/>
        <v>38750</v>
      </c>
      <c r="W172" s="720">
        <f t="shared" si="485"/>
        <v>38750</v>
      </c>
      <c r="X172" s="720">
        <f t="shared" si="485"/>
        <v>38750</v>
      </c>
      <c r="Y172" s="720">
        <f t="shared" si="485"/>
        <v>38750</v>
      </c>
      <c r="Z172" s="720">
        <f t="shared" si="485"/>
        <v>38750</v>
      </c>
      <c r="AA172" s="720">
        <f t="shared" si="485"/>
        <v>38750</v>
      </c>
      <c r="AB172" s="720">
        <f t="shared" si="485"/>
        <v>38750</v>
      </c>
      <c r="AC172" s="720">
        <f t="shared" si="485"/>
        <v>37250</v>
      </c>
      <c r="AD172" s="720">
        <f t="shared" si="485"/>
        <v>37250</v>
      </c>
      <c r="AE172" s="720">
        <f t="shared" si="485"/>
        <v>0</v>
      </c>
      <c r="AF172" s="720">
        <f t="shared" si="485"/>
        <v>0</v>
      </c>
      <c r="AG172" s="720">
        <f t="shared" si="485"/>
        <v>0</v>
      </c>
    </row>
    <row r="173" spans="1:33" s="704" customFormat="1" ht="16.5" customHeight="1" outlineLevel="1">
      <c r="A173" s="434"/>
      <c r="B173" s="434"/>
      <c r="C173" s="40" t="s">
        <v>491</v>
      </c>
      <c r="D173" s="8" t="str">
        <f>Currency_Label</f>
        <v>USD</v>
      </c>
      <c r="E173" s="287"/>
      <c r="F173" s="287"/>
      <c r="G173" s="287"/>
      <c r="H173" s="287"/>
      <c r="I173" s="71">
        <f>SUM(J173:AG173)</f>
        <v>40000</v>
      </c>
      <c r="J173" s="722">
        <f>J168</f>
        <v>0</v>
      </c>
      <c r="K173" s="722">
        <f t="shared" ref="K173:AG173" si="486">K168</f>
        <v>0</v>
      </c>
      <c r="L173" s="722">
        <f t="shared" si="486"/>
        <v>0</v>
      </c>
      <c r="M173" s="722">
        <f t="shared" si="486"/>
        <v>40000</v>
      </c>
      <c r="N173" s="722">
        <f t="shared" si="486"/>
        <v>0</v>
      </c>
      <c r="O173" s="722">
        <f t="shared" si="486"/>
        <v>0</v>
      </c>
      <c r="P173" s="722">
        <f t="shared" si="486"/>
        <v>0</v>
      </c>
      <c r="Q173" s="722">
        <f t="shared" si="486"/>
        <v>0</v>
      </c>
      <c r="R173" s="722">
        <f t="shared" si="486"/>
        <v>0</v>
      </c>
      <c r="S173" s="722">
        <f t="shared" si="486"/>
        <v>0</v>
      </c>
      <c r="T173" s="722">
        <f t="shared" si="486"/>
        <v>0</v>
      </c>
      <c r="U173" s="722">
        <f t="shared" si="486"/>
        <v>0</v>
      </c>
      <c r="V173" s="722">
        <f t="shared" si="486"/>
        <v>0</v>
      </c>
      <c r="W173" s="722">
        <f t="shared" si="486"/>
        <v>0</v>
      </c>
      <c r="X173" s="722">
        <f t="shared" si="486"/>
        <v>0</v>
      </c>
      <c r="Y173" s="722">
        <f t="shared" si="486"/>
        <v>0</v>
      </c>
      <c r="Z173" s="722">
        <f t="shared" si="486"/>
        <v>0</v>
      </c>
      <c r="AA173" s="722">
        <f t="shared" si="486"/>
        <v>0</v>
      </c>
      <c r="AB173" s="722">
        <f t="shared" si="486"/>
        <v>0</v>
      </c>
      <c r="AC173" s="722">
        <f t="shared" si="486"/>
        <v>0</v>
      </c>
      <c r="AD173" s="722">
        <f t="shared" si="486"/>
        <v>0</v>
      </c>
      <c r="AE173" s="722">
        <f t="shared" si="486"/>
        <v>0</v>
      </c>
      <c r="AF173" s="722">
        <f t="shared" si="486"/>
        <v>0</v>
      </c>
      <c r="AG173" s="722">
        <f t="shared" si="486"/>
        <v>0</v>
      </c>
    </row>
    <row r="174" spans="1:33" s="704" customFormat="1" ht="16.5" customHeight="1" outlineLevel="1">
      <c r="A174" s="434"/>
      <c r="B174" s="434"/>
      <c r="C174" s="40" t="s">
        <v>492</v>
      </c>
      <c r="D174" s="8" t="str">
        <f>Currency_Label</f>
        <v>USD</v>
      </c>
      <c r="E174" s="287"/>
      <c r="F174" s="287"/>
      <c r="G174" s="287"/>
      <c r="H174" s="287"/>
      <c r="I174" s="71">
        <f>SUM(J174:AG174)</f>
        <v>-2750</v>
      </c>
      <c r="J174" s="720">
        <f>-J170</f>
        <v>0</v>
      </c>
      <c r="K174" s="720">
        <f t="shared" ref="K174:AG174" si="487">-K170</f>
        <v>0</v>
      </c>
      <c r="L174" s="720">
        <f t="shared" si="487"/>
        <v>0</v>
      </c>
      <c r="M174" s="720">
        <f t="shared" si="487"/>
        <v>0</v>
      </c>
      <c r="N174" s="720">
        <f t="shared" si="487"/>
        <v>0</v>
      </c>
      <c r="O174" s="720">
        <f t="shared" si="487"/>
        <v>0</v>
      </c>
      <c r="P174" s="720">
        <f t="shared" si="487"/>
        <v>-1250</v>
      </c>
      <c r="Q174" s="720">
        <f t="shared" si="487"/>
        <v>0</v>
      </c>
      <c r="R174" s="720">
        <f t="shared" si="487"/>
        <v>0</v>
      </c>
      <c r="S174" s="720">
        <f t="shared" si="487"/>
        <v>0</v>
      </c>
      <c r="T174" s="720">
        <f t="shared" si="487"/>
        <v>0</v>
      </c>
      <c r="U174" s="720">
        <f t="shared" si="487"/>
        <v>0</v>
      </c>
      <c r="V174" s="720">
        <f t="shared" si="487"/>
        <v>0</v>
      </c>
      <c r="W174" s="720">
        <f t="shared" si="487"/>
        <v>0</v>
      </c>
      <c r="X174" s="720">
        <f t="shared" si="487"/>
        <v>0</v>
      </c>
      <c r="Y174" s="720">
        <f t="shared" si="487"/>
        <v>0</v>
      </c>
      <c r="Z174" s="720">
        <f t="shared" si="487"/>
        <v>0</v>
      </c>
      <c r="AA174" s="720">
        <f t="shared" si="487"/>
        <v>0</v>
      </c>
      <c r="AB174" s="720">
        <f t="shared" si="487"/>
        <v>-1500</v>
      </c>
      <c r="AC174" s="720">
        <f t="shared" si="487"/>
        <v>0</v>
      </c>
      <c r="AD174" s="720">
        <f t="shared" si="487"/>
        <v>0</v>
      </c>
      <c r="AE174" s="720">
        <f t="shared" si="487"/>
        <v>0</v>
      </c>
      <c r="AF174" s="720">
        <f t="shared" si="487"/>
        <v>0</v>
      </c>
      <c r="AG174" s="720">
        <f t="shared" si="487"/>
        <v>0</v>
      </c>
    </row>
    <row r="175" spans="1:33" s="704" customFormat="1" ht="16.5" customHeight="1" outlineLevel="1" thickBot="1">
      <c r="A175" s="434"/>
      <c r="B175" s="434"/>
      <c r="C175" s="704" t="s">
        <v>141</v>
      </c>
      <c r="D175" s="8" t="str">
        <f>Currency_Label</f>
        <v>USD</v>
      </c>
      <c r="E175" s="287"/>
      <c r="F175" s="287"/>
      <c r="G175" s="287"/>
      <c r="H175" s="287"/>
      <c r="I175" s="123"/>
      <c r="J175" s="524">
        <f>SUM(J172:J174)</f>
        <v>0</v>
      </c>
      <c r="K175" s="524">
        <f t="shared" ref="K175:AG175" si="488">SUM(K172:K174)</f>
        <v>0</v>
      </c>
      <c r="L175" s="524">
        <f t="shared" si="488"/>
        <v>0</v>
      </c>
      <c r="M175" s="524">
        <f t="shared" si="488"/>
        <v>40000</v>
      </c>
      <c r="N175" s="524">
        <f t="shared" si="488"/>
        <v>40000</v>
      </c>
      <c r="O175" s="524">
        <f t="shared" si="488"/>
        <v>40000</v>
      </c>
      <c r="P175" s="524">
        <f t="shared" si="488"/>
        <v>38750</v>
      </c>
      <c r="Q175" s="524">
        <f t="shared" si="488"/>
        <v>38750</v>
      </c>
      <c r="R175" s="524">
        <f t="shared" si="488"/>
        <v>38750</v>
      </c>
      <c r="S175" s="524">
        <f t="shared" si="488"/>
        <v>38750</v>
      </c>
      <c r="T175" s="524">
        <f t="shared" si="488"/>
        <v>38750</v>
      </c>
      <c r="U175" s="524">
        <f t="shared" si="488"/>
        <v>38750</v>
      </c>
      <c r="V175" s="524">
        <f t="shared" si="488"/>
        <v>38750</v>
      </c>
      <c r="W175" s="524">
        <f t="shared" si="488"/>
        <v>38750</v>
      </c>
      <c r="X175" s="524">
        <f t="shared" si="488"/>
        <v>38750</v>
      </c>
      <c r="Y175" s="524">
        <f t="shared" si="488"/>
        <v>38750</v>
      </c>
      <c r="Z175" s="524">
        <f t="shared" si="488"/>
        <v>38750</v>
      </c>
      <c r="AA175" s="524">
        <f t="shared" si="488"/>
        <v>38750</v>
      </c>
      <c r="AB175" s="524">
        <f t="shared" si="488"/>
        <v>37250</v>
      </c>
      <c r="AC175" s="524">
        <f t="shared" si="488"/>
        <v>37250</v>
      </c>
      <c r="AD175" s="524">
        <f t="shared" si="488"/>
        <v>37250</v>
      </c>
      <c r="AE175" s="524">
        <f t="shared" si="488"/>
        <v>0</v>
      </c>
      <c r="AF175" s="524">
        <f t="shared" si="488"/>
        <v>0</v>
      </c>
      <c r="AG175" s="524">
        <f t="shared" si="488"/>
        <v>0</v>
      </c>
    </row>
    <row r="176" spans="1:33" s="704" customFormat="1" ht="16.5" customHeight="1" outlineLevel="1" thickTop="1">
      <c r="A176" s="434"/>
      <c r="B176" s="434"/>
      <c r="C176" s="732" t="str">
        <f>CHOOSE(language,"Sale of non-current (fixed) assets","Disposal of non-current (fixed) assets")</f>
        <v>Disposal of non-current (fixed) assets</v>
      </c>
      <c r="D176" s="442"/>
      <c r="E176" s="449"/>
      <c r="F176" s="444"/>
      <c r="G176" s="444"/>
      <c r="H176" s="434"/>
      <c r="I176" s="434"/>
      <c r="J176" s="445"/>
      <c r="K176" s="445"/>
      <c r="L176" s="445"/>
      <c r="M176" s="445"/>
      <c r="N176" s="445"/>
      <c r="O176" s="445"/>
      <c r="P176" s="445"/>
      <c r="Q176" s="445"/>
      <c r="R176" s="445"/>
      <c r="S176" s="445"/>
      <c r="T176" s="445"/>
      <c r="U176" s="445"/>
      <c r="V176" s="445"/>
      <c r="W176" s="445"/>
      <c r="X176" s="445"/>
      <c r="Y176" s="445"/>
      <c r="Z176" s="445"/>
      <c r="AA176" s="445"/>
      <c r="AB176" s="445"/>
      <c r="AC176" s="445"/>
      <c r="AD176" s="445"/>
      <c r="AE176" s="445"/>
      <c r="AF176" s="445"/>
      <c r="AG176" s="445"/>
    </row>
    <row r="177" spans="1:33" s="649" customFormat="1" ht="16.5" customHeight="1" outlineLevel="1">
      <c r="A177" s="434"/>
      <c r="B177" s="434"/>
      <c r="C177" s="435" t="s">
        <v>455</v>
      </c>
      <c r="D177" s="436" t="str">
        <f>Currency_Label</f>
        <v>USD</v>
      </c>
      <c r="E177" s="449"/>
      <c r="F177" s="444"/>
      <c r="G177" s="444"/>
      <c r="H177" s="434"/>
      <c r="I177" s="71">
        <f>SUM(J177:AG177)</f>
        <v>0</v>
      </c>
      <c r="J177" s="357">
        <f t="shared" ref="J177:AG177" si="489">(J28+J61+J87+J113+J145)*J6</f>
        <v>0</v>
      </c>
      <c r="K177" s="357">
        <f t="shared" si="489"/>
        <v>0</v>
      </c>
      <c r="L177" s="357">
        <f t="shared" si="489"/>
        <v>0</v>
      </c>
      <c r="M177" s="357">
        <f t="shared" si="489"/>
        <v>0</v>
      </c>
      <c r="N177" s="357">
        <f t="shared" si="489"/>
        <v>0</v>
      </c>
      <c r="O177" s="357">
        <f t="shared" si="489"/>
        <v>0</v>
      </c>
      <c r="P177" s="357">
        <f t="shared" si="489"/>
        <v>0</v>
      </c>
      <c r="Q177" s="357">
        <f t="shared" si="489"/>
        <v>0</v>
      </c>
      <c r="R177" s="357">
        <f t="shared" si="489"/>
        <v>0</v>
      </c>
      <c r="S177" s="357">
        <f t="shared" si="489"/>
        <v>0</v>
      </c>
      <c r="T177" s="357">
        <f t="shared" si="489"/>
        <v>0</v>
      </c>
      <c r="U177" s="357">
        <f t="shared" si="489"/>
        <v>0</v>
      </c>
      <c r="V177" s="357">
        <f t="shared" ref="V177:Y177" si="490">(V28+V61+V87+V113+V145)*V6</f>
        <v>0</v>
      </c>
      <c r="W177" s="357">
        <f t="shared" si="490"/>
        <v>0</v>
      </c>
      <c r="X177" s="357">
        <f t="shared" si="490"/>
        <v>0</v>
      </c>
      <c r="Y177" s="357">
        <f t="shared" si="490"/>
        <v>0</v>
      </c>
      <c r="Z177" s="357">
        <f t="shared" si="489"/>
        <v>0</v>
      </c>
      <c r="AA177" s="357">
        <f t="shared" si="489"/>
        <v>0</v>
      </c>
      <c r="AB177" s="357">
        <f t="shared" si="489"/>
        <v>0</v>
      </c>
      <c r="AC177" s="357">
        <f t="shared" si="489"/>
        <v>0</v>
      </c>
      <c r="AD177" s="357">
        <f t="shared" si="489"/>
        <v>0</v>
      </c>
      <c r="AE177" s="357">
        <f t="shared" si="489"/>
        <v>0</v>
      </c>
      <c r="AF177" s="357">
        <f t="shared" si="489"/>
        <v>0</v>
      </c>
      <c r="AG177" s="357">
        <f t="shared" si="489"/>
        <v>0</v>
      </c>
    </row>
    <row r="178" spans="1:33" s="649" customFormat="1" ht="16.5" customHeight="1" outlineLevel="1">
      <c r="A178" s="434"/>
      <c r="B178" s="434"/>
      <c r="C178" s="435" t="s">
        <v>456</v>
      </c>
      <c r="D178" s="436" t="str">
        <f>Currency_Label</f>
        <v>USD</v>
      </c>
      <c r="E178" s="449"/>
      <c r="F178" s="444"/>
      <c r="G178" s="444"/>
      <c r="H178" s="434"/>
      <c r="I178" s="71">
        <f>SUM(J178:AG178)</f>
        <v>0</v>
      </c>
      <c r="J178" s="357">
        <f t="shared" ref="J178:AG178" si="491">(J29+J62+J88+J114+J146)*J6</f>
        <v>0</v>
      </c>
      <c r="K178" s="357">
        <f t="shared" si="491"/>
        <v>0</v>
      </c>
      <c r="L178" s="357">
        <f t="shared" si="491"/>
        <v>0</v>
      </c>
      <c r="M178" s="357">
        <f t="shared" si="491"/>
        <v>0</v>
      </c>
      <c r="N178" s="357">
        <f t="shared" si="491"/>
        <v>0</v>
      </c>
      <c r="O178" s="357">
        <f t="shared" si="491"/>
        <v>0</v>
      </c>
      <c r="P178" s="357">
        <f t="shared" si="491"/>
        <v>0</v>
      </c>
      <c r="Q178" s="357">
        <f t="shared" si="491"/>
        <v>0</v>
      </c>
      <c r="R178" s="357">
        <f t="shared" si="491"/>
        <v>0</v>
      </c>
      <c r="S178" s="357">
        <f t="shared" si="491"/>
        <v>0</v>
      </c>
      <c r="T178" s="357">
        <f t="shared" si="491"/>
        <v>0</v>
      </c>
      <c r="U178" s="357">
        <f t="shared" si="491"/>
        <v>0</v>
      </c>
      <c r="V178" s="357">
        <f t="shared" ref="V178:Y178" si="492">(V29+V62+V88+V114+V146)*V6</f>
        <v>0</v>
      </c>
      <c r="W178" s="357">
        <f t="shared" si="492"/>
        <v>0</v>
      </c>
      <c r="X178" s="357">
        <f t="shared" si="492"/>
        <v>0</v>
      </c>
      <c r="Y178" s="357">
        <f t="shared" si="492"/>
        <v>0</v>
      </c>
      <c r="Z178" s="357">
        <f t="shared" si="491"/>
        <v>0</v>
      </c>
      <c r="AA178" s="357">
        <f t="shared" si="491"/>
        <v>0</v>
      </c>
      <c r="AB178" s="357">
        <f t="shared" si="491"/>
        <v>0</v>
      </c>
      <c r="AC178" s="357">
        <f t="shared" si="491"/>
        <v>0</v>
      </c>
      <c r="AD178" s="357">
        <f t="shared" si="491"/>
        <v>0</v>
      </c>
      <c r="AE178" s="357">
        <f t="shared" si="491"/>
        <v>0</v>
      </c>
      <c r="AF178" s="357">
        <f t="shared" si="491"/>
        <v>0</v>
      </c>
      <c r="AG178" s="357">
        <f t="shared" si="491"/>
        <v>0</v>
      </c>
    </row>
    <row r="179" spans="1:33" s="649" customFormat="1" ht="16.5" customHeight="1" outlineLevel="1">
      <c r="A179" s="434"/>
      <c r="B179" s="434"/>
      <c r="C179" s="435" t="s">
        <v>478</v>
      </c>
      <c r="D179" s="436" t="str">
        <f>Currency_Label</f>
        <v>USD</v>
      </c>
      <c r="E179" s="449"/>
      <c r="F179" s="444"/>
      <c r="G179" s="444"/>
      <c r="H179" s="434"/>
      <c r="I179" s="71">
        <f>SUM(J179:AG179)</f>
        <v>0</v>
      </c>
      <c r="J179" s="357">
        <f t="shared" ref="J179:AG179" si="493">(J30+J63+J89+J115+J147)*J6</f>
        <v>0</v>
      </c>
      <c r="K179" s="357">
        <f t="shared" si="493"/>
        <v>0</v>
      </c>
      <c r="L179" s="357">
        <f t="shared" si="493"/>
        <v>0</v>
      </c>
      <c r="M179" s="357">
        <f t="shared" si="493"/>
        <v>0</v>
      </c>
      <c r="N179" s="357">
        <f t="shared" si="493"/>
        <v>0</v>
      </c>
      <c r="O179" s="357">
        <f t="shared" si="493"/>
        <v>0</v>
      </c>
      <c r="P179" s="357">
        <f t="shared" si="493"/>
        <v>0</v>
      </c>
      <c r="Q179" s="357">
        <f t="shared" si="493"/>
        <v>0</v>
      </c>
      <c r="R179" s="357">
        <f t="shared" si="493"/>
        <v>0</v>
      </c>
      <c r="S179" s="357">
        <f t="shared" si="493"/>
        <v>0</v>
      </c>
      <c r="T179" s="357">
        <f t="shared" si="493"/>
        <v>0</v>
      </c>
      <c r="U179" s="357">
        <f t="shared" si="493"/>
        <v>0</v>
      </c>
      <c r="V179" s="357">
        <f t="shared" ref="V179:Y179" si="494">(V30+V63+V89+V115+V147)*V6</f>
        <v>0</v>
      </c>
      <c r="W179" s="357">
        <f t="shared" si="494"/>
        <v>0</v>
      </c>
      <c r="X179" s="357">
        <f t="shared" si="494"/>
        <v>0</v>
      </c>
      <c r="Y179" s="357">
        <f t="shared" si="494"/>
        <v>0</v>
      </c>
      <c r="Z179" s="357">
        <f t="shared" si="493"/>
        <v>0</v>
      </c>
      <c r="AA179" s="357">
        <f t="shared" si="493"/>
        <v>0</v>
      </c>
      <c r="AB179" s="357">
        <f t="shared" si="493"/>
        <v>0</v>
      </c>
      <c r="AC179" s="357">
        <f t="shared" si="493"/>
        <v>0</v>
      </c>
      <c r="AD179" s="357">
        <f t="shared" si="493"/>
        <v>0</v>
      </c>
      <c r="AE179" s="357">
        <f t="shared" si="493"/>
        <v>0</v>
      </c>
      <c r="AF179" s="357">
        <f t="shared" si="493"/>
        <v>0</v>
      </c>
      <c r="AG179" s="357">
        <f t="shared" si="493"/>
        <v>0</v>
      </c>
    </row>
    <row r="180" spans="1:33" s="649" customFormat="1" ht="16.5" customHeight="1" outlineLevel="1">
      <c r="A180" s="434"/>
      <c r="B180" s="434"/>
      <c r="C180" s="435" t="str">
        <f>CHOOSE(language,"Profit/Loss sale of fixed assets","Profit/Loss disposal of fixed assets")</f>
        <v>Profit/Loss disposal of fixed assets</v>
      </c>
      <c r="D180" s="436" t="str">
        <f>Currency_Label</f>
        <v>USD</v>
      </c>
      <c r="E180" s="449"/>
      <c r="F180" s="444"/>
      <c r="G180" s="444"/>
      <c r="H180" s="434"/>
      <c r="I180" s="71">
        <f>SUM(J180:AG180)</f>
        <v>0</v>
      </c>
      <c r="J180" s="357">
        <f t="shared" ref="J180:AG180" si="495">(J177-J178+J179)*H6</f>
        <v>0</v>
      </c>
      <c r="K180" s="357">
        <f t="shared" si="495"/>
        <v>0</v>
      </c>
      <c r="L180" s="357">
        <f t="shared" si="495"/>
        <v>0</v>
      </c>
      <c r="M180" s="357">
        <f t="shared" si="495"/>
        <v>0</v>
      </c>
      <c r="N180" s="357">
        <f t="shared" si="495"/>
        <v>0</v>
      </c>
      <c r="O180" s="357">
        <f t="shared" si="495"/>
        <v>0</v>
      </c>
      <c r="P180" s="357">
        <f t="shared" si="495"/>
        <v>0</v>
      </c>
      <c r="Q180" s="357">
        <f t="shared" si="495"/>
        <v>0</v>
      </c>
      <c r="R180" s="357">
        <f t="shared" si="495"/>
        <v>0</v>
      </c>
      <c r="S180" s="357">
        <f t="shared" si="495"/>
        <v>0</v>
      </c>
      <c r="T180" s="357">
        <f t="shared" si="495"/>
        <v>0</v>
      </c>
      <c r="U180" s="357">
        <f t="shared" si="495"/>
        <v>0</v>
      </c>
      <c r="V180" s="357">
        <f t="shared" ref="V180" si="496">(V177-V178+V179)*T6</f>
        <v>0</v>
      </c>
      <c r="W180" s="357">
        <f t="shared" ref="W180" si="497">(W177-W178+W179)*U6</f>
        <v>0</v>
      </c>
      <c r="X180" s="357">
        <f t="shared" ref="X180" si="498">(X177-X178+X179)*V6</f>
        <v>0</v>
      </c>
      <c r="Y180" s="357">
        <f t="shared" ref="Y180" si="499">(Y177-Y178+Y179)*W6</f>
        <v>0</v>
      </c>
      <c r="Z180" s="357">
        <f t="shared" si="495"/>
        <v>0</v>
      </c>
      <c r="AA180" s="357">
        <f t="shared" si="495"/>
        <v>0</v>
      </c>
      <c r="AB180" s="357">
        <f t="shared" si="495"/>
        <v>0</v>
      </c>
      <c r="AC180" s="357">
        <f t="shared" si="495"/>
        <v>0</v>
      </c>
      <c r="AD180" s="357">
        <f t="shared" si="495"/>
        <v>0</v>
      </c>
      <c r="AE180" s="357">
        <f t="shared" si="495"/>
        <v>0</v>
      </c>
      <c r="AF180" s="357">
        <f t="shared" si="495"/>
        <v>0</v>
      </c>
      <c r="AG180" s="357">
        <f t="shared" si="495"/>
        <v>0</v>
      </c>
    </row>
    <row r="181" spans="1:33" s="649" customFormat="1" ht="16.5" customHeight="1" outlineLevel="1">
      <c r="A181" s="434"/>
      <c r="B181" s="434"/>
      <c r="C181" s="732" t="str">
        <f>Name_VAT</f>
        <v>VAT</v>
      </c>
      <c r="D181" s="442"/>
      <c r="E181" s="449"/>
      <c r="F181" s="444"/>
      <c r="G181" s="444"/>
      <c r="H181" s="434"/>
      <c r="I181" s="434"/>
      <c r="J181" s="445"/>
      <c r="K181" s="445"/>
      <c r="L181" s="432"/>
      <c r="M181" s="432"/>
      <c r="N181" s="432"/>
      <c r="O181" s="432"/>
      <c r="P181" s="432"/>
      <c r="Q181" s="432"/>
      <c r="R181" s="432"/>
      <c r="S181" s="432"/>
      <c r="T181" s="432"/>
      <c r="U181" s="432"/>
      <c r="V181" s="432"/>
      <c r="W181" s="432"/>
      <c r="X181" s="432"/>
      <c r="Y181" s="432"/>
      <c r="Z181" s="432"/>
      <c r="AA181" s="432"/>
      <c r="AB181" s="432"/>
      <c r="AC181" s="432"/>
      <c r="AD181" s="432"/>
      <c r="AE181" s="432"/>
      <c r="AF181" s="432"/>
      <c r="AG181" s="432"/>
    </row>
    <row r="182" spans="1:33" s="649" customFormat="1" ht="16.5" customHeight="1" outlineLevel="1">
      <c r="A182" s="434"/>
      <c r="B182" s="434"/>
      <c r="C182" s="435" t="str">
        <f>Name_VAT &amp;" on non-current (fixed) assets"</f>
        <v>VAT on non-current (fixed) assets</v>
      </c>
      <c r="D182" s="436" t="str">
        <f>Currency_Label</f>
        <v>USD</v>
      </c>
      <c r="E182" s="449"/>
      <c r="F182" s="444"/>
      <c r="G182" s="444"/>
      <c r="H182" s="434"/>
      <c r="I182" s="71">
        <f>SUM(J182:AG182)</f>
        <v>64800</v>
      </c>
      <c r="J182" s="357">
        <f t="shared" ref="J182:AG182" si="500">(J32+J65+J91+J117+J149)*J6</f>
        <v>9000</v>
      </c>
      <c r="K182" s="357">
        <f t="shared" si="500"/>
        <v>35200</v>
      </c>
      <c r="L182" s="357">
        <f t="shared" si="500"/>
        <v>0</v>
      </c>
      <c r="M182" s="357">
        <f t="shared" si="500"/>
        <v>6400</v>
      </c>
      <c r="N182" s="357">
        <f t="shared" si="500"/>
        <v>0</v>
      </c>
      <c r="O182" s="357">
        <f t="shared" si="500"/>
        <v>0</v>
      </c>
      <c r="P182" s="357">
        <f t="shared" si="500"/>
        <v>0</v>
      </c>
      <c r="Q182" s="357">
        <f t="shared" si="500"/>
        <v>0</v>
      </c>
      <c r="R182" s="357">
        <f t="shared" si="500"/>
        <v>0</v>
      </c>
      <c r="S182" s="357">
        <f t="shared" si="500"/>
        <v>0</v>
      </c>
      <c r="T182" s="357">
        <f t="shared" si="500"/>
        <v>0</v>
      </c>
      <c r="U182" s="357">
        <f t="shared" si="500"/>
        <v>5200</v>
      </c>
      <c r="V182" s="357">
        <f t="shared" si="500"/>
        <v>0</v>
      </c>
      <c r="W182" s="357">
        <f t="shared" si="500"/>
        <v>9000</v>
      </c>
      <c r="X182" s="357">
        <f t="shared" si="500"/>
        <v>0</v>
      </c>
      <c r="Y182" s="357">
        <f t="shared" si="500"/>
        <v>0</v>
      </c>
      <c r="Z182" s="357">
        <f t="shared" si="500"/>
        <v>0</v>
      </c>
      <c r="AA182" s="357">
        <f t="shared" si="500"/>
        <v>0</v>
      </c>
      <c r="AB182" s="357">
        <f t="shared" si="500"/>
        <v>0</v>
      </c>
      <c r="AC182" s="357">
        <f t="shared" si="500"/>
        <v>0</v>
      </c>
      <c r="AD182" s="357">
        <f t="shared" si="500"/>
        <v>0</v>
      </c>
      <c r="AE182" s="357">
        <f t="shared" si="500"/>
        <v>0</v>
      </c>
      <c r="AF182" s="357">
        <f t="shared" si="500"/>
        <v>0</v>
      </c>
      <c r="AG182" s="357">
        <f t="shared" si="500"/>
        <v>0</v>
      </c>
    </row>
    <row r="183" spans="1:33" s="649" customFormat="1" ht="16.5" customHeight="1" outlineLevel="1">
      <c r="A183" s="434"/>
      <c r="B183" s="434"/>
      <c r="C183" s="448"/>
      <c r="D183" s="442"/>
      <c r="E183" s="449"/>
      <c r="F183" s="444"/>
      <c r="G183" s="444"/>
      <c r="H183" s="434"/>
      <c r="I183" s="434"/>
      <c r="J183" s="445"/>
      <c r="K183" s="445"/>
      <c r="L183" s="432"/>
      <c r="M183" s="432"/>
      <c r="N183" s="432"/>
      <c r="O183" s="432"/>
      <c r="P183" s="432"/>
      <c r="Q183" s="432"/>
      <c r="R183" s="432"/>
      <c r="S183" s="432"/>
      <c r="T183" s="432"/>
      <c r="U183" s="432"/>
      <c r="V183" s="432"/>
      <c r="W183" s="432"/>
      <c r="X183" s="432"/>
      <c r="Y183" s="432"/>
      <c r="Z183" s="432"/>
      <c r="AA183" s="432"/>
      <c r="AB183" s="432"/>
      <c r="AC183" s="432"/>
      <c r="AD183" s="432"/>
      <c r="AE183" s="432"/>
      <c r="AF183" s="432"/>
      <c r="AG183" s="432"/>
    </row>
    <row r="184" spans="1:33" s="830" customFormat="1" ht="16.5" customHeight="1" outlineLevel="1">
      <c r="A184" s="434"/>
      <c r="B184" s="434"/>
      <c r="C184" s="435" t="s">
        <v>648</v>
      </c>
      <c r="D184" s="436" t="s">
        <v>647</v>
      </c>
      <c r="E184" s="449"/>
      <c r="F184" s="444"/>
      <c r="G184" s="444"/>
      <c r="H184" s="685">
        <f>H19+H52+H78+H104+H136</f>
        <v>0</v>
      </c>
      <c r="I184" s="434"/>
      <c r="J184" s="445"/>
      <c r="K184" s="445"/>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row>
    <row r="185" spans="1:33" s="649" customFormat="1" ht="16.5" customHeight="1">
      <c r="A185" s="434"/>
      <c r="B185" s="434"/>
      <c r="C185" s="448"/>
      <c r="D185" s="442"/>
      <c r="E185" s="449"/>
      <c r="F185" s="444"/>
      <c r="G185" s="444"/>
      <c r="H185" s="434"/>
      <c r="I185" s="434"/>
      <c r="J185" s="445"/>
      <c r="K185" s="445"/>
      <c r="L185" s="432"/>
      <c r="M185" s="432"/>
      <c r="N185" s="432"/>
      <c r="O185" s="432"/>
      <c r="P185" s="432"/>
      <c r="Q185" s="432"/>
      <c r="R185" s="432"/>
      <c r="S185" s="432"/>
      <c r="T185" s="432"/>
      <c r="U185" s="432"/>
      <c r="V185" s="432"/>
      <c r="W185" s="432"/>
      <c r="X185" s="432"/>
      <c r="Y185" s="432"/>
      <c r="Z185" s="432"/>
      <c r="AA185" s="432"/>
      <c r="AB185" s="432"/>
      <c r="AC185" s="432"/>
      <c r="AD185" s="432"/>
      <c r="AE185" s="432"/>
      <c r="AF185" s="432"/>
      <c r="AG185" s="432"/>
    </row>
    <row r="186" spans="1:33" s="649" customFormat="1" ht="16.5" customHeight="1">
      <c r="A186" s="434"/>
      <c r="B186" s="434"/>
      <c r="C186" s="448"/>
      <c r="D186" s="442"/>
      <c r="E186" s="449"/>
      <c r="F186" s="444"/>
      <c r="G186" s="444"/>
      <c r="H186" s="434"/>
      <c r="I186" s="434"/>
      <c r="J186" s="445"/>
      <c r="K186" s="445"/>
      <c r="L186" s="432"/>
      <c r="M186" s="432"/>
      <c r="N186" s="432"/>
      <c r="O186" s="432"/>
      <c r="P186" s="432"/>
      <c r="Q186" s="432"/>
      <c r="R186" s="432"/>
      <c r="S186" s="432"/>
      <c r="T186" s="432"/>
      <c r="U186" s="432"/>
      <c r="V186" s="432"/>
      <c r="W186" s="432"/>
      <c r="X186" s="432"/>
      <c r="Y186" s="432"/>
      <c r="Z186" s="432"/>
      <c r="AA186" s="432"/>
      <c r="AB186" s="432"/>
      <c r="AC186" s="432"/>
      <c r="AD186" s="432"/>
      <c r="AE186" s="432"/>
      <c r="AF186" s="432"/>
      <c r="AG186" s="432"/>
    </row>
    <row r="187" spans="1:33" s="649" customFormat="1" ht="22.5" customHeight="1">
      <c r="A187" s="434"/>
      <c r="B187" s="434"/>
      <c r="C187" s="448"/>
      <c r="D187" s="442"/>
      <c r="E187" s="449"/>
      <c r="F187" s="444"/>
      <c r="G187" s="444"/>
      <c r="H187" s="434"/>
      <c r="I187" s="434"/>
      <c r="J187" s="445"/>
      <c r="K187" s="445"/>
      <c r="L187" s="432"/>
      <c r="M187" s="432"/>
      <c r="N187" s="432"/>
      <c r="O187" s="432"/>
      <c r="P187" s="432"/>
      <c r="Q187" s="432"/>
      <c r="R187" s="432"/>
      <c r="S187" s="432"/>
      <c r="T187" s="432"/>
      <c r="U187" s="432"/>
      <c r="V187" s="432"/>
      <c r="W187" s="432"/>
      <c r="X187" s="432"/>
      <c r="Y187" s="432"/>
      <c r="Z187" s="432"/>
      <c r="AA187" s="432"/>
      <c r="AB187" s="432"/>
      <c r="AC187" s="432"/>
      <c r="AD187" s="432"/>
      <c r="AE187" s="432"/>
      <c r="AF187" s="432"/>
      <c r="AG187" s="432"/>
    </row>
    <row r="188" spans="1:33" s="241" customFormat="1" ht="17.25" customHeight="1">
      <c r="A188" s="894"/>
    </row>
    <row r="189" spans="1:33" s="241" customFormat="1" ht="17.25" customHeight="1">
      <c r="A189" s="894"/>
    </row>
    <row r="190" spans="1:33" s="241" customFormat="1" ht="17.25" customHeight="1">
      <c r="A190" s="894"/>
    </row>
    <row r="191" spans="1:33" s="241" customFormat="1" ht="17.25" customHeight="1">
      <c r="A191" s="894"/>
    </row>
    <row r="192" spans="1:33" s="241" customFormat="1" ht="17.25" customHeight="1">
      <c r="A192" s="894"/>
    </row>
    <row r="193" spans="1:33" s="241" customFormat="1" ht="17.25" customHeight="1">
      <c r="A193" s="894"/>
    </row>
    <row r="194" spans="1:33" s="241" customFormat="1" ht="17.25" customHeight="1">
      <c r="A194" s="894"/>
    </row>
    <row r="195" spans="1:33" s="241" customFormat="1" ht="17.25" customHeight="1"/>
    <row r="196" spans="1:33" s="241" customFormat="1" ht="17.25" customHeight="1"/>
    <row r="197" spans="1:33" s="241" customFormat="1" ht="17.25" customHeight="1"/>
    <row r="198" spans="1:33" s="241" customFormat="1" ht="17.25" customHeight="1"/>
    <row r="199" spans="1:33" s="241" customFormat="1" ht="17.25" customHeight="1">
      <c r="A199" s="287"/>
      <c r="B199" s="287"/>
      <c r="C199" s="287"/>
      <c r="D199" s="287"/>
      <c r="E199" s="287"/>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E199" s="287"/>
      <c r="AF199" s="287"/>
      <c r="AG199" s="287"/>
    </row>
    <row r="200" spans="1:33" s="241" customFormat="1" ht="17.25" customHeight="1">
      <c r="A200" s="287"/>
      <c r="B200" s="287"/>
      <c r="C200" s="287"/>
      <c r="D200" s="287"/>
      <c r="E200" s="287"/>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E200" s="287"/>
      <c r="AF200" s="287"/>
      <c r="AG200" s="287"/>
    </row>
    <row r="201" spans="1:33" ht="17.25" customHeight="1">
      <c r="A201" s="287"/>
      <c r="B201" s="287"/>
      <c r="C201" s="287"/>
      <c r="D201" s="287"/>
      <c r="E201" s="287"/>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E201" s="287"/>
      <c r="AF201" s="287"/>
      <c r="AG201" s="287"/>
    </row>
    <row r="202" spans="1:33" ht="17.25" customHeight="1">
      <c r="A202" s="287"/>
      <c r="B202" s="287"/>
      <c r="C202" s="287"/>
      <c r="D202" s="287"/>
      <c r="E202" s="287"/>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E202" s="287"/>
      <c r="AF202" s="287"/>
      <c r="AG202" s="287"/>
    </row>
    <row r="203" spans="1:33" ht="17.25" customHeight="1">
      <c r="A203" s="287"/>
      <c r="B203" s="287"/>
      <c r="C203" s="287"/>
      <c r="D203" s="287"/>
      <c r="E203" s="287"/>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E203" s="287"/>
      <c r="AF203" s="287"/>
      <c r="AG203" s="287"/>
    </row>
    <row r="204" spans="1:33" ht="17.25" customHeight="1">
      <c r="A204" s="287"/>
      <c r="B204" s="287"/>
      <c r="C204" s="287"/>
      <c r="D204" s="287"/>
      <c r="E204" s="287"/>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E204" s="287"/>
      <c r="AF204" s="287"/>
      <c r="AG204" s="287"/>
    </row>
    <row r="205" spans="1:33" ht="17.25" customHeight="1">
      <c r="A205" s="287"/>
      <c r="B205" s="287"/>
      <c r="C205" s="287"/>
      <c r="D205" s="287"/>
      <c r="E205" s="287"/>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E205" s="287"/>
      <c r="AF205" s="287"/>
      <c r="AG205" s="287"/>
    </row>
    <row r="206" spans="1:33" ht="17.25" customHeight="1">
      <c r="A206" s="287"/>
      <c r="B206" s="287"/>
      <c r="C206" s="287"/>
      <c r="D206" s="287"/>
      <c r="E206" s="287"/>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E206" s="287"/>
      <c r="AF206" s="287"/>
      <c r="AG206" s="287"/>
    </row>
    <row r="207" spans="1:33" ht="17.25" customHeight="1">
      <c r="A207" s="287"/>
      <c r="B207" s="287"/>
      <c r="C207" s="287"/>
      <c r="D207" s="287"/>
      <c r="E207" s="287"/>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E207" s="287"/>
      <c r="AF207" s="287"/>
      <c r="AG207" s="287"/>
    </row>
    <row r="208" spans="1:33" ht="17.25" customHeight="1">
      <c r="A208" s="287"/>
      <c r="B208" s="287"/>
      <c r="C208" s="287"/>
      <c r="D208" s="287"/>
      <c r="E208" s="287"/>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E208" s="287"/>
      <c r="AF208" s="287"/>
      <c r="AG208" s="287"/>
    </row>
    <row r="209" spans="1:33" ht="17.25" customHeight="1">
      <c r="A209" s="287"/>
      <c r="B209" s="287"/>
      <c r="C209" s="287"/>
      <c r="D209" s="287"/>
      <c r="E209" s="287"/>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E209" s="287"/>
      <c r="AF209" s="287"/>
      <c r="AG209" s="287"/>
    </row>
    <row r="210" spans="1:33" ht="17.25" customHeight="1">
      <c r="A210" s="287"/>
      <c r="B210" s="287"/>
      <c r="C210" s="287"/>
      <c r="D210" s="287"/>
      <c r="E210" s="287"/>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E210" s="287"/>
      <c r="AF210" s="287"/>
      <c r="AG210" s="287"/>
    </row>
    <row r="211" spans="1:33" ht="17.25" customHeight="1">
      <c r="A211" s="287"/>
      <c r="B211" s="287"/>
      <c r="C211" s="287"/>
      <c r="D211" s="287"/>
      <c r="E211" s="287"/>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E211" s="287"/>
      <c r="AF211" s="287"/>
      <c r="AG211" s="287"/>
    </row>
    <row r="212" spans="1:33" ht="17.25" customHeight="1">
      <c r="A212" s="287"/>
      <c r="B212" s="287"/>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E212" s="287"/>
      <c r="AF212" s="287"/>
      <c r="AG212" s="287"/>
    </row>
    <row r="213" spans="1:33" ht="17.25" customHeight="1">
      <c r="A213" s="287"/>
      <c r="B213" s="287"/>
      <c r="C213" s="287"/>
      <c r="D213" s="287"/>
      <c r="E213" s="287"/>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E213" s="287"/>
      <c r="AF213" s="287"/>
      <c r="AG213" s="287"/>
    </row>
    <row r="214" spans="1:33" ht="17.25" customHeight="1">
      <c r="A214" s="287"/>
      <c r="B214" s="287"/>
      <c r="C214" s="287"/>
      <c r="D214" s="287"/>
      <c r="E214" s="287"/>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E214" s="287"/>
      <c r="AF214" s="287"/>
      <c r="AG214" s="287"/>
    </row>
    <row r="215" spans="1:33" ht="17.25" customHeight="1">
      <c r="A215" s="287"/>
      <c r="B215" s="287"/>
      <c r="C215" s="287"/>
      <c r="D215" s="287"/>
      <c r="E215" s="287"/>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E215" s="287"/>
      <c r="AF215" s="287"/>
      <c r="AG215" s="287"/>
    </row>
    <row r="216" spans="1:33" ht="17.25" customHeight="1">
      <c r="A216" s="287"/>
      <c r="B216" s="287"/>
      <c r="C216" s="287"/>
      <c r="D216" s="287"/>
      <c r="E216" s="287"/>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E216" s="287"/>
      <c r="AF216" s="287"/>
      <c r="AG216" s="287"/>
    </row>
    <row r="217" spans="1:33" ht="17.25" customHeight="1">
      <c r="A217" s="287"/>
      <c r="B217" s="287"/>
      <c r="C217" s="287"/>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E217" s="287"/>
      <c r="AF217" s="287"/>
      <c r="AG217" s="287"/>
    </row>
    <row r="218" spans="1:33" ht="17.25" customHeight="1">
      <c r="A218" s="287"/>
      <c r="B218" s="287"/>
      <c r="C218" s="287"/>
      <c r="D218" s="287"/>
      <c r="E218" s="287"/>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E218" s="287"/>
      <c r="AF218" s="287"/>
      <c r="AG218" s="287"/>
    </row>
    <row r="219" spans="1:33" ht="17.25" customHeight="1">
      <c r="A219" s="287"/>
      <c r="B219" s="287"/>
      <c r="C219" s="287"/>
      <c r="D219" s="287"/>
      <c r="E219" s="287"/>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E219" s="287"/>
      <c r="AF219" s="287"/>
      <c r="AG219" s="287"/>
    </row>
    <row r="220" spans="1:33" ht="17.25" customHeight="1"/>
    <row r="221" spans="1:33" ht="17.25" customHeight="1"/>
    <row r="222" spans="1:33" ht="17.25" customHeight="1"/>
    <row r="223" spans="1:33" ht="17.25" customHeight="1"/>
    <row r="224" spans="1:33"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sheetData>
  <sheetProtection password="F66A" sheet="1"/>
  <conditionalFormatting sqref="D3">
    <cfRule type="cellIs" dxfId="248" priority="155" operator="notEqual">
      <formula>0</formula>
    </cfRule>
  </conditionalFormatting>
  <conditionalFormatting sqref="J11:AG15 K28:AG30 J22:AG22 J24:AG24 K61:AG63 K25:AG26 J44:AG48 J55:AG55 J57:AG57 K58:AG59 K87:AG89 J70:AG74 J81:AG81 J83:AG83 K84:AG85 K128:AG132 K145:AG147 K139:AG139 K141:AG143 M113:AG115 M98:AG100 X96:AG97 M107:AG107 M109:AG111">
    <cfRule type="expression" dxfId="247" priority="144" stopIfTrue="1">
      <formula>J$6=0</formula>
    </cfRule>
  </conditionalFormatting>
  <conditionalFormatting sqref="F19">
    <cfRule type="expression" dxfId="246" priority="142" stopIfTrue="1">
      <formula>E$6=0</formula>
    </cfRule>
  </conditionalFormatting>
  <conditionalFormatting sqref="J29">
    <cfRule type="expression" dxfId="245" priority="99" stopIfTrue="1">
      <formula>J$6=0</formula>
    </cfRule>
  </conditionalFormatting>
  <conditionalFormatting sqref="J30">
    <cfRule type="expression" dxfId="244" priority="97" stopIfTrue="1">
      <formula>J$6=0</formula>
    </cfRule>
  </conditionalFormatting>
  <conditionalFormatting sqref="J28">
    <cfRule type="expression" dxfId="243" priority="101" stopIfTrue="1">
      <formula>J$6=0</formula>
    </cfRule>
  </conditionalFormatting>
  <conditionalFormatting sqref="J25">
    <cfRule type="expression" dxfId="242" priority="105" stopIfTrue="1">
      <formula>J$6=0</formula>
    </cfRule>
  </conditionalFormatting>
  <conditionalFormatting sqref="J26">
    <cfRule type="expression" dxfId="241" priority="103" stopIfTrue="1">
      <formula>J$6=0</formula>
    </cfRule>
  </conditionalFormatting>
  <conditionalFormatting sqref="F52">
    <cfRule type="expression" dxfId="240" priority="94" stopIfTrue="1">
      <formula>E$6=0</formula>
    </cfRule>
  </conditionalFormatting>
  <conditionalFormatting sqref="J58">
    <cfRule type="expression" dxfId="239" priority="89" stopIfTrue="1">
      <formula>J$6=0</formula>
    </cfRule>
  </conditionalFormatting>
  <conditionalFormatting sqref="J59">
    <cfRule type="expression" dxfId="238" priority="87" stopIfTrue="1">
      <formula>J$6=0</formula>
    </cfRule>
  </conditionalFormatting>
  <conditionalFormatting sqref="J61">
    <cfRule type="expression" dxfId="237" priority="85" stopIfTrue="1">
      <formula>J$6=0</formula>
    </cfRule>
  </conditionalFormatting>
  <conditionalFormatting sqref="J62">
    <cfRule type="expression" dxfId="236" priority="83" stopIfTrue="1">
      <formula>J$6=0</formula>
    </cfRule>
  </conditionalFormatting>
  <conditionalFormatting sqref="J63">
    <cfRule type="expression" dxfId="235" priority="81" stopIfTrue="1">
      <formula>J$6=0</formula>
    </cfRule>
  </conditionalFormatting>
  <conditionalFormatting sqref="F78">
    <cfRule type="expression" dxfId="234" priority="78" stopIfTrue="1">
      <formula>E$6=0</formula>
    </cfRule>
  </conditionalFormatting>
  <conditionalFormatting sqref="H78">
    <cfRule type="cellIs" dxfId="233" priority="76" operator="notEqual">
      <formula>0</formula>
    </cfRule>
  </conditionalFormatting>
  <conditionalFormatting sqref="J84">
    <cfRule type="expression" dxfId="232" priority="73" stopIfTrue="1">
      <formula>J$6=0</formula>
    </cfRule>
  </conditionalFormatting>
  <conditionalFormatting sqref="J85">
    <cfRule type="expression" dxfId="231" priority="71" stopIfTrue="1">
      <formula>J$6=0</formula>
    </cfRule>
  </conditionalFormatting>
  <conditionalFormatting sqref="J87">
    <cfRule type="expression" dxfId="230" priority="69" stopIfTrue="1">
      <formula>J$6=0</formula>
    </cfRule>
  </conditionalFormatting>
  <conditionalFormatting sqref="J88">
    <cfRule type="expression" dxfId="229" priority="67" stopIfTrue="1">
      <formula>J$6=0</formula>
    </cfRule>
  </conditionalFormatting>
  <conditionalFormatting sqref="J89">
    <cfRule type="expression" dxfId="228" priority="65" stopIfTrue="1">
      <formula>J$6=0</formula>
    </cfRule>
  </conditionalFormatting>
  <conditionalFormatting sqref="K114:L114">
    <cfRule type="expression" dxfId="227" priority="50" stopIfTrue="1">
      <formula>K$6=0</formula>
    </cfRule>
  </conditionalFormatting>
  <conditionalFormatting sqref="J97:L100">
    <cfRule type="expression" dxfId="226" priority="63" stopIfTrue="1">
      <formula>J$6=0</formula>
    </cfRule>
  </conditionalFormatting>
  <conditionalFormatting sqref="F104">
    <cfRule type="expression" dxfId="225" priority="62" stopIfTrue="1">
      <formula>E$6=0</formula>
    </cfRule>
  </conditionalFormatting>
  <conditionalFormatting sqref="J96:L96">
    <cfRule type="expression" dxfId="224" priority="61" stopIfTrue="1">
      <formula>J$6=0</formula>
    </cfRule>
  </conditionalFormatting>
  <conditionalFormatting sqref="J107:L107">
    <cfRule type="expression" dxfId="223" priority="59" stopIfTrue="1">
      <formula>J$6=0</formula>
    </cfRule>
  </conditionalFormatting>
  <conditionalFormatting sqref="J109:L109">
    <cfRule type="expression" dxfId="222" priority="58" stopIfTrue="1">
      <formula>J$6=0</formula>
    </cfRule>
  </conditionalFormatting>
  <conditionalFormatting sqref="J110">
    <cfRule type="expression" dxfId="221" priority="57" stopIfTrue="1">
      <formula>J$6=0</formula>
    </cfRule>
  </conditionalFormatting>
  <conditionalFormatting sqref="K110:L110">
    <cfRule type="expression" dxfId="220" priority="56" stopIfTrue="1">
      <formula>K$6=0</formula>
    </cfRule>
  </conditionalFormatting>
  <conditionalFormatting sqref="J111">
    <cfRule type="expression" dxfId="219" priority="55" stopIfTrue="1">
      <formula>J$6=0</formula>
    </cfRule>
  </conditionalFormatting>
  <conditionalFormatting sqref="K111:L111">
    <cfRule type="expression" dxfId="218" priority="54" stopIfTrue="1">
      <formula>K$6=0</formula>
    </cfRule>
  </conditionalFormatting>
  <conditionalFormatting sqref="J113">
    <cfRule type="expression" dxfId="217" priority="53" stopIfTrue="1">
      <formula>J$6=0</formula>
    </cfRule>
  </conditionalFormatting>
  <conditionalFormatting sqref="K113:L113">
    <cfRule type="expression" dxfId="216" priority="52" stopIfTrue="1">
      <formula>K$6=0</formula>
    </cfRule>
  </conditionalFormatting>
  <conditionalFormatting sqref="J114">
    <cfRule type="expression" dxfId="215" priority="51" stopIfTrue="1">
      <formula>J$6=0</formula>
    </cfRule>
  </conditionalFormatting>
  <conditionalFormatting sqref="J115">
    <cfRule type="expression" dxfId="214" priority="49" stopIfTrue="1">
      <formula>J$6=0</formula>
    </cfRule>
  </conditionalFormatting>
  <conditionalFormatting sqref="K115:L115">
    <cfRule type="expression" dxfId="213" priority="48" stopIfTrue="1">
      <formula>K$6=0</formula>
    </cfRule>
  </conditionalFormatting>
  <conditionalFormatting sqref="J129:J132">
    <cfRule type="expression" dxfId="212" priority="47" stopIfTrue="1">
      <formula>J$6=0</formula>
    </cfRule>
  </conditionalFormatting>
  <conditionalFormatting sqref="F136">
    <cfRule type="expression" dxfId="211" priority="46" stopIfTrue="1">
      <formula>E$6=0</formula>
    </cfRule>
  </conditionalFormatting>
  <conditionalFormatting sqref="J146">
    <cfRule type="expression" dxfId="210" priority="38" stopIfTrue="1">
      <formula>J$6=0</formula>
    </cfRule>
  </conditionalFormatting>
  <conditionalFormatting sqref="J147">
    <cfRule type="expression" dxfId="209" priority="37" stopIfTrue="1">
      <formula>J$6=0</formula>
    </cfRule>
  </conditionalFormatting>
  <conditionalFormatting sqref="J145">
    <cfRule type="expression" dxfId="208" priority="39" stopIfTrue="1">
      <formula>J$6=0</formula>
    </cfRule>
  </conditionalFormatting>
  <conditionalFormatting sqref="J128">
    <cfRule type="expression" dxfId="207" priority="45" stopIfTrue="1">
      <formula>J$6=0</formula>
    </cfRule>
  </conditionalFormatting>
  <conditionalFormatting sqref="J139">
    <cfRule type="expression" dxfId="206" priority="43" stopIfTrue="1">
      <formula>J$6=0</formula>
    </cfRule>
  </conditionalFormatting>
  <conditionalFormatting sqref="J141">
    <cfRule type="expression" dxfId="205" priority="42" stopIfTrue="1">
      <formula>J$6=0</formula>
    </cfRule>
  </conditionalFormatting>
  <conditionalFormatting sqref="J142">
    <cfRule type="expression" dxfId="204" priority="41" stopIfTrue="1">
      <formula>J$6=0</formula>
    </cfRule>
  </conditionalFormatting>
  <conditionalFormatting sqref="J143">
    <cfRule type="expression" dxfId="203" priority="40" stopIfTrue="1">
      <formula>J$6=0</formula>
    </cfRule>
  </conditionalFormatting>
  <conditionalFormatting sqref="M97:V97">
    <cfRule type="expression" dxfId="202" priority="27" stopIfTrue="1">
      <formula>M$6=0</formula>
    </cfRule>
  </conditionalFormatting>
  <conditionalFormatting sqref="M96:V96">
    <cfRule type="expression" dxfId="201" priority="26" stopIfTrue="1">
      <formula>M$6=0</formula>
    </cfRule>
  </conditionalFormatting>
  <conditionalFormatting sqref="H184">
    <cfRule type="cellIs" dxfId="200" priority="18" operator="notEqual">
      <formula>0</formula>
    </cfRule>
  </conditionalFormatting>
  <conditionalFormatting sqref="H52">
    <cfRule type="cellIs" dxfId="199" priority="17" operator="notEqual">
      <formula>0</formula>
    </cfRule>
  </conditionalFormatting>
  <conditionalFormatting sqref="H19">
    <cfRule type="cellIs" dxfId="198" priority="16" operator="notEqual">
      <formula>0</formula>
    </cfRule>
  </conditionalFormatting>
  <conditionalFormatting sqref="H104">
    <cfRule type="cellIs" dxfId="197" priority="15" operator="notEqual">
      <formula>0</formula>
    </cfRule>
  </conditionalFormatting>
  <conditionalFormatting sqref="H136">
    <cfRule type="cellIs" dxfId="196" priority="14" operator="notEqual">
      <formula>0</formula>
    </cfRule>
  </conditionalFormatting>
  <conditionalFormatting sqref="W97">
    <cfRule type="expression" dxfId="195" priority="11" stopIfTrue="1">
      <formula>W$6=0</formula>
    </cfRule>
  </conditionalFormatting>
  <conditionalFormatting sqref="W96">
    <cfRule type="expression" dxfId="194" priority="10" stopIfTrue="1">
      <formula>W$6=0</formula>
    </cfRule>
  </conditionalFormatting>
  <conditionalFormatting sqref="K6:L6">
    <cfRule type="cellIs" dxfId="193" priority="9" stopIfTrue="1" operator="equal">
      <formula>1</formula>
    </cfRule>
  </conditionalFormatting>
  <conditionalFormatting sqref="J4">
    <cfRule type="expression" dxfId="192" priority="8" stopIfTrue="1">
      <formula>J$6=1</formula>
    </cfRule>
  </conditionalFormatting>
  <conditionalFormatting sqref="M6:Q6">
    <cfRule type="cellIs" dxfId="191" priority="7" stopIfTrue="1" operator="equal">
      <formula>1</formula>
    </cfRule>
  </conditionalFormatting>
  <conditionalFormatting sqref="J5">
    <cfRule type="expression" dxfId="190" priority="6" stopIfTrue="1">
      <formula>J$6=1</formula>
    </cfRule>
  </conditionalFormatting>
  <conditionalFormatting sqref="R6:AG6">
    <cfRule type="cellIs" dxfId="189" priority="5" stopIfTrue="1" operator="equal">
      <formula>1</formula>
    </cfRule>
  </conditionalFormatting>
  <conditionalFormatting sqref="J6:AG6">
    <cfRule type="cellIs" dxfId="188" priority="4" stopIfTrue="1" operator="equal">
      <formula>1</formula>
    </cfRule>
  </conditionalFormatting>
  <conditionalFormatting sqref="K4:AG4">
    <cfRule type="expression" dxfId="187" priority="3" stopIfTrue="1">
      <formula>K$6=1</formula>
    </cfRule>
  </conditionalFormatting>
  <conditionalFormatting sqref="L5:AG5">
    <cfRule type="expression" dxfId="186" priority="2" stopIfTrue="1">
      <formula>L$6=1</formula>
    </cfRule>
  </conditionalFormatting>
  <conditionalFormatting sqref="K5:AG5">
    <cfRule type="expression" dxfId="185" priority="1" stopIfTrue="1">
      <formula>K$6=1</formula>
    </cfRule>
  </conditionalFormatting>
  <dataValidations count="3">
    <dataValidation type="list" allowBlank="1" showInputMessage="1" showErrorMessage="1" sqref="G10 G42 G68 G94 G127">
      <formula1>VAT_Rates</formula1>
    </dataValidation>
    <dataValidation type="list" allowBlank="1" showInputMessage="1" showErrorMessage="1" sqref="F20 F53 F79 F105 F137">
      <formula1>"1,2"</formula1>
    </dataValidation>
    <dataValidation type="decimal" operator="greaterThanOrEqual" allowBlank="1" showInputMessage="1" showErrorMessage="1" errorTitle="Inputs" error="Positive numbers/inputs only !" sqref="J145:AG147 J141:AG143 J109:AG111 J83:AG85 J57:AG59 J24:AG26 J113:AG115 J87:AG89 J61:AG63 J28:AG30">
      <formula1>0</formula1>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inanzierung">
    <tabColor rgb="FFFFFF00"/>
    <pageSetUpPr autoPageBreaks="0"/>
  </sheetPr>
  <dimension ref="A1:NE183"/>
  <sheetViews>
    <sheetView showGridLines="0" zoomScaleNormal="100"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2"/>
  <cols>
    <col min="1" max="1" width="2.85546875" style="117" customWidth="1"/>
    <col min="2" max="2" width="3.28515625" style="117" customWidth="1"/>
    <col min="3" max="3" width="56.42578125" style="117" customWidth="1"/>
    <col min="4" max="4" width="13" style="117" customWidth="1"/>
    <col min="5" max="5" width="14.7109375" style="117" customWidth="1"/>
    <col min="6" max="6" width="13" style="117" customWidth="1"/>
    <col min="7" max="7" width="14" style="117" customWidth="1"/>
    <col min="8" max="8" width="11.42578125" style="117" customWidth="1"/>
    <col min="9" max="9" width="12.42578125" style="117" customWidth="1"/>
    <col min="10" max="33" width="11.42578125" style="117" customWidth="1"/>
    <col min="34" max="369" width="0" style="117" hidden="1" customWidth="1"/>
    <col min="370" max="16384" width="11.42578125" style="117" hidden="1"/>
  </cols>
  <sheetData>
    <row r="1" spans="1:33" ht="20.25">
      <c r="A1" s="41" t="s">
        <v>373</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c r="A7" s="894"/>
      <c r="B7" s="894"/>
      <c r="C7" s="287" t="str">
        <f>Timing!C14</f>
        <v>Financial Month</v>
      </c>
      <c r="D7" s="275"/>
      <c r="E7" s="287"/>
      <c r="F7" s="287"/>
      <c r="G7" s="287"/>
      <c r="H7" s="287"/>
      <c r="I7" s="287"/>
      <c r="J7" s="287">
        <f>Timing!J14</f>
        <v>4</v>
      </c>
      <c r="K7" s="287">
        <f>Timing!K14</f>
        <v>5</v>
      </c>
      <c r="L7" s="287">
        <f>Timing!L14</f>
        <v>6</v>
      </c>
      <c r="M7" s="287">
        <f>Timing!M14</f>
        <v>7</v>
      </c>
      <c r="N7" s="287">
        <f>Timing!N14</f>
        <v>8</v>
      </c>
      <c r="O7" s="287">
        <f>Timing!O14</f>
        <v>9</v>
      </c>
      <c r="P7" s="287">
        <f>Timing!P14</f>
        <v>10</v>
      </c>
      <c r="Q7" s="287">
        <f>Timing!Q14</f>
        <v>11</v>
      </c>
      <c r="R7" s="287">
        <f>Timing!R14</f>
        <v>12</v>
      </c>
      <c r="S7" s="287">
        <f>Timing!S14</f>
        <v>1</v>
      </c>
      <c r="T7" s="287">
        <f>Timing!T14</f>
        <v>2</v>
      </c>
      <c r="U7" s="287">
        <f>Timing!U14</f>
        <v>3</v>
      </c>
      <c r="V7" s="287">
        <f>Timing!V14</f>
        <v>4</v>
      </c>
      <c r="W7" s="287">
        <f>Timing!W14</f>
        <v>5</v>
      </c>
      <c r="X7" s="287">
        <f>Timing!X14</f>
        <v>6</v>
      </c>
      <c r="Y7" s="287">
        <f>Timing!Y14</f>
        <v>7</v>
      </c>
      <c r="Z7" s="287">
        <f>Timing!Z14</f>
        <v>8</v>
      </c>
      <c r="AA7" s="287">
        <f>Timing!AA14</f>
        <v>9</v>
      </c>
      <c r="AB7" s="287">
        <f>Timing!AB14</f>
        <v>10</v>
      </c>
      <c r="AC7" s="287">
        <f>Timing!AC14</f>
        <v>11</v>
      </c>
      <c r="AD7" s="287">
        <f>Timing!AD14</f>
        <v>12</v>
      </c>
      <c r="AE7" s="287">
        <f>Timing!AE14</f>
        <v>1</v>
      </c>
      <c r="AF7" s="287">
        <f>Timing!AF14</f>
        <v>2</v>
      </c>
      <c r="AG7" s="287">
        <f>Timing!AG14</f>
        <v>3</v>
      </c>
    </row>
    <row r="8" spans="1:33" s="704" customFormat="1">
      <c r="A8" s="894"/>
      <c r="B8" s="894"/>
      <c r="C8" s="287"/>
      <c r="D8" s="287"/>
      <c r="E8" s="287"/>
      <c r="F8" s="287"/>
      <c r="G8" s="287"/>
      <c r="H8" s="287"/>
      <c r="I8" s="287"/>
      <c r="J8" s="287"/>
      <c r="K8" s="287"/>
      <c r="L8" s="287"/>
      <c r="M8" s="287"/>
      <c r="N8" s="287"/>
      <c r="O8" s="287"/>
      <c r="P8" s="287"/>
      <c r="Q8" s="287"/>
      <c r="R8" s="287"/>
      <c r="S8" s="287"/>
      <c r="T8" s="287"/>
      <c r="U8" s="287"/>
      <c r="V8" s="287"/>
      <c r="W8" s="287"/>
      <c r="X8" s="287"/>
      <c r="Y8" s="287"/>
      <c r="Z8" s="287"/>
      <c r="AA8" s="287"/>
      <c r="AB8" s="287"/>
      <c r="AC8" s="287"/>
      <c r="AD8" s="287"/>
      <c r="AE8" s="287"/>
      <c r="AF8" s="287"/>
      <c r="AG8" s="287"/>
    </row>
    <row r="9" spans="1:33" ht="24" thickBot="1">
      <c r="A9" s="323"/>
      <c r="B9" s="323"/>
      <c r="C9" s="323" t="s">
        <v>373</v>
      </c>
      <c r="D9" s="335" t="str">
        <f>"(all figures in " &amp;Currency_Label &amp;")"</f>
        <v>(all figures in USD)</v>
      </c>
      <c r="E9" s="323"/>
      <c r="F9" s="323"/>
      <c r="G9" s="323"/>
      <c r="H9" s="323"/>
      <c r="I9" s="323"/>
      <c r="J9" s="323"/>
      <c r="K9" s="323"/>
      <c r="L9" s="323"/>
      <c r="M9" s="323"/>
      <c r="N9" s="323"/>
      <c r="O9" s="323"/>
      <c r="P9" s="323"/>
      <c r="Q9" s="323"/>
      <c r="R9" s="323"/>
      <c r="S9" s="323"/>
      <c r="T9" s="323"/>
      <c r="U9" s="323"/>
      <c r="V9" s="323"/>
      <c r="W9" s="323"/>
      <c r="X9" s="323"/>
      <c r="Y9" s="323"/>
      <c r="Z9" s="323"/>
      <c r="AA9" s="323"/>
      <c r="AB9" s="323"/>
      <c r="AC9" s="323"/>
      <c r="AD9" s="323"/>
      <c r="AE9" s="323"/>
      <c r="AF9" s="323"/>
      <c r="AG9" s="323"/>
    </row>
    <row r="10" spans="1:33" ht="21" customHeight="1" outlineLevel="1">
      <c r="A10" s="894"/>
      <c r="B10" s="894"/>
      <c r="C10" s="279" t="s">
        <v>583</v>
      </c>
      <c r="D10" s="325" t="s">
        <v>582</v>
      </c>
      <c r="E10" s="241"/>
      <c r="F10" s="241"/>
      <c r="G10" s="241"/>
      <c r="H10" s="241"/>
      <c r="I10" s="241"/>
      <c r="J10" s="716">
        <f t="shared" ref="J10:AG10" si="0">J$4</f>
        <v>43525</v>
      </c>
      <c r="K10" s="716">
        <f t="shared" si="0"/>
        <v>43556</v>
      </c>
      <c r="L10" s="716">
        <f t="shared" si="0"/>
        <v>43586</v>
      </c>
      <c r="M10" s="716">
        <f t="shared" si="0"/>
        <v>43617</v>
      </c>
      <c r="N10" s="716">
        <f t="shared" si="0"/>
        <v>43647</v>
      </c>
      <c r="O10" s="716">
        <f t="shared" si="0"/>
        <v>43678</v>
      </c>
      <c r="P10" s="716">
        <f t="shared" si="0"/>
        <v>43709</v>
      </c>
      <c r="Q10" s="716">
        <f t="shared" si="0"/>
        <v>43739</v>
      </c>
      <c r="R10" s="716">
        <f t="shared" si="0"/>
        <v>43770</v>
      </c>
      <c r="S10" s="716">
        <f t="shared" si="0"/>
        <v>43800</v>
      </c>
      <c r="T10" s="716">
        <f t="shared" si="0"/>
        <v>43831</v>
      </c>
      <c r="U10" s="716">
        <f t="shared" si="0"/>
        <v>43862</v>
      </c>
      <c r="V10" s="716">
        <f t="shared" si="0"/>
        <v>43891</v>
      </c>
      <c r="W10" s="716">
        <f t="shared" si="0"/>
        <v>43922</v>
      </c>
      <c r="X10" s="716">
        <f t="shared" si="0"/>
        <v>43952</v>
      </c>
      <c r="Y10" s="716">
        <f t="shared" si="0"/>
        <v>43983</v>
      </c>
      <c r="Z10" s="716">
        <f t="shared" si="0"/>
        <v>44013</v>
      </c>
      <c r="AA10" s="716">
        <f t="shared" si="0"/>
        <v>44044</v>
      </c>
      <c r="AB10" s="716">
        <f t="shared" si="0"/>
        <v>44075</v>
      </c>
      <c r="AC10" s="716">
        <f t="shared" si="0"/>
        <v>44105</v>
      </c>
      <c r="AD10" s="716">
        <f t="shared" si="0"/>
        <v>44136</v>
      </c>
      <c r="AE10" s="716">
        <f t="shared" si="0"/>
        <v>44166</v>
      </c>
      <c r="AF10" s="716">
        <f t="shared" si="0"/>
        <v>44197</v>
      </c>
      <c r="AG10" s="716">
        <f t="shared" si="0"/>
        <v>44228</v>
      </c>
    </row>
    <row r="11" spans="1:33" ht="17.25" customHeight="1" outlineLevel="2">
      <c r="A11" s="894"/>
      <c r="B11" s="894"/>
      <c r="C11" s="117" t="str">
        <f>"Cash collected from sales (incl. "&amp;Name_VAT &amp;")"</f>
        <v>Cash collected from sales (incl. VAT)</v>
      </c>
      <c r="D11" s="649"/>
      <c r="I11" s="242">
        <f t="shared" ref="I11:I34" si="1">SUM(J11:AG11)</f>
        <v>4190385.009428781</v>
      </c>
      <c r="J11" s="144">
        <f>('Debtors+Creditors'!J26+'Debtors+Creditors'!J45)*J6</f>
        <v>135221.774</v>
      </c>
      <c r="K11" s="144">
        <f>('Debtors+Creditors'!K26+'Debtors+Creditors'!K45)*K6</f>
        <v>168870.81209999998</v>
      </c>
      <c r="L11" s="144">
        <f>('Debtors+Creditors'!L26+'Debtors+Creditors'!L45)*L6</f>
        <v>177966.04068099998</v>
      </c>
      <c r="M11" s="144">
        <f>('Debtors+Creditors'!M26+'Debtors+Creditors'!M45)*M6</f>
        <v>178490.09214781001</v>
      </c>
      <c r="N11" s="144">
        <f>('Debtors+Creditors'!N26+'Debtors+Creditors'!N45)*N6</f>
        <v>175595.9291292881</v>
      </c>
      <c r="O11" s="144">
        <f>('Debtors+Creditors'!O26+'Debtors+Creditors'!O45)*O6</f>
        <v>175829.07448058098</v>
      </c>
      <c r="P11" s="144">
        <f>('Debtors+Creditors'!P26+'Debtors+Creditors'!P45)*P6</f>
        <v>274584.2512853868</v>
      </c>
      <c r="Q11" s="144">
        <f>('Debtors+Creditors'!Q26+'Debtors+Creditors'!Q45)*Q6</f>
        <v>172794.99485824065</v>
      </c>
      <c r="R11" s="144">
        <f>('Debtors+Creditors'!R26+'Debtors+Creditors'!R45)*R6</f>
        <v>174590.32274682308</v>
      </c>
      <c r="S11" s="144">
        <f>('Debtors+Creditors'!S26+'Debtors+Creditors'!S45)*S6</f>
        <v>275298.99473429128</v>
      </c>
      <c r="T11" s="144">
        <f>('Debtors+Creditors'!T26+'Debtors+Creditors'!T45)*T6</f>
        <v>179559.72284163418</v>
      </c>
      <c r="U11" s="144">
        <f>('Debtors+Creditors'!U26+'Debtors+Creditors'!U45)*U6</f>
        <v>178357.42923005056</v>
      </c>
      <c r="V11" s="144">
        <f>('Debtors+Creditors'!V26+'Debtors+Creditors'!V45)*V6</f>
        <v>277201.05172235105</v>
      </c>
      <c r="W11" s="144">
        <f>('Debtors+Creditors'!W26+'Debtors+Creditors'!W45)*W6</f>
        <v>178968.91643957456</v>
      </c>
      <c r="X11" s="144">
        <f>('Debtors+Creditors'!X26+'Debtors+Creditors'!X45)*X6</f>
        <v>179279.25380397032</v>
      </c>
      <c r="Y11" s="144">
        <f>('Debtors+Creditors'!Y26+'Debtors+Creditors'!Y45)*Y6</f>
        <v>278141.94454201002</v>
      </c>
      <c r="Z11" s="144">
        <f>('Debtors+Creditors'!Z26+'Debtors+Creditors'!Z45)*Z6</f>
        <v>180481.35768743014</v>
      </c>
      <c r="AA11" s="144">
        <f>('Debtors+Creditors'!AA26+'Debtors+Creditors'!AA45)*AA6</f>
        <v>180944.12058430444</v>
      </c>
      <c r="AB11" s="144">
        <f>('Debtors+Creditors'!AB26+'Debtors+Creditors'!AB45)*AB6</f>
        <v>279826.15889014746</v>
      </c>
      <c r="AC11" s="144">
        <f>('Debtors+Creditors'!AC26+'Debtors+Creditors'!AC45)*AC6</f>
        <v>180347.20157904894</v>
      </c>
      <c r="AD11" s="144">
        <f>('Debtors+Creditors'!AD26+'Debtors+Creditors'!AD45)*AD6</f>
        <v>188035.56594483944</v>
      </c>
      <c r="AE11" s="144">
        <f>('Debtors+Creditors'!AE26+'Debtors+Creditors'!AE45)*AE6</f>
        <v>0</v>
      </c>
      <c r="AF11" s="144">
        <f>('Debtors+Creditors'!AF26+'Debtors+Creditors'!AF45)*AF6</f>
        <v>0</v>
      </c>
      <c r="AG11" s="144">
        <f>('Debtors+Creditors'!AG26+'Debtors+Creditors'!AG45)*AG6</f>
        <v>0</v>
      </c>
    </row>
    <row r="12" spans="1:33" s="203" customFormat="1" ht="17.25" customHeight="1" outlineLevel="2">
      <c r="A12" s="894"/>
      <c r="B12" s="894"/>
      <c r="C12" s="346" t="s">
        <v>426</v>
      </c>
      <c r="D12" s="649"/>
      <c r="E12" s="649"/>
      <c r="F12" s="649"/>
      <c r="G12" s="649"/>
      <c r="I12" s="242">
        <f t="shared" si="1"/>
        <v>0</v>
      </c>
      <c r="J12" s="144">
        <f>(Inputs!J315+Inputs!J316)*J6</f>
        <v>0</v>
      </c>
      <c r="K12" s="144">
        <f>(Inputs!K315+Inputs!K316)*K6</f>
        <v>5000</v>
      </c>
      <c r="L12" s="144">
        <f>(Inputs!L315+Inputs!L316)*L6</f>
        <v>0</v>
      </c>
      <c r="M12" s="144">
        <f>(Inputs!M315+Inputs!M316)*M6</f>
        <v>0</v>
      </c>
      <c r="N12" s="144">
        <f>(Inputs!N315+Inputs!N316)*N6</f>
        <v>0</v>
      </c>
      <c r="O12" s="144">
        <f>(Inputs!O315+Inputs!O316)*O6</f>
        <v>0</v>
      </c>
      <c r="P12" s="144">
        <f>(Inputs!P315+Inputs!P316)*P6</f>
        <v>0</v>
      </c>
      <c r="Q12" s="144">
        <f>(Inputs!Q315+Inputs!Q316)*Q6</f>
        <v>0</v>
      </c>
      <c r="R12" s="144">
        <f>(Inputs!R315+Inputs!R316)*R6</f>
        <v>0</v>
      </c>
      <c r="S12" s="144">
        <f>(Inputs!S315+Inputs!S316)*S6</f>
        <v>0</v>
      </c>
      <c r="T12" s="144">
        <f>(Inputs!T315+Inputs!T316)*T6</f>
        <v>0</v>
      </c>
      <c r="U12" s="144">
        <f>(Inputs!U315+Inputs!U316)*U6</f>
        <v>0</v>
      </c>
      <c r="V12" s="144">
        <f>(Inputs!V315+Inputs!V316)*V6</f>
        <v>0</v>
      </c>
      <c r="W12" s="144">
        <f>(Inputs!W315+Inputs!W316)*W6</f>
        <v>0</v>
      </c>
      <c r="X12" s="144">
        <f>(Inputs!X315+Inputs!X316)*X6</f>
        <v>-3000</v>
      </c>
      <c r="Y12" s="144">
        <f>(Inputs!Y315+Inputs!Y316)*Y6</f>
        <v>0</v>
      </c>
      <c r="Z12" s="144">
        <f>(Inputs!Z315+Inputs!Z316)*Z6</f>
        <v>0</v>
      </c>
      <c r="AA12" s="144">
        <f>(Inputs!AA315+Inputs!AA316)*AA6</f>
        <v>0</v>
      </c>
      <c r="AB12" s="144">
        <f>(Inputs!AB315+Inputs!AB316)*AB6</f>
        <v>0</v>
      </c>
      <c r="AC12" s="144">
        <f>(Inputs!AC315+Inputs!AC316)*AC6</f>
        <v>-2000</v>
      </c>
      <c r="AD12" s="144">
        <f>(Inputs!AD315+Inputs!AD316)*AD6</f>
        <v>0</v>
      </c>
      <c r="AE12" s="144">
        <f>(Inputs!AE315+Inputs!AE316)*AE6</f>
        <v>0</v>
      </c>
      <c r="AF12" s="144">
        <f>(Inputs!AF315+Inputs!AF316)*AF6</f>
        <v>0</v>
      </c>
      <c r="AG12" s="144">
        <f>(Inputs!AG315+Inputs!AG316)*AG6</f>
        <v>0</v>
      </c>
    </row>
    <row r="13" spans="1:33" ht="17.25" customHeight="1" outlineLevel="2">
      <c r="A13" s="894"/>
      <c r="B13" s="894"/>
      <c r="C13" s="117" t="s">
        <v>381</v>
      </c>
      <c r="D13" s="704"/>
      <c r="E13" s="704"/>
      <c r="F13" s="704"/>
      <c r="G13" s="704"/>
      <c r="H13" s="830"/>
      <c r="I13" s="242">
        <f t="shared" si="1"/>
        <v>18250</v>
      </c>
      <c r="J13" s="144">
        <f>(Inputs!J302+Inputs!J304)*J6</f>
        <v>0</v>
      </c>
      <c r="K13" s="144">
        <f>(Inputs!K302+Inputs!K304)*K6</f>
        <v>0</v>
      </c>
      <c r="L13" s="144">
        <f>(Inputs!L302+Inputs!L304)*L6</f>
        <v>0</v>
      </c>
      <c r="M13" s="144">
        <f>(Inputs!M302+Inputs!M304)*M6</f>
        <v>4500</v>
      </c>
      <c r="N13" s="144">
        <f>(Inputs!N302+Inputs!N304)*N6</f>
        <v>0</v>
      </c>
      <c r="O13" s="144">
        <f>(Inputs!O302+Inputs!O304)*O6</f>
        <v>0</v>
      </c>
      <c r="P13" s="144">
        <f>(Inputs!P302+Inputs!P304)*P6</f>
        <v>0</v>
      </c>
      <c r="Q13" s="144">
        <f>(Inputs!Q302+Inputs!Q304)*Q6</f>
        <v>6500</v>
      </c>
      <c r="R13" s="144">
        <f>(Inputs!R302+Inputs!R304)*R6</f>
        <v>0</v>
      </c>
      <c r="S13" s="144">
        <f>(Inputs!S302+Inputs!S304)*S6</f>
        <v>0</v>
      </c>
      <c r="T13" s="144">
        <f>(Inputs!T302+Inputs!T304)*T6</f>
        <v>0</v>
      </c>
      <c r="U13" s="144">
        <f>(Inputs!U302+Inputs!U304)*U6</f>
        <v>0</v>
      </c>
      <c r="V13" s="144">
        <f>(Inputs!V302+Inputs!V304)*V6</f>
        <v>7250</v>
      </c>
      <c r="W13" s="144">
        <f>(Inputs!W302+Inputs!W304)*W6</f>
        <v>0</v>
      </c>
      <c r="X13" s="144">
        <f>(Inputs!X302+Inputs!X304)*X6</f>
        <v>0</v>
      </c>
      <c r="Y13" s="144">
        <f>(Inputs!Y302+Inputs!Y304)*Y6</f>
        <v>0</v>
      </c>
      <c r="Z13" s="144">
        <f>(Inputs!Z302+Inputs!Z304)*Z6</f>
        <v>0</v>
      </c>
      <c r="AA13" s="144">
        <f>(Inputs!AA302+Inputs!AA304)*AA6</f>
        <v>0</v>
      </c>
      <c r="AB13" s="144">
        <f>(Inputs!AB302+Inputs!AB304)*AB6</f>
        <v>0</v>
      </c>
      <c r="AC13" s="144">
        <f>(Inputs!AC302+Inputs!AC304)*AC6</f>
        <v>0</v>
      </c>
      <c r="AD13" s="144">
        <f>(Inputs!AD302+Inputs!AD304)*AD6</f>
        <v>0</v>
      </c>
      <c r="AE13" s="144">
        <f>(Inputs!AE302+Inputs!AE304)*AE6</f>
        <v>0</v>
      </c>
      <c r="AF13" s="144">
        <f>(Inputs!AF302+Inputs!AF304)*AF6</f>
        <v>0</v>
      </c>
      <c r="AG13" s="144">
        <f>(Inputs!AG302+Inputs!AG304)*AG6</f>
        <v>0</v>
      </c>
    </row>
    <row r="14" spans="1:33" ht="17.25" customHeight="1" outlineLevel="2">
      <c r="A14" s="894"/>
      <c r="B14" s="894"/>
      <c r="C14" s="117" t="s">
        <v>383</v>
      </c>
      <c r="D14" s="704"/>
      <c r="E14" s="11" t="s">
        <v>496</v>
      </c>
      <c r="F14" s="11" t="s">
        <v>497</v>
      </c>
      <c r="G14" s="259"/>
      <c r="H14" s="830"/>
      <c r="I14" s="242">
        <f t="shared" si="1"/>
        <v>0</v>
      </c>
      <c r="J14" s="144">
        <f>Capex!J177</f>
        <v>0</v>
      </c>
      <c r="K14" s="144">
        <f>Capex!K177</f>
        <v>0</v>
      </c>
      <c r="L14" s="144">
        <f>Capex!L177</f>
        <v>0</v>
      </c>
      <c r="M14" s="144">
        <f>Capex!M177</f>
        <v>0</v>
      </c>
      <c r="N14" s="144">
        <f>Capex!N177</f>
        <v>0</v>
      </c>
      <c r="O14" s="144">
        <f>Capex!O177</f>
        <v>0</v>
      </c>
      <c r="P14" s="144">
        <f>Capex!P177</f>
        <v>0</v>
      </c>
      <c r="Q14" s="144">
        <f>Capex!Q177</f>
        <v>0</v>
      </c>
      <c r="R14" s="144">
        <f>Capex!R177</f>
        <v>0</v>
      </c>
      <c r="S14" s="144">
        <f>Capex!S177</f>
        <v>0</v>
      </c>
      <c r="T14" s="144">
        <f>Capex!T177</f>
        <v>0</v>
      </c>
      <c r="U14" s="144">
        <f>Capex!U177</f>
        <v>0</v>
      </c>
      <c r="V14" s="144">
        <f>Capex!V177</f>
        <v>0</v>
      </c>
      <c r="W14" s="144">
        <f>Capex!W177</f>
        <v>0</v>
      </c>
      <c r="X14" s="144">
        <f>Capex!X177</f>
        <v>0</v>
      </c>
      <c r="Y14" s="144">
        <f>Capex!Y177</f>
        <v>0</v>
      </c>
      <c r="Z14" s="144">
        <f>Capex!Z177</f>
        <v>0</v>
      </c>
      <c r="AA14" s="144">
        <f>Capex!AA177</f>
        <v>0</v>
      </c>
      <c r="AB14" s="144">
        <f>Capex!AB177</f>
        <v>0</v>
      </c>
      <c r="AC14" s="144">
        <f>Capex!AC177</f>
        <v>0</v>
      </c>
      <c r="AD14" s="144">
        <f>Capex!AD177</f>
        <v>0</v>
      </c>
      <c r="AE14" s="144">
        <f>Capex!AE177</f>
        <v>0</v>
      </c>
      <c r="AF14" s="144">
        <f>Capex!AF177</f>
        <v>0</v>
      </c>
      <c r="AG14" s="144">
        <f>Capex!AG177</f>
        <v>0</v>
      </c>
    </row>
    <row r="15" spans="1:33" s="649" customFormat="1" ht="17.25" customHeight="1" outlineLevel="2">
      <c r="A15" s="894"/>
      <c r="B15" s="894"/>
      <c r="C15" s="117" t="s">
        <v>382</v>
      </c>
      <c r="E15" s="115">
        <f>Inputs!F196</f>
        <v>1.4999999999999999E-2</v>
      </c>
      <c r="F15" s="119">
        <f>E15/months_yr</f>
        <v>1.25E-3</v>
      </c>
      <c r="G15" s="259"/>
      <c r="H15" s="830"/>
      <c r="I15" s="242">
        <f t="shared" ca="1" si="1"/>
        <v>3527.7846600489793</v>
      </c>
      <c r="J15" s="144">
        <f t="shared" ref="J15:AG15" si="2">MAX(0,$F15*I76)*J6</f>
        <v>6.25</v>
      </c>
      <c r="K15" s="144">
        <f t="shared" ca="1" si="2"/>
        <v>0</v>
      </c>
      <c r="L15" s="144">
        <f t="shared" ca="1" si="2"/>
        <v>0</v>
      </c>
      <c r="M15" s="144">
        <f t="shared" ca="1" si="2"/>
        <v>0</v>
      </c>
      <c r="N15" s="144">
        <f t="shared" ca="1" si="2"/>
        <v>65.398914499208331</v>
      </c>
      <c r="O15" s="144">
        <f t="shared" ca="1" si="2"/>
        <v>61.332165751621964</v>
      </c>
      <c r="P15" s="144">
        <f t="shared" ca="1" si="2"/>
        <v>70.400458855444001</v>
      </c>
      <c r="Q15" s="144">
        <f t="shared" ca="1" si="2"/>
        <v>199.63864246709906</v>
      </c>
      <c r="R15" s="144">
        <f t="shared" ca="1" si="2"/>
        <v>243.81094353681067</v>
      </c>
      <c r="S15" s="144">
        <f t="shared" ca="1" si="2"/>
        <v>229.80362272893433</v>
      </c>
      <c r="T15" s="144">
        <f t="shared" ca="1" si="2"/>
        <v>341.12244579663843</v>
      </c>
      <c r="U15" s="144">
        <f t="shared" ca="1" si="2"/>
        <v>354.29030437902412</v>
      </c>
      <c r="V15" s="144">
        <f t="shared" ca="1" si="2"/>
        <v>286.1291254119962</v>
      </c>
      <c r="W15" s="144">
        <f t="shared" ca="1" si="2"/>
        <v>177.95552356066867</v>
      </c>
      <c r="X15" s="144">
        <f t="shared" ca="1" si="2"/>
        <v>134.32959733166132</v>
      </c>
      <c r="Y15" s="144">
        <f t="shared" ca="1" si="2"/>
        <v>103.65193578325407</v>
      </c>
      <c r="Z15" s="144">
        <f t="shared" ca="1" si="2"/>
        <v>205.03000163653422</v>
      </c>
      <c r="AA15" s="144">
        <f t="shared" ca="1" si="2"/>
        <v>230.6478372123043</v>
      </c>
      <c r="AB15" s="144">
        <f t="shared" ca="1" si="2"/>
        <v>203.48363814091022</v>
      </c>
      <c r="AC15" s="144">
        <f t="shared" ca="1" si="2"/>
        <v>297.94225905510331</v>
      </c>
      <c r="AD15" s="144">
        <f t="shared" ca="1" si="2"/>
        <v>316.56724390176652</v>
      </c>
      <c r="AE15" s="144">
        <f t="shared" ca="1" si="2"/>
        <v>0</v>
      </c>
      <c r="AF15" s="144">
        <f t="shared" ca="1" si="2"/>
        <v>0</v>
      </c>
      <c r="AG15" s="144">
        <f t="shared" ca="1" si="2"/>
        <v>0</v>
      </c>
    </row>
    <row r="16" spans="1:33" s="649" customFormat="1" ht="17.25" customHeight="1" outlineLevel="2">
      <c r="A16" s="894"/>
      <c r="B16" s="894"/>
      <c r="C16" s="649" t="s">
        <v>301</v>
      </c>
      <c r="G16" s="259"/>
      <c r="I16" s="242">
        <f t="shared" si="1"/>
        <v>-43066</v>
      </c>
      <c r="J16" s="144">
        <f>-'Debtors+Creditors'!J91*J6</f>
        <v>-1037.5</v>
      </c>
      <c r="K16" s="144">
        <f>-'Debtors+Creditors'!K91*K6</f>
        <v>-1798.5</v>
      </c>
      <c r="L16" s="144">
        <f>-'Debtors+Creditors'!L91*L6</f>
        <v>-2002</v>
      </c>
      <c r="M16" s="144">
        <f>-'Debtors+Creditors'!M91*M6</f>
        <v>-2005</v>
      </c>
      <c r="N16" s="144">
        <f>-'Debtors+Creditors'!N91*N6</f>
        <v>-2005</v>
      </c>
      <c r="O16" s="144">
        <f>-'Debtors+Creditors'!O91*O6</f>
        <v>-2005</v>
      </c>
      <c r="P16" s="144">
        <f>-'Debtors+Creditors'!P91*P6</f>
        <v>-2005</v>
      </c>
      <c r="Q16" s="144">
        <f>-'Debtors+Creditors'!Q91*Q6</f>
        <v>-1984</v>
      </c>
      <c r="R16" s="144">
        <f>-'Debtors+Creditors'!R91*R6</f>
        <v>-1978</v>
      </c>
      <c r="S16" s="144">
        <f>-'Debtors+Creditors'!S91*S6</f>
        <v>-2090</v>
      </c>
      <c r="T16" s="144">
        <f>-'Debtors+Creditors'!T91*T6</f>
        <v>-2205</v>
      </c>
      <c r="U16" s="144">
        <f>-'Debtors+Creditors'!U91*U6</f>
        <v>-2205</v>
      </c>
      <c r="V16" s="144">
        <f>-'Debtors+Creditors'!V91*V6</f>
        <v>-2205</v>
      </c>
      <c r="W16" s="144">
        <f>-'Debtors+Creditors'!W91*W6</f>
        <v>-2205</v>
      </c>
      <c r="X16" s="144">
        <f>-'Debtors+Creditors'!X91*X6</f>
        <v>-2205</v>
      </c>
      <c r="Y16" s="144">
        <f>-'Debtors+Creditors'!Y91*Y6</f>
        <v>-2205</v>
      </c>
      <c r="Z16" s="144">
        <f>-'Debtors+Creditors'!Z91*Z6</f>
        <v>-2205</v>
      </c>
      <c r="AA16" s="144">
        <f>-'Debtors+Creditors'!AA91*AA6</f>
        <v>-2205</v>
      </c>
      <c r="AB16" s="144">
        <f>-'Debtors+Creditors'!AB91*AB6</f>
        <v>-2205</v>
      </c>
      <c r="AC16" s="144">
        <f>-'Debtors+Creditors'!AC91*AC6</f>
        <v>-2147.5</v>
      </c>
      <c r="AD16" s="144">
        <f>-'Debtors+Creditors'!AD91*AD6</f>
        <v>-2163.5</v>
      </c>
      <c r="AE16" s="144">
        <f>-'Debtors+Creditors'!AE91*AE6</f>
        <v>0</v>
      </c>
      <c r="AF16" s="144">
        <f>-'Debtors+Creditors'!AF91*AF6</f>
        <v>0</v>
      </c>
      <c r="AG16" s="144">
        <f>-'Debtors+Creditors'!AG91*AG6</f>
        <v>0</v>
      </c>
    </row>
    <row r="17" spans="1:33" ht="17.25" customHeight="1" outlineLevel="2">
      <c r="A17" s="894"/>
      <c r="B17" s="894"/>
      <c r="C17" s="117" t="str">
        <f>"Cost of Materials/Goods (incl. "&amp;Name_VAT &amp;")"</f>
        <v>Cost of Materials/Goods (incl. VAT)</v>
      </c>
      <c r="D17" s="130"/>
      <c r="F17" s="203"/>
      <c r="G17" s="259"/>
      <c r="H17" s="203"/>
      <c r="I17" s="242">
        <f t="shared" si="1"/>
        <v>-1711770.7021944325</v>
      </c>
      <c r="J17" s="144">
        <f>-('Debtors+Creditors'!J68+'Debtors+Creditors'!J77)*J6</f>
        <v>-43846.591850000004</v>
      </c>
      <c r="K17" s="144">
        <f>-('Debtors+Creditors'!K68+'Debtors+Creditors'!K77)*K6</f>
        <v>-87180.639712499993</v>
      </c>
      <c r="L17" s="144">
        <f>-('Debtors+Creditors'!L68+'Debtors+Creditors'!L77)*L6</f>
        <v>-83705.461789624998</v>
      </c>
      <c r="M17" s="144">
        <f>-('Debtors+Creditors'!M68+'Debtors+Creditors'!M77)*M6</f>
        <v>-83378.799187521246</v>
      </c>
      <c r="N17" s="144">
        <f>-('Debtors+Creditors'!N68+'Debtors+Creditors'!N77)*N6</f>
        <v>-83508.183559396464</v>
      </c>
      <c r="O17" s="144">
        <f>-('Debtors+Creditors'!O68+'Debtors+Creditors'!O77)*O6</f>
        <v>-83525.216574990438</v>
      </c>
      <c r="P17" s="144">
        <f>-('Debtors+Creditors'!P68+'Debtors+Creditors'!P77)*P6</f>
        <v>-83542.419920740344</v>
      </c>
      <c r="Q17" s="144">
        <f>-('Debtors+Creditors'!Q68+'Debtors+Creditors'!Q77)*Q6</f>
        <v>-82537.255299947719</v>
      </c>
      <c r="R17" s="144">
        <f>-('Debtors+Creditors'!R68+'Debtors+Creditors'!R77)*R6</f>
        <v>-80149.544432947208</v>
      </c>
      <c r="S17" s="144">
        <f>-('Debtors+Creditors'!S68+'Debtors+Creditors'!S77)*S6</f>
        <v>-83469.789057276677</v>
      </c>
      <c r="T17" s="144">
        <f>-('Debtors+Creditors'!T68+'Debtors+Creditors'!T77)*T6</f>
        <v>-84800.602127849459</v>
      </c>
      <c r="U17" s="144">
        <f>-('Debtors+Creditors'!U68+'Debtors+Creditors'!U77)*U6</f>
        <v>-83222.563617127948</v>
      </c>
      <c r="V17" s="144">
        <f>-('Debtors+Creditors'!V68+'Debtors+Creditors'!V77)*V6</f>
        <v>-83094.492881299229</v>
      </c>
      <c r="W17" s="144">
        <f>-('Debtors+Creditors'!W68+'Debtors+Creditors'!W77)*W6</f>
        <v>-83129.071710112214</v>
      </c>
      <c r="X17" s="144">
        <f>-('Debtors+Creditors'!X68+'Debtors+Creditors'!X77)*X6</f>
        <v>-83163.996327213346</v>
      </c>
      <c r="Y17" s="144">
        <f>-('Debtors+Creditors'!Y68+'Debtors+Creditors'!Y77)*Y6</f>
        <v>-83199.270190485462</v>
      </c>
      <c r="Z17" s="144">
        <f>-('Debtors+Creditors'!Z68+'Debtors+Creditors'!Z77)*Z6</f>
        <v>-83349.736792390322</v>
      </c>
      <c r="AA17" s="144">
        <f>-('Debtors+Creditors'!AA68+'Debtors+Creditors'!AA77)*AA6</f>
        <v>-83347.439660314238</v>
      </c>
      <c r="AB17" s="144">
        <f>-('Debtors+Creditors'!AB68+'Debtors+Creditors'!AB77)*AB6</f>
        <v>-83307.22235691738</v>
      </c>
      <c r="AC17" s="144">
        <f>-('Debtors+Creditors'!AC68+'Debtors+Creditors'!AC77)*AC6</f>
        <v>-82015.728480486549</v>
      </c>
      <c r="AD17" s="144">
        <f>-('Debtors+Creditors'!AD68+'Debtors+Creditors'!AD77)*AD6</f>
        <v>-84296.676665291423</v>
      </c>
      <c r="AE17" s="144">
        <f>-('Debtors+Creditors'!AE68+'Debtors+Creditors'!AE77)*AE6</f>
        <v>0</v>
      </c>
      <c r="AF17" s="144">
        <f>-('Debtors+Creditors'!AF68+'Debtors+Creditors'!AF77)*AF6</f>
        <v>0</v>
      </c>
      <c r="AG17" s="144">
        <f>-('Debtors+Creditors'!AG68+'Debtors+Creditors'!AG77)*AG6</f>
        <v>0</v>
      </c>
    </row>
    <row r="18" spans="1:33" s="649" customFormat="1" ht="17.25" customHeight="1" outlineLevel="2">
      <c r="A18" s="894"/>
      <c r="B18" s="894"/>
      <c r="C18" s="649" t="str">
        <f>"Other Direct Costs (incl. "&amp;Name_VAT &amp;")"</f>
        <v>Other Direct Costs (incl. VAT)</v>
      </c>
      <c r="G18" s="259"/>
      <c r="I18" s="242">
        <f t="shared" ca="1" si="1"/>
        <v>-88110.12825429553</v>
      </c>
      <c r="J18" s="144">
        <f ca="1">-('Debtors+Creditors'!J117+'Debtors+Creditors'!J126)*J6</f>
        <v>-3005.2908000000002</v>
      </c>
      <c r="K18" s="144">
        <f ca="1">-('Debtors+Creditors'!K117+'Debtors+Creditors'!K126)*K6</f>
        <v>-3151.66167</v>
      </c>
      <c r="L18" s="144">
        <f ca="1">-('Debtors+Creditors'!L117+'Debtors+Creditors'!L126)*L6</f>
        <v>-3213.6941486999999</v>
      </c>
      <c r="M18" s="144">
        <f ca="1">-('Debtors+Creditors'!M117+'Debtors+Creditors'!M126)*M6</f>
        <v>-3278.7409521870004</v>
      </c>
      <c r="N18" s="144">
        <f ca="1">-('Debtors+Creditors'!N117+'Debtors+Creditors'!N126)*N6</f>
        <v>-3346.9519237088703</v>
      </c>
      <c r="O18" s="144">
        <f ca="1">-('Debtors+Creditors'!O117+'Debtors+Creditors'!O126)*O6</f>
        <v>-3418.4843899459593</v>
      </c>
      <c r="P18" s="144">
        <f ca="1">-('Debtors+Creditors'!P117+'Debtors+Creditors'!P126)*P6</f>
        <v>-4633.7315350954195</v>
      </c>
      <c r="Q18" s="144">
        <f ca="1">-('Debtors+Creditors'!Q117+'Debtors+Creditors'!Q126)*Q6</f>
        <v>-3521.3387936588733</v>
      </c>
      <c r="R18" s="144">
        <f ca="1">-('Debtors+Creditors'!R117+'Debtors+Creditors'!R126)*R6</f>
        <v>-3632.3602628685867</v>
      </c>
      <c r="S18" s="144">
        <f ca="1">-('Debtors+Creditors'!S117+'Debtors+Creditors'!S126)*S6</f>
        <v>-4911.6971357340544</v>
      </c>
      <c r="T18" s="144">
        <f ca="1">-('Debtors+Creditors'!T117+'Debtors+Creditors'!T126)*T6</f>
        <v>-3862.714155740015</v>
      </c>
      <c r="U18" s="144">
        <f ca="1">-('Debtors+Creditors'!U117+'Debtors+Creditors'!U126)*U6</f>
        <v>-3944.0229942784667</v>
      </c>
      <c r="V18" s="144">
        <f ca="1">-('Debtors+Creditors'!V117+'Debtors+Creditors'!V126)*V6</f>
        <v>-5184.9606089513554</v>
      </c>
      <c r="W18" s="144">
        <f ca="1">-('Debtors+Creditors'!W117+'Debtors+Creditors'!W126)*W6</f>
        <v>-4149.8906135074785</v>
      </c>
      <c r="X18" s="144">
        <f ca="1">-('Debtors+Creditors'!X117+'Debtors+Creditors'!X126)*X6</f>
        <v>-4260.4250305324922</v>
      </c>
      <c r="Y18" s="144">
        <f ca="1">-('Debtors+Creditors'!Y117+'Debtors+Creditors'!Y126)*Y6</f>
        <v>-5516.9340717722544</v>
      </c>
      <c r="Z18" s="144">
        <f ca="1">-('Debtors+Creditors'!Z117+'Debtors+Creditors'!Z126)*Z6</f>
        <v>-4505.5007474711356</v>
      </c>
      <c r="AA18" s="144">
        <f ca="1">-('Debtors+Creditors'!AA117+'Debtors+Creditors'!AA126)*AA6</f>
        <v>-4633.0695061760625</v>
      </c>
      <c r="AB18" s="144">
        <f ca="1">-('Debtors+Creditors'!AB117+'Debtors+Creditors'!AB126)*AB6</f>
        <v>-5907.5749065295513</v>
      </c>
      <c r="AC18" s="144">
        <f ca="1">-('Debtors+Creditors'!AC117+'Debtors+Creditors'!AC126)*AC6</f>
        <v>-4881.0563226511604</v>
      </c>
      <c r="AD18" s="144">
        <f ca="1">-('Debtors+Creditors'!AD117+'Debtors+Creditors'!AD126)*AD6</f>
        <v>-5150.0276847868008</v>
      </c>
      <c r="AE18" s="144">
        <f ca="1">-('Debtors+Creditors'!AE117+'Debtors+Creditors'!AE126)*AE6</f>
        <v>0</v>
      </c>
      <c r="AF18" s="144">
        <f ca="1">-('Debtors+Creditors'!AF117+'Debtors+Creditors'!AF126)*AF6</f>
        <v>0</v>
      </c>
      <c r="AG18" s="144">
        <f ca="1">-('Debtors+Creditors'!AG117+'Debtors+Creditors'!AG126)*AG6</f>
        <v>0</v>
      </c>
    </row>
    <row r="19" spans="1:33" s="649" customFormat="1" ht="17.25" customHeight="1" outlineLevel="2">
      <c r="A19" s="894"/>
      <c r="B19" s="894"/>
      <c r="C19" s="649" t="str">
        <f>"Overheads (incl. "&amp;Name_VAT &amp;")"</f>
        <v>Overheads (incl. VAT)</v>
      </c>
      <c r="G19" s="259"/>
      <c r="I19" s="242">
        <f t="shared" ca="1" si="1"/>
        <v>-932264.40779708978</v>
      </c>
      <c r="J19" s="144">
        <f ca="1">-('Debtors+Creditors'!J173+'Debtors+Creditors'!J182+'Human Resources'!J80+'Human Resources'!J155)*J6</f>
        <v>-28515.881600000001</v>
      </c>
      <c r="K19" s="144">
        <f ca="1">-('Debtors+Creditors'!K173+'Debtors+Creditors'!K182+'Human Resources'!K80+'Human Resources'!K155)*K6</f>
        <v>-26321.423339999998</v>
      </c>
      <c r="L19" s="144">
        <f ca="1">-('Debtors+Creditors'!L173+'Debtors+Creditors'!L182+'Human Resources'!L80+'Human Resources'!L155)*L6</f>
        <v>-26715.6682974</v>
      </c>
      <c r="M19" s="144">
        <f ca="1">-('Debtors+Creditors'!M173+'Debtors+Creditors'!M182+'Human Resources'!M80+'Human Resources'!M155)*M6</f>
        <v>-27178.379704374001</v>
      </c>
      <c r="N19" s="144">
        <f ca="1">-('Debtors+Creditors'!N173+'Debtors+Creditors'!N182+'Human Resources'!N80+'Human Resources'!N155)*N6</f>
        <v>-26888.75822541774</v>
      </c>
      <c r="O19" s="144">
        <f ca="1">-('Debtors+Creditors'!O173+'Debtors+Creditors'!O182+'Human Resources'!O80+'Human Resources'!O155)*O6</f>
        <v>-37854.571198338585</v>
      </c>
      <c r="P19" s="144">
        <f ca="1">-('Debtors+Creditors'!P173+'Debtors+Creditors'!P182+'Human Resources'!P80+'Human Resources'!P155)*P6</f>
        <v>-38291.741967655304</v>
      </c>
      <c r="Q19" s="144">
        <f ca="1">-('Debtors+Creditors'!Q173+'Debtors+Creditors'!Q182+'Human Resources'!Q80+'Human Resources'!Q155)*Q6</f>
        <v>-42446.281884665186</v>
      </c>
      <c r="R19" s="144">
        <f ca="1">-('Debtors+Creditors'!R173+'Debtors+Creditors'!R182+'Human Resources'!R80+'Human Resources'!R155)*R6</f>
        <v>-42966.335640845173</v>
      </c>
      <c r="S19" s="144">
        <f ca="1">-('Debtors+Creditors'!S173+'Debtors+Creditors'!S182+'Human Resources'!S80+'Human Resources'!S155)*S6</f>
        <v>-45062.623934586962</v>
      </c>
      <c r="T19" s="144">
        <f ca="1">-('Debtors+Creditors'!T173+'Debtors+Creditors'!T182+'Human Resources'!T80+'Human Resources'!T155)*T6</f>
        <v>-52802.408804599501</v>
      </c>
      <c r="U19" s="144">
        <f ca="1">-('Debtors+Creditors'!U173+'Debtors+Creditors'!U182+'Human Resources'!U80+'Human Resources'!U155)*U6</f>
        <v>-48237.826096645491</v>
      </c>
      <c r="V19" s="144">
        <f ca="1">-('Debtors+Creditors'!V173+'Debtors+Creditors'!V182+'Human Resources'!V80+'Human Resources'!V155)*V6</f>
        <v>-50230.841177611954</v>
      </c>
      <c r="W19" s="144">
        <f ca="1">-('Debtors+Creditors'!W173+'Debtors+Creditors'!W182+'Human Resources'!W80+'Human Resources'!W155)*W6</f>
        <v>-53901.150622721405</v>
      </c>
      <c r="X19" s="144">
        <f ca="1">-('Debtors+Creditors'!X173+'Debtors+Creditors'!X182+'Human Resources'!X80+'Human Resources'!X155)*X6</f>
        <v>-53059.624615615285</v>
      </c>
      <c r="Y19" s="144">
        <f ca="1">-('Debtors+Creditors'!Y173+'Debtors+Creditors'!Y182+'Human Resources'!Y80+'Human Resources'!Y155)*Y6</f>
        <v>-54859.325348438098</v>
      </c>
      <c r="Z19" s="144">
        <f ca="1">-('Debtors+Creditors'!Z173+'Debtors+Creditors'!Z182+'Human Resources'!Z80+'Human Resources'!Z155)*Z6</f>
        <v>-52681.88168858915</v>
      </c>
      <c r="AA19" s="144">
        <f ca="1">-('Debtors+Creditors'!AA173+'Debtors+Creditors'!AA182+'Human Resources'!AA80+'Human Resources'!AA155)*AA6</f>
        <v>-52770.618512141707</v>
      </c>
      <c r="AB19" s="144">
        <f ca="1">-('Debtors+Creditors'!AB173+'Debtors+Creditors'!AB182+'Human Resources'!AB80+'Human Resources'!AB155)*AB6</f>
        <v>-58420.083537263119</v>
      </c>
      <c r="AC19" s="144">
        <f ca="1">-('Debtors+Creditors'!AC173+'Debtors+Creditors'!AC182+'Human Resources'!AC80+'Human Resources'!AC155)*AC6</f>
        <v>-56551.391990969089</v>
      </c>
      <c r="AD19" s="144">
        <f ca="1">-('Debtors+Creditors'!AD173+'Debtors+Creditors'!AD182+'Human Resources'!AD80+'Human Resources'!AD155)*AD6</f>
        <v>-56507.589609212111</v>
      </c>
      <c r="AE19" s="144">
        <f ca="1">-('Debtors+Creditors'!AE173+'Debtors+Creditors'!AE182+'Human Resources'!AE80+'Human Resources'!AE155)*AE6</f>
        <v>0</v>
      </c>
      <c r="AF19" s="144">
        <f ca="1">-('Debtors+Creditors'!AF173+'Debtors+Creditors'!AF182+'Human Resources'!AF80+'Human Resources'!AF155)*AF6</f>
        <v>0</v>
      </c>
      <c r="AG19" s="144">
        <f ca="1">-('Debtors+Creditors'!AG173+'Debtors+Creditors'!AG182+'Human Resources'!AG80+'Human Resources'!AG155)*AG6</f>
        <v>0</v>
      </c>
    </row>
    <row r="20" spans="1:33" s="649" customFormat="1" ht="17.25" customHeight="1" outlineLevel="2">
      <c r="A20" s="894"/>
      <c r="B20" s="894"/>
      <c r="C20" s="649" t="str">
        <f>CHOOSE(language,"Direct labour costs (w/o social insurance+income tax)","Direct labor costs (w/o social insurance+income tax)")</f>
        <v>Direct labor costs (w/o social insurance+income tax)</v>
      </c>
      <c r="E20" s="704"/>
      <c r="I20" s="242">
        <f t="shared" si="1"/>
        <v>-120825.83333333333</v>
      </c>
      <c r="J20" s="144">
        <f>-('Costs 02'!J286-'Costs 02'!J231)*J6</f>
        <v>-3416.6666666666665</v>
      </c>
      <c r="K20" s="144">
        <f>-('Costs 02'!K286-'Costs 02'!K231)*K6</f>
        <v>-3416.6666666666665</v>
      </c>
      <c r="L20" s="144">
        <f>-('Costs 02'!L286-'Costs 02'!L231)*L6</f>
        <v>-3416.6666666666665</v>
      </c>
      <c r="M20" s="144">
        <f>-('Costs 02'!M286-'Costs 02'!M231)*M6</f>
        <v>-3416.6666666666665</v>
      </c>
      <c r="N20" s="144">
        <f>-('Costs 02'!N286-'Costs 02'!N231)*N6</f>
        <v>-3416.6666666666665</v>
      </c>
      <c r="O20" s="144">
        <f>-('Costs 02'!O286-'Costs 02'!O231)*O6</f>
        <v>-3416.6666666666665</v>
      </c>
      <c r="P20" s="144">
        <f>-('Costs 02'!P286-'Costs 02'!P231)*P6</f>
        <v>-5083.333333333333</v>
      </c>
      <c r="Q20" s="144">
        <f>-('Costs 02'!Q286-'Costs 02'!Q231)*Q6</f>
        <v>-6750.0000000000009</v>
      </c>
      <c r="R20" s="144">
        <f>-('Costs 02'!R286-'Costs 02'!R231)*R6</f>
        <v>-6750.0000000000009</v>
      </c>
      <c r="S20" s="144">
        <f>-('Costs 02'!S286-'Costs 02'!S231)*S6</f>
        <v>-6750.0000000000009</v>
      </c>
      <c r="T20" s="144">
        <f>-('Costs 02'!T286-'Costs 02'!T231)*T6</f>
        <v>-6817.4999999999991</v>
      </c>
      <c r="U20" s="144">
        <f>-('Costs 02'!U286-'Costs 02'!U231)*U6</f>
        <v>-6817.4999999999991</v>
      </c>
      <c r="V20" s="144">
        <f>-('Costs 02'!V286-'Costs 02'!V231)*V6</f>
        <v>-6817.4999999999991</v>
      </c>
      <c r="W20" s="144">
        <f>-('Costs 02'!W286-'Costs 02'!W231)*W6</f>
        <v>-6817.4999999999991</v>
      </c>
      <c r="X20" s="144">
        <f>-('Costs 02'!X286-'Costs 02'!X231)*X6</f>
        <v>-6817.4999999999991</v>
      </c>
      <c r="Y20" s="144">
        <f>-('Costs 02'!Y286-'Costs 02'!Y231)*Y6</f>
        <v>-6817.4999999999991</v>
      </c>
      <c r="Z20" s="144">
        <f>-('Costs 02'!Z286-'Costs 02'!Z231)*Z6</f>
        <v>-6817.4999999999991</v>
      </c>
      <c r="AA20" s="144">
        <f>-('Costs 02'!AA286-'Costs 02'!AA231)*AA6</f>
        <v>-6817.4999999999991</v>
      </c>
      <c r="AB20" s="144">
        <f>-('Costs 02'!AB286-'Costs 02'!AB231)*AB6</f>
        <v>-6817.4999999999991</v>
      </c>
      <c r="AC20" s="144">
        <f>-('Costs 02'!AC286-'Costs 02'!AC231)*AC6</f>
        <v>-6817.4999999999991</v>
      </c>
      <c r="AD20" s="144">
        <f>-('Costs 02'!AD286-'Costs 02'!AD231)*AD6</f>
        <v>-6817.4999999999991</v>
      </c>
      <c r="AE20" s="144">
        <f>-('Costs 02'!AE286-'Costs 02'!AE231)*AE6</f>
        <v>0</v>
      </c>
      <c r="AF20" s="144">
        <f>-('Costs 02'!AF286-'Costs 02'!AF231)*AF6</f>
        <v>0</v>
      </c>
      <c r="AG20" s="144">
        <f>-('Costs 02'!AG286-'Costs 02'!AG231)*AG6</f>
        <v>0</v>
      </c>
    </row>
    <row r="21" spans="1:33" s="649" customFormat="1" ht="17.25" customHeight="1" outlineLevel="2">
      <c r="A21" s="894"/>
      <c r="B21" s="894"/>
      <c r="C21" s="649" t="s">
        <v>822</v>
      </c>
      <c r="E21" s="704"/>
      <c r="I21" s="242">
        <f t="shared" si="1"/>
        <v>-148994.79166666669</v>
      </c>
      <c r="J21" s="144">
        <f>'Debtors+Creditors'!J195*J6</f>
        <v>0</v>
      </c>
      <c r="K21" s="144">
        <f>'Debtors+Creditors'!K195*K6</f>
        <v>-3437.5000000000005</v>
      </c>
      <c r="L21" s="144">
        <f>'Debtors+Creditors'!L195*L6</f>
        <v>-5937.5</v>
      </c>
      <c r="M21" s="144">
        <f>'Debtors+Creditors'!M195*M6</f>
        <v>-3437.5000000000005</v>
      </c>
      <c r="N21" s="144">
        <f>'Debtors+Creditors'!N195*N6</f>
        <v>-3437.5000000000005</v>
      </c>
      <c r="O21" s="144">
        <f>'Debtors+Creditors'!O195*O6</f>
        <v>-5437.5</v>
      </c>
      <c r="P21" s="144">
        <f>'Debtors+Creditors'!P195*P6</f>
        <v>-5208.333333333333</v>
      </c>
      <c r="Q21" s="144">
        <f>'Debtors+Creditors'!Q195*Q6</f>
        <v>-5625</v>
      </c>
      <c r="R21" s="144">
        <f>'Debtors+Creditors'!R195*R6</f>
        <v>-7604.166666666667</v>
      </c>
      <c r="S21" s="144">
        <f>'Debtors+Creditors'!S195*S6</f>
        <v>-7604.166666666667</v>
      </c>
      <c r="T21" s="144">
        <f>'Debtors+Creditors'!T195*T6</f>
        <v>-7604.166666666667</v>
      </c>
      <c r="U21" s="144">
        <f>'Debtors+Creditors'!U195*U6</f>
        <v>-8618.75</v>
      </c>
      <c r="V21" s="144">
        <f>'Debtors+Creditors'!V195*V6</f>
        <v>-8618.75</v>
      </c>
      <c r="W21" s="144">
        <f>'Debtors+Creditors'!W195*W6</f>
        <v>-8618.75</v>
      </c>
      <c r="X21" s="144">
        <f>'Debtors+Creditors'!X195*X6</f>
        <v>-9472.9166666666679</v>
      </c>
      <c r="Y21" s="144">
        <f>'Debtors+Creditors'!Y195*Y6</f>
        <v>-9472.9166666666679</v>
      </c>
      <c r="Z21" s="144">
        <f>'Debtors+Creditors'!Z195*Z6</f>
        <v>-9472.9166666666679</v>
      </c>
      <c r="AA21" s="144">
        <f>'Debtors+Creditors'!AA195*AA6</f>
        <v>-9472.9166666666679</v>
      </c>
      <c r="AB21" s="144">
        <f>'Debtors+Creditors'!AB195*AB6</f>
        <v>-9472.9166666666679</v>
      </c>
      <c r="AC21" s="144">
        <f>'Debtors+Creditors'!AC195*AC6</f>
        <v>-10220.3125</v>
      </c>
      <c r="AD21" s="144">
        <f>'Debtors+Creditors'!AD195*AD6</f>
        <v>-10220.3125</v>
      </c>
      <c r="AE21" s="144">
        <f>'Debtors+Creditors'!AE195*AE6</f>
        <v>0</v>
      </c>
      <c r="AF21" s="144">
        <f>'Debtors+Creditors'!AF195*AF6</f>
        <v>0</v>
      </c>
      <c r="AG21" s="144">
        <f>'Debtors+Creditors'!AG195*AG6</f>
        <v>0</v>
      </c>
    </row>
    <row r="22" spans="1:33" s="203" customFormat="1" ht="17.25" customHeight="1" outlineLevel="2">
      <c r="A22" s="894"/>
      <c r="B22" s="894"/>
      <c r="C22" s="831" t="s">
        <v>364</v>
      </c>
      <c r="E22" s="704"/>
      <c r="I22" s="242">
        <f t="shared" si="1"/>
        <v>-1750</v>
      </c>
      <c r="J22" s="144">
        <f>-Inputs!J303*J6</f>
        <v>0</v>
      </c>
      <c r="K22" s="144">
        <f>-Inputs!K303*K6</f>
        <v>0</v>
      </c>
      <c r="L22" s="144">
        <f>-Inputs!L303*L6</f>
        <v>0</v>
      </c>
      <c r="M22" s="144">
        <f>-Inputs!M303*M6</f>
        <v>0</v>
      </c>
      <c r="N22" s="144">
        <f>-Inputs!N303*N6</f>
        <v>0</v>
      </c>
      <c r="O22" s="144">
        <f>-Inputs!O303*O6</f>
        <v>0</v>
      </c>
      <c r="P22" s="144">
        <f>-Inputs!P303*P6</f>
        <v>0</v>
      </c>
      <c r="Q22" s="144">
        <f>-Inputs!Q303*Q6</f>
        <v>0</v>
      </c>
      <c r="R22" s="144">
        <f>-Inputs!R303*R6</f>
        <v>0</v>
      </c>
      <c r="S22" s="144">
        <f>-Inputs!S303*S6</f>
        <v>0</v>
      </c>
      <c r="T22" s="144">
        <f>-Inputs!T303*T6</f>
        <v>0</v>
      </c>
      <c r="U22" s="144">
        <f>-Inputs!U303*U6</f>
        <v>0</v>
      </c>
      <c r="V22" s="144">
        <f>-Inputs!V303*V6</f>
        <v>0</v>
      </c>
      <c r="W22" s="144">
        <f>-Inputs!W303*W6</f>
        <v>0</v>
      </c>
      <c r="X22" s="144">
        <f>-Inputs!X303*X6</f>
        <v>0</v>
      </c>
      <c r="Y22" s="144">
        <f>-Inputs!Y303*Y6</f>
        <v>0</v>
      </c>
      <c r="Z22" s="144">
        <f>-Inputs!Z303*Z6</f>
        <v>0</v>
      </c>
      <c r="AA22" s="144">
        <f>-Inputs!AA303*AA6</f>
        <v>-1750</v>
      </c>
      <c r="AB22" s="144">
        <f>-Inputs!AB303*AB6</f>
        <v>0</v>
      </c>
      <c r="AC22" s="144">
        <f>-Inputs!AC303*AC6</f>
        <v>0</v>
      </c>
      <c r="AD22" s="144">
        <f>-Inputs!AD303*AD6</f>
        <v>0</v>
      </c>
      <c r="AE22" s="144">
        <f>-Inputs!AE303*AE6</f>
        <v>0</v>
      </c>
      <c r="AF22" s="144">
        <f>-Inputs!AF303*AF6</f>
        <v>0</v>
      </c>
      <c r="AG22" s="144">
        <f>-Inputs!AG303*AG6</f>
        <v>0</v>
      </c>
    </row>
    <row r="23" spans="1:33" ht="17.25" customHeight="1" outlineLevel="2">
      <c r="A23" s="894"/>
      <c r="B23" s="894"/>
      <c r="C23" s="831" t="str">
        <f>"Capital Expenditure (incl. "&amp;Name_VAT &amp;")"</f>
        <v>Capital Expenditure (incl. VAT)</v>
      </c>
      <c r="E23" s="36"/>
      <c r="I23" s="242">
        <f t="shared" si="1"/>
        <v>-558550</v>
      </c>
      <c r="J23" s="144">
        <f>-(Capex!J160+Capex!J182)*J6</f>
        <v>-134000</v>
      </c>
      <c r="K23" s="144">
        <f>-(Capex!K160+Capex!K182)*K6</f>
        <v>-255200</v>
      </c>
      <c r="L23" s="144">
        <f>-(Capex!L160+Capex!L182)*L6</f>
        <v>0</v>
      </c>
      <c r="M23" s="144">
        <f>-(Capex!M160+Capex!M182)*M6</f>
        <v>-6400</v>
      </c>
      <c r="N23" s="144">
        <f>-(Capex!N160+Capex!N182)*N6</f>
        <v>-55000</v>
      </c>
      <c r="O23" s="144">
        <f>-(Capex!O160+Capex!O182)*O6</f>
        <v>0</v>
      </c>
      <c r="P23" s="144">
        <f>-(Capex!P160+Capex!P182)*P6</f>
        <v>0</v>
      </c>
      <c r="Q23" s="144">
        <f>-(Capex!Q160+Capex!Q182)*Q6</f>
        <v>0</v>
      </c>
      <c r="R23" s="144">
        <f>-(Capex!R160+Capex!R182)*R6</f>
        <v>0</v>
      </c>
      <c r="S23" s="144">
        <f>-(Capex!S160+Capex!S182)*S6</f>
        <v>0</v>
      </c>
      <c r="T23" s="144">
        <f>-(Capex!T160+Capex!T182)*T6</f>
        <v>0</v>
      </c>
      <c r="U23" s="144">
        <f>-(Capex!U160+Capex!U182)*U6</f>
        <v>-48950</v>
      </c>
      <c r="V23" s="144">
        <f>-(Capex!V160+Capex!V182)*V6</f>
        <v>0</v>
      </c>
      <c r="W23" s="144">
        <f>-(Capex!W160+Capex!W182)*W6</f>
        <v>-59000</v>
      </c>
      <c r="X23" s="144">
        <f>-(Capex!X160+Capex!X182)*X6</f>
        <v>0</v>
      </c>
      <c r="Y23" s="144">
        <f>-(Capex!Y160+Capex!Y182)*Y6</f>
        <v>0</v>
      </c>
      <c r="Z23" s="144">
        <f>-(Capex!Z160+Capex!Z182)*Z6</f>
        <v>0</v>
      </c>
      <c r="AA23" s="144">
        <f>-(Capex!AA160+Capex!AA182)*AA6</f>
        <v>0</v>
      </c>
      <c r="AB23" s="144">
        <f>-(Capex!AB160+Capex!AB182)*AB6</f>
        <v>0</v>
      </c>
      <c r="AC23" s="144">
        <f>-(Capex!AC160+Capex!AC182)*AC6</f>
        <v>0</v>
      </c>
      <c r="AD23" s="144">
        <f>-(Capex!AD160+Capex!AD182)*AD6</f>
        <v>0</v>
      </c>
      <c r="AE23" s="144">
        <f>-(Capex!AE160+Capex!AE182)*AE6</f>
        <v>0</v>
      </c>
      <c r="AF23" s="144">
        <f>-(Capex!AF160+Capex!AF182)*AF6</f>
        <v>0</v>
      </c>
      <c r="AG23" s="144">
        <f>-(Capex!AG160+Capex!AG182)*AG6</f>
        <v>0</v>
      </c>
    </row>
    <row r="24" spans="1:33" s="704" customFormat="1" ht="17.25" customHeight="1" outlineLevel="2">
      <c r="A24" s="894"/>
      <c r="B24" s="894"/>
      <c r="C24" s="831" t="s">
        <v>488</v>
      </c>
      <c r="E24" s="36"/>
      <c r="I24" s="242">
        <f t="shared" si="1"/>
        <v>-2125</v>
      </c>
      <c r="J24" s="144">
        <f>-Capex!J169</f>
        <v>0</v>
      </c>
      <c r="K24" s="144">
        <f>-Capex!K169</f>
        <v>0</v>
      </c>
      <c r="L24" s="144">
        <f>-Capex!L169</f>
        <v>0</v>
      </c>
      <c r="M24" s="144">
        <f>-Capex!M169</f>
        <v>0</v>
      </c>
      <c r="N24" s="144">
        <f>-Capex!N169</f>
        <v>-125</v>
      </c>
      <c r="O24" s="144">
        <f>-Capex!O169</f>
        <v>-125</v>
      </c>
      <c r="P24" s="144">
        <f>-Capex!P169</f>
        <v>-125</v>
      </c>
      <c r="Q24" s="144">
        <f>-Capex!Q169</f>
        <v>-125</v>
      </c>
      <c r="R24" s="144">
        <f>-Capex!R169</f>
        <v>-125</v>
      </c>
      <c r="S24" s="144">
        <f>-Capex!S169</f>
        <v>-125</v>
      </c>
      <c r="T24" s="144">
        <f>-Capex!T169</f>
        <v>-125</v>
      </c>
      <c r="U24" s="144">
        <f>-Capex!U169</f>
        <v>-125</v>
      </c>
      <c r="V24" s="144">
        <f>-Capex!V169</f>
        <v>-125</v>
      </c>
      <c r="W24" s="144">
        <f>-Capex!W169</f>
        <v>-125</v>
      </c>
      <c r="X24" s="144">
        <f>-Capex!X169</f>
        <v>-125</v>
      </c>
      <c r="Y24" s="144">
        <f>-Capex!Y169</f>
        <v>-125</v>
      </c>
      <c r="Z24" s="144">
        <f>-Capex!Z169</f>
        <v>-125</v>
      </c>
      <c r="AA24" s="144">
        <f>-Capex!AA169</f>
        <v>-125</v>
      </c>
      <c r="AB24" s="144">
        <f>-Capex!AB169</f>
        <v>-125</v>
      </c>
      <c r="AC24" s="144">
        <f>-Capex!AC169</f>
        <v>-125</v>
      </c>
      <c r="AD24" s="144">
        <f>-Capex!AD169</f>
        <v>-125</v>
      </c>
      <c r="AE24" s="144">
        <f>-Capex!AE169</f>
        <v>0</v>
      </c>
      <c r="AF24" s="144">
        <f>-Capex!AF169</f>
        <v>0</v>
      </c>
      <c r="AG24" s="144">
        <f>-Capex!AG169</f>
        <v>0</v>
      </c>
    </row>
    <row r="25" spans="1:33" s="704" customFormat="1" ht="17.25" customHeight="1" outlineLevel="2">
      <c r="A25" s="894"/>
      <c r="B25" s="894"/>
      <c r="C25" s="831" t="s">
        <v>487</v>
      </c>
      <c r="E25" s="36"/>
      <c r="I25" s="242">
        <f t="shared" si="1"/>
        <v>-2750</v>
      </c>
      <c r="J25" s="144">
        <f>-Capex!J170</f>
        <v>0</v>
      </c>
      <c r="K25" s="144">
        <f>-Capex!K170</f>
        <v>0</v>
      </c>
      <c r="L25" s="144">
        <f>-Capex!L170</f>
        <v>0</v>
      </c>
      <c r="M25" s="144">
        <f>-Capex!M170</f>
        <v>0</v>
      </c>
      <c r="N25" s="144">
        <f>-Capex!N170</f>
        <v>0</v>
      </c>
      <c r="O25" s="144">
        <f>-Capex!O170</f>
        <v>0</v>
      </c>
      <c r="P25" s="144">
        <f>-Capex!P170</f>
        <v>-1250</v>
      </c>
      <c r="Q25" s="144">
        <f>-Capex!Q170</f>
        <v>0</v>
      </c>
      <c r="R25" s="144">
        <f>-Capex!R170</f>
        <v>0</v>
      </c>
      <c r="S25" s="144">
        <f>-Capex!S170</f>
        <v>0</v>
      </c>
      <c r="T25" s="144">
        <f>-Capex!T170</f>
        <v>0</v>
      </c>
      <c r="U25" s="144">
        <f>-Capex!U170</f>
        <v>0</v>
      </c>
      <c r="V25" s="144">
        <f>-Capex!V170</f>
        <v>0</v>
      </c>
      <c r="W25" s="144">
        <f>-Capex!W170</f>
        <v>0</v>
      </c>
      <c r="X25" s="144">
        <f>-Capex!X170</f>
        <v>0</v>
      </c>
      <c r="Y25" s="144">
        <f>-Capex!Y170</f>
        <v>0</v>
      </c>
      <c r="Z25" s="144">
        <f>-Capex!Z170</f>
        <v>0</v>
      </c>
      <c r="AA25" s="144">
        <f>-Capex!AA170</f>
        <v>0</v>
      </c>
      <c r="AB25" s="144">
        <f>-Capex!AB170</f>
        <v>-1500</v>
      </c>
      <c r="AC25" s="144">
        <f>-Capex!AC170</f>
        <v>0</v>
      </c>
      <c r="AD25" s="144">
        <f>-Capex!AD170</f>
        <v>0</v>
      </c>
      <c r="AE25" s="144">
        <f>-Capex!AE170</f>
        <v>0</v>
      </c>
      <c r="AF25" s="144">
        <f>-Capex!AF170</f>
        <v>0</v>
      </c>
      <c r="AG25" s="144">
        <f>-Capex!AG170</f>
        <v>0</v>
      </c>
    </row>
    <row r="26" spans="1:33" s="203" customFormat="1" ht="17.25" customHeight="1" outlineLevel="2">
      <c r="A26" s="894"/>
      <c r="B26" s="894"/>
      <c r="C26" s="831" t="s">
        <v>427</v>
      </c>
      <c r="D26" s="649"/>
      <c r="E26" s="649"/>
      <c r="F26" s="346"/>
      <c r="G26" s="649"/>
      <c r="I26" s="242">
        <f t="shared" si="1"/>
        <v>-5000</v>
      </c>
      <c r="J26" s="144">
        <f>-(Inputs!J321+Inputs!J322)*J6</f>
        <v>0</v>
      </c>
      <c r="K26" s="144">
        <f>-(Inputs!K321+Inputs!K322)*K6</f>
        <v>0</v>
      </c>
      <c r="L26" s="144">
        <f>-(Inputs!L321+Inputs!L322)*L6</f>
        <v>0</v>
      </c>
      <c r="M26" s="144">
        <f>-(Inputs!M321+Inputs!M322)*M6</f>
        <v>0</v>
      </c>
      <c r="N26" s="144">
        <f>-(Inputs!N321+Inputs!N322)*N6</f>
        <v>0</v>
      </c>
      <c r="O26" s="144">
        <f>-(Inputs!O321+Inputs!O322)*O6</f>
        <v>0</v>
      </c>
      <c r="P26" s="144">
        <f>-(Inputs!P321+Inputs!P322)*P6</f>
        <v>0</v>
      </c>
      <c r="Q26" s="144">
        <f>-(Inputs!Q321+Inputs!Q322)*Q6</f>
        <v>0</v>
      </c>
      <c r="R26" s="144">
        <f>-(Inputs!R321+Inputs!R322)*R6</f>
        <v>-10000</v>
      </c>
      <c r="S26" s="144">
        <f>-(Inputs!S321+Inputs!S322)*S6</f>
        <v>0</v>
      </c>
      <c r="T26" s="144">
        <f>-(Inputs!T321+Inputs!T322)*T6</f>
        <v>0</v>
      </c>
      <c r="U26" s="144">
        <f>-(Inputs!U321+Inputs!U322)*U6</f>
        <v>0</v>
      </c>
      <c r="V26" s="144">
        <f>-(Inputs!V321+Inputs!V322)*V6</f>
        <v>0</v>
      </c>
      <c r="W26" s="144">
        <f>-(Inputs!W321+Inputs!W322)*W6</f>
        <v>5000</v>
      </c>
      <c r="X26" s="144">
        <f>-(Inputs!X321+Inputs!X322)*X6</f>
        <v>0</v>
      </c>
      <c r="Y26" s="144">
        <f>-(Inputs!Y321+Inputs!Y322)*Y6</f>
        <v>0</v>
      </c>
      <c r="Z26" s="144">
        <f>-(Inputs!Z321+Inputs!Z322)*Z6</f>
        <v>0</v>
      </c>
      <c r="AA26" s="144">
        <f>-(Inputs!AA321+Inputs!AA322)*AA6</f>
        <v>0</v>
      </c>
      <c r="AB26" s="144">
        <f>-(Inputs!AB321+Inputs!AB322)*AB6</f>
        <v>0</v>
      </c>
      <c r="AC26" s="144">
        <f>-(Inputs!AC321+Inputs!AC322)*AC6</f>
        <v>0</v>
      </c>
      <c r="AD26" s="144">
        <f>-(Inputs!AD321+Inputs!AD322)*AD6</f>
        <v>0</v>
      </c>
      <c r="AE26" s="144">
        <f>-(Inputs!AE321+Inputs!AE322)*AE6</f>
        <v>0</v>
      </c>
      <c r="AF26" s="144">
        <f>-(Inputs!AF321+Inputs!AF322)*AF6</f>
        <v>0</v>
      </c>
      <c r="AG26" s="144">
        <f>-(Inputs!AG321+Inputs!AG322)*AG6</f>
        <v>0</v>
      </c>
    </row>
    <row r="27" spans="1:33" s="203" customFormat="1" ht="17.25" customHeight="1" outlineLevel="2">
      <c r="A27" s="894"/>
      <c r="B27" s="894"/>
      <c r="C27" s="831" t="s">
        <v>939</v>
      </c>
      <c r="D27" s="649"/>
      <c r="E27" s="649"/>
      <c r="F27" s="346"/>
      <c r="I27" s="242">
        <f t="shared" si="1"/>
        <v>-2500</v>
      </c>
      <c r="J27" s="144">
        <f>Inputs!J310*J6</f>
        <v>0</v>
      </c>
      <c r="K27" s="144">
        <f>Inputs!K310*K6</f>
        <v>0</v>
      </c>
      <c r="L27" s="144">
        <f>Inputs!L310*L6</f>
        <v>0</v>
      </c>
      <c r="M27" s="144">
        <f>Inputs!M310*M6</f>
        <v>-2500</v>
      </c>
      <c r="N27" s="144">
        <f>Inputs!N310*N6</f>
        <v>0</v>
      </c>
      <c r="O27" s="144">
        <f>Inputs!O310*O6</f>
        <v>0</v>
      </c>
      <c r="P27" s="144">
        <f>Inputs!P310*P6</f>
        <v>0</v>
      </c>
      <c r="Q27" s="144">
        <f>Inputs!Q310*Q6</f>
        <v>0</v>
      </c>
      <c r="R27" s="144">
        <f>Inputs!R310*R6</f>
        <v>0</v>
      </c>
      <c r="S27" s="144">
        <f>Inputs!S310*S6</f>
        <v>0</v>
      </c>
      <c r="T27" s="144">
        <f>Inputs!T310*T6</f>
        <v>0</v>
      </c>
      <c r="U27" s="144">
        <f>Inputs!U310*U6</f>
        <v>0</v>
      </c>
      <c r="V27" s="144">
        <f>Inputs!V310*V6</f>
        <v>0</v>
      </c>
      <c r="W27" s="144">
        <f>Inputs!W310*W6</f>
        <v>0</v>
      </c>
      <c r="X27" s="144">
        <f>Inputs!X310*X6</f>
        <v>0</v>
      </c>
      <c r="Y27" s="144">
        <f>Inputs!Y310*Y6</f>
        <v>0</v>
      </c>
      <c r="Z27" s="144">
        <f>Inputs!Z310*Z6</f>
        <v>0</v>
      </c>
      <c r="AA27" s="144">
        <f>Inputs!AA310*AA6</f>
        <v>0</v>
      </c>
      <c r="AB27" s="144">
        <f>Inputs!AB310*AB6</f>
        <v>0</v>
      </c>
      <c r="AC27" s="144">
        <f>Inputs!AC310*AC6</f>
        <v>0</v>
      </c>
      <c r="AD27" s="144">
        <f>Inputs!AD310*AD6</f>
        <v>0</v>
      </c>
      <c r="AE27" s="144">
        <f>Inputs!AE310*AE6</f>
        <v>0</v>
      </c>
      <c r="AF27" s="144">
        <f>Inputs!AF310*AF6</f>
        <v>0</v>
      </c>
      <c r="AG27" s="144">
        <f>Inputs!AG310*AG6</f>
        <v>0</v>
      </c>
    </row>
    <row r="28" spans="1:33" ht="17.25" customHeight="1" outlineLevel="2">
      <c r="A28" s="894"/>
      <c r="B28" s="894"/>
      <c r="C28" s="117" t="s">
        <v>691</v>
      </c>
      <c r="F28" s="346"/>
      <c r="I28" s="242">
        <f t="shared" ca="1" si="1"/>
        <v>-9084.254884486123</v>
      </c>
      <c r="J28" s="144">
        <f t="shared" ref="J28:AG28" si="3">-(J71+J108+J121+J131+J141)*J6</f>
        <v>-35</v>
      </c>
      <c r="K28" s="144">
        <f t="shared" ca="1" si="3"/>
        <v>-35</v>
      </c>
      <c r="L28" s="144">
        <f t="shared" ca="1" si="3"/>
        <v>-641.71494972083315</v>
      </c>
      <c r="M28" s="144">
        <f t="shared" ca="1" si="3"/>
        <v>-443.37326809862481</v>
      </c>
      <c r="N28" s="144">
        <f t="shared" ca="1" si="3"/>
        <v>-372.91666666666669</v>
      </c>
      <c r="O28" s="144">
        <f t="shared" ca="1" si="3"/>
        <v>-372.91666666666669</v>
      </c>
      <c r="P28" s="144">
        <f t="shared" ca="1" si="3"/>
        <v>-372.91666666666669</v>
      </c>
      <c r="Q28" s="144">
        <f t="shared" ca="1" si="3"/>
        <v>-372.91666666666669</v>
      </c>
      <c r="R28" s="144">
        <f t="shared" ca="1" si="3"/>
        <v>-372.91666666666669</v>
      </c>
      <c r="S28" s="144">
        <f t="shared" ca="1" si="3"/>
        <v>-372.91666666666669</v>
      </c>
      <c r="T28" s="144">
        <f t="shared" ca="1" si="3"/>
        <v>-372.91666666666669</v>
      </c>
      <c r="U28" s="144">
        <f t="shared" ca="1" si="3"/>
        <v>-343.75</v>
      </c>
      <c r="V28" s="144">
        <f t="shared" ca="1" si="3"/>
        <v>-343.75</v>
      </c>
      <c r="W28" s="144">
        <f t="shared" ca="1" si="3"/>
        <v>-343.75</v>
      </c>
      <c r="X28" s="144">
        <f t="shared" ca="1" si="3"/>
        <v>-1093.75</v>
      </c>
      <c r="Y28" s="144">
        <f t="shared" ca="1" si="3"/>
        <v>-302.08333333333337</v>
      </c>
      <c r="Z28" s="144">
        <f t="shared" ca="1" si="3"/>
        <v>-295.83333333333337</v>
      </c>
      <c r="AA28" s="144">
        <f t="shared" ca="1" si="3"/>
        <v>-1045.8333333333333</v>
      </c>
      <c r="AB28" s="144">
        <f t="shared" ca="1" si="3"/>
        <v>-266.66666666666669</v>
      </c>
      <c r="AC28" s="144">
        <f t="shared" ca="1" si="3"/>
        <v>-266.66666666666669</v>
      </c>
      <c r="AD28" s="144">
        <f t="shared" ca="1" si="3"/>
        <v>-1016.6666666666667</v>
      </c>
      <c r="AE28" s="144">
        <f t="shared" ca="1" si="3"/>
        <v>0</v>
      </c>
      <c r="AF28" s="144">
        <f t="shared" ca="1" si="3"/>
        <v>0</v>
      </c>
      <c r="AG28" s="144">
        <f t="shared" ca="1" si="3"/>
        <v>0</v>
      </c>
    </row>
    <row r="29" spans="1:33" ht="17.25" customHeight="1" outlineLevel="2">
      <c r="A29" s="894"/>
      <c r="B29" s="894"/>
      <c r="C29" s="117" t="s">
        <v>384</v>
      </c>
      <c r="G29" s="649"/>
      <c r="I29" s="242">
        <f t="shared" ca="1" si="1"/>
        <v>-3915.342099583333</v>
      </c>
      <c r="J29" s="144">
        <f t="shared" ref="J29:AG29" si="4">-(J103+J104+J122+J132+J142)*J$6</f>
        <v>-1333.3333333333333</v>
      </c>
      <c r="K29" s="144">
        <f t="shared" ca="1" si="4"/>
        <v>-2582.00876625</v>
      </c>
      <c r="L29" s="144">
        <f t="shared" ca="1" si="4"/>
        <v>0</v>
      </c>
      <c r="M29" s="144">
        <f t="shared" ca="1" si="4"/>
        <v>0</v>
      </c>
      <c r="N29" s="144">
        <f t="shared" ca="1" si="4"/>
        <v>0</v>
      </c>
      <c r="O29" s="144">
        <f t="shared" ca="1" si="4"/>
        <v>0</v>
      </c>
      <c r="P29" s="144">
        <f t="shared" ca="1" si="4"/>
        <v>0</v>
      </c>
      <c r="Q29" s="144">
        <f t="shared" ca="1" si="4"/>
        <v>0</v>
      </c>
      <c r="R29" s="144">
        <f t="shared" ca="1" si="4"/>
        <v>0</v>
      </c>
      <c r="S29" s="144">
        <f t="shared" ca="1" si="4"/>
        <v>0</v>
      </c>
      <c r="T29" s="144">
        <f t="shared" ca="1" si="4"/>
        <v>0</v>
      </c>
      <c r="U29" s="144">
        <f t="shared" ca="1" si="4"/>
        <v>0</v>
      </c>
      <c r="V29" s="144">
        <f t="shared" ca="1" si="4"/>
        <v>0</v>
      </c>
      <c r="W29" s="144">
        <f t="shared" ca="1" si="4"/>
        <v>0</v>
      </c>
      <c r="X29" s="144">
        <f t="shared" ca="1" si="4"/>
        <v>0</v>
      </c>
      <c r="Y29" s="144">
        <f t="shared" ca="1" si="4"/>
        <v>0</v>
      </c>
      <c r="Z29" s="144">
        <f t="shared" ca="1" si="4"/>
        <v>0</v>
      </c>
      <c r="AA29" s="144">
        <f t="shared" ca="1" si="4"/>
        <v>0</v>
      </c>
      <c r="AB29" s="144">
        <f t="shared" ca="1" si="4"/>
        <v>0</v>
      </c>
      <c r="AC29" s="144">
        <f t="shared" ca="1" si="4"/>
        <v>0</v>
      </c>
      <c r="AD29" s="144">
        <f t="shared" ca="1" si="4"/>
        <v>0</v>
      </c>
      <c r="AE29" s="144">
        <f t="shared" ca="1" si="4"/>
        <v>0</v>
      </c>
      <c r="AF29" s="144">
        <f t="shared" ca="1" si="4"/>
        <v>0</v>
      </c>
      <c r="AG29" s="144">
        <f t="shared" ca="1" si="4"/>
        <v>0</v>
      </c>
    </row>
    <row r="30" spans="1:33" s="649" customFormat="1" ht="17.25" customHeight="1" outlineLevel="2">
      <c r="A30" s="894"/>
      <c r="B30" s="894"/>
      <c r="C30" s="117" t="str">
        <f>"Repayment debt 1 ("&amp;Inputs!$F$99 &amp;")"</f>
        <v>Repayment debt 1 (UL Bank)</v>
      </c>
      <c r="D30" s="117"/>
      <c r="E30" s="117"/>
      <c r="F30" s="117"/>
      <c r="G30" s="117"/>
      <c r="H30" s="82"/>
      <c r="I30" s="242">
        <f t="shared" ca="1" si="1"/>
        <v>-1762.2318307461082</v>
      </c>
      <c r="J30" s="144">
        <f t="shared" ref="J30:AG30" si="5">J99</f>
        <v>0</v>
      </c>
      <c r="K30" s="144">
        <f t="shared" ca="1" si="5"/>
        <v>0</v>
      </c>
      <c r="L30" s="144">
        <f t="shared" ca="1" si="5"/>
        <v>0</v>
      </c>
      <c r="M30" s="144">
        <f t="shared" ca="1" si="5"/>
        <v>0</v>
      </c>
      <c r="N30" s="144">
        <f t="shared" ca="1" si="5"/>
        <v>0</v>
      </c>
      <c r="O30" s="144">
        <f t="shared" ca="1" si="5"/>
        <v>0</v>
      </c>
      <c r="P30" s="144">
        <f t="shared" ca="1" si="5"/>
        <v>0</v>
      </c>
      <c r="Q30" s="144">
        <f t="shared" ca="1" si="5"/>
        <v>0</v>
      </c>
      <c r="R30" s="144">
        <f t="shared" ca="1" si="5"/>
        <v>0</v>
      </c>
      <c r="S30" s="144">
        <f t="shared" ca="1" si="5"/>
        <v>0</v>
      </c>
      <c r="T30" s="144">
        <f t="shared" ca="1" si="5"/>
        <v>0</v>
      </c>
      <c r="U30" s="144">
        <f t="shared" ca="1" si="5"/>
        <v>0</v>
      </c>
      <c r="V30" s="144">
        <f t="shared" ca="1" si="5"/>
        <v>0</v>
      </c>
      <c r="W30" s="144">
        <f t="shared" ca="1" si="5"/>
        <v>0</v>
      </c>
      <c r="X30" s="144">
        <f t="shared" ca="1" si="5"/>
        <v>0</v>
      </c>
      <c r="Y30" s="144">
        <f t="shared" ca="1" si="5"/>
        <v>0</v>
      </c>
      <c r="Z30" s="144">
        <f t="shared" ca="1" si="5"/>
        <v>0</v>
      </c>
      <c r="AA30" s="144">
        <f t="shared" ca="1" si="5"/>
        <v>0</v>
      </c>
      <c r="AB30" s="144">
        <f t="shared" ca="1" si="5"/>
        <v>0</v>
      </c>
      <c r="AC30" s="144">
        <f t="shared" ca="1" si="5"/>
        <v>0</v>
      </c>
      <c r="AD30" s="144">
        <f t="shared" ca="1" si="5"/>
        <v>-1762.2318307461082</v>
      </c>
      <c r="AE30" s="144">
        <f t="shared" ca="1" si="5"/>
        <v>0</v>
      </c>
      <c r="AF30" s="144">
        <f t="shared" ca="1" si="5"/>
        <v>0</v>
      </c>
      <c r="AG30" s="144">
        <f t="shared" ca="1" si="5"/>
        <v>0</v>
      </c>
    </row>
    <row r="31" spans="1:33" s="649" customFormat="1" ht="17.25" customHeight="1" outlineLevel="2">
      <c r="A31" s="894"/>
      <c r="B31" s="894"/>
      <c r="C31" s="126" t="s">
        <v>387</v>
      </c>
      <c r="D31" s="203"/>
      <c r="E31" s="203"/>
      <c r="F31" s="203"/>
      <c r="G31" s="203"/>
      <c r="H31" s="203"/>
      <c r="I31" s="242">
        <f t="shared" si="1"/>
        <v>-16301.25</v>
      </c>
      <c r="J31" s="144">
        <f t="shared" ref="J31:AG31" si="6">J149*J6</f>
        <v>-832.5</v>
      </c>
      <c r="K31" s="144">
        <f t="shared" si="6"/>
        <v>-832.5</v>
      </c>
      <c r="L31" s="144">
        <f t="shared" si="6"/>
        <v>-832.5</v>
      </c>
      <c r="M31" s="144">
        <f t="shared" si="6"/>
        <v>-813.75</v>
      </c>
      <c r="N31" s="144">
        <f t="shared" si="6"/>
        <v>-813.75</v>
      </c>
      <c r="O31" s="144">
        <f t="shared" si="6"/>
        <v>-813.75</v>
      </c>
      <c r="P31" s="144">
        <f t="shared" si="6"/>
        <v>-795</v>
      </c>
      <c r="Q31" s="144">
        <f t="shared" si="6"/>
        <v>-795</v>
      </c>
      <c r="R31" s="144">
        <f t="shared" si="6"/>
        <v>-795</v>
      </c>
      <c r="S31" s="144">
        <f t="shared" si="6"/>
        <v>-776.25</v>
      </c>
      <c r="T31" s="144">
        <f t="shared" si="6"/>
        <v>-776.25</v>
      </c>
      <c r="U31" s="144">
        <f t="shared" si="6"/>
        <v>-776.25</v>
      </c>
      <c r="V31" s="144">
        <f t="shared" si="6"/>
        <v>-757.5</v>
      </c>
      <c r="W31" s="144">
        <f t="shared" si="6"/>
        <v>-757.5</v>
      </c>
      <c r="X31" s="144">
        <f t="shared" si="6"/>
        <v>-757.5</v>
      </c>
      <c r="Y31" s="144">
        <f t="shared" si="6"/>
        <v>-738.75</v>
      </c>
      <c r="Z31" s="144">
        <f t="shared" si="6"/>
        <v>-738.75</v>
      </c>
      <c r="AA31" s="144">
        <f t="shared" si="6"/>
        <v>-738.75</v>
      </c>
      <c r="AB31" s="144">
        <f t="shared" si="6"/>
        <v>-720</v>
      </c>
      <c r="AC31" s="144">
        <f t="shared" si="6"/>
        <v>-720</v>
      </c>
      <c r="AD31" s="144">
        <f t="shared" si="6"/>
        <v>-720</v>
      </c>
      <c r="AE31" s="144">
        <f t="shared" si="6"/>
        <v>0</v>
      </c>
      <c r="AF31" s="144">
        <f t="shared" si="6"/>
        <v>0</v>
      </c>
      <c r="AG31" s="144">
        <f t="shared" si="6"/>
        <v>0</v>
      </c>
    </row>
    <row r="32" spans="1:33" ht="17.25" customHeight="1" outlineLevel="2">
      <c r="A32" s="894"/>
      <c r="B32" s="894"/>
      <c r="C32" s="126" t="s">
        <v>386</v>
      </c>
      <c r="D32" s="203"/>
      <c r="E32" s="203"/>
      <c r="F32" s="203"/>
      <c r="G32" s="649"/>
      <c r="H32" s="649"/>
      <c r="I32" s="242">
        <f t="shared" si="1"/>
        <v>-35000</v>
      </c>
      <c r="J32" s="144">
        <f t="shared" ref="J32:AG32" si="7">J146*J6</f>
        <v>0</v>
      </c>
      <c r="K32" s="144">
        <f t="shared" si="7"/>
        <v>0</v>
      </c>
      <c r="L32" s="144">
        <f t="shared" si="7"/>
        <v>-5000</v>
      </c>
      <c r="M32" s="144">
        <f t="shared" si="7"/>
        <v>0</v>
      </c>
      <c r="N32" s="144">
        <f t="shared" si="7"/>
        <v>0</v>
      </c>
      <c r="O32" s="144">
        <f t="shared" si="7"/>
        <v>-5000</v>
      </c>
      <c r="P32" s="144">
        <f t="shared" si="7"/>
        <v>0</v>
      </c>
      <c r="Q32" s="144">
        <f t="shared" si="7"/>
        <v>0</v>
      </c>
      <c r="R32" s="144">
        <f t="shared" si="7"/>
        <v>-5000</v>
      </c>
      <c r="S32" s="144">
        <f t="shared" si="7"/>
        <v>0</v>
      </c>
      <c r="T32" s="144">
        <f t="shared" si="7"/>
        <v>0</v>
      </c>
      <c r="U32" s="144">
        <f t="shared" si="7"/>
        <v>-5000</v>
      </c>
      <c r="V32" s="144">
        <f t="shared" si="7"/>
        <v>0</v>
      </c>
      <c r="W32" s="144">
        <f t="shared" si="7"/>
        <v>0</v>
      </c>
      <c r="X32" s="144">
        <f t="shared" si="7"/>
        <v>-5000</v>
      </c>
      <c r="Y32" s="144">
        <f t="shared" si="7"/>
        <v>0</v>
      </c>
      <c r="Z32" s="144">
        <f t="shared" si="7"/>
        <v>0</v>
      </c>
      <c r="AA32" s="144">
        <f t="shared" si="7"/>
        <v>-5000</v>
      </c>
      <c r="AB32" s="144">
        <f t="shared" si="7"/>
        <v>0</v>
      </c>
      <c r="AC32" s="144">
        <f t="shared" si="7"/>
        <v>0</v>
      </c>
      <c r="AD32" s="144">
        <f t="shared" si="7"/>
        <v>-5000</v>
      </c>
      <c r="AE32" s="144">
        <f t="shared" si="7"/>
        <v>0</v>
      </c>
      <c r="AF32" s="144">
        <f t="shared" si="7"/>
        <v>0</v>
      </c>
      <c r="AG32" s="144">
        <f t="shared" si="7"/>
        <v>0</v>
      </c>
    </row>
    <row r="33" spans="1:33" ht="17.25" customHeight="1" outlineLevel="2">
      <c r="A33" s="894"/>
      <c r="B33" s="894"/>
      <c r="C33" s="24" t="str">
        <f>Name_VAT &amp;" paid/recovered to/from tax authority"</f>
        <v>VAT paid/recovered to/from tax authority</v>
      </c>
      <c r="D33" s="649"/>
      <c r="E33" s="649"/>
      <c r="I33" s="242">
        <f t="shared" ca="1" si="1"/>
        <v>-148202.62685655121</v>
      </c>
      <c r="J33" s="722">
        <f ca="1">Taxes!J29</f>
        <v>0</v>
      </c>
      <c r="K33" s="722">
        <f ca="1">Taxes!K29</f>
        <v>0</v>
      </c>
      <c r="L33" s="722">
        <f ca="1">Taxes!L29</f>
        <v>0</v>
      </c>
      <c r="M33" s="722">
        <f ca="1">Taxes!M29</f>
        <v>9226.9093736000068</v>
      </c>
      <c r="N33" s="722">
        <f ca="1">Taxes!N29</f>
        <v>0</v>
      </c>
      <c r="O33" s="722">
        <f ca="1">Taxes!O29</f>
        <v>0</v>
      </c>
      <c r="P33" s="722">
        <f ca="1">Taxes!P29</f>
        <v>-29956.628098093737</v>
      </c>
      <c r="Q33" s="722">
        <f ca="1">Taxes!Q29</f>
        <v>0</v>
      </c>
      <c r="R33" s="722">
        <f ca="1">Taxes!R29</f>
        <v>0</v>
      </c>
      <c r="S33" s="722">
        <f ca="1">Taxes!S29</f>
        <v>-35311.296441925857</v>
      </c>
      <c r="T33" s="722">
        <f ca="1">Taxes!T29</f>
        <v>0</v>
      </c>
      <c r="U33" s="722">
        <f ca="1">Taxes!U29</f>
        <v>0</v>
      </c>
      <c r="V33" s="722">
        <f ca="1">Taxes!V29</f>
        <v>-30034.465842767782</v>
      </c>
      <c r="W33" s="722">
        <f ca="1">Taxes!W29</f>
        <v>0</v>
      </c>
      <c r="X33" s="722">
        <f ca="1">Taxes!X29</f>
        <v>0</v>
      </c>
      <c r="Y33" s="722">
        <f ca="1">Taxes!Y29</f>
        <v>-26406.364184473347</v>
      </c>
      <c r="Z33" s="722">
        <f ca="1">Taxes!Z29</f>
        <v>0</v>
      </c>
      <c r="AA33" s="722">
        <f ca="1">Taxes!AA29</f>
        <v>0</v>
      </c>
      <c r="AB33" s="722">
        <f ca="1">Taxes!AB29</f>
        <v>-35720.781662890484</v>
      </c>
      <c r="AC33" s="722">
        <f ca="1">Taxes!AC29</f>
        <v>0</v>
      </c>
      <c r="AD33" s="722">
        <f ca="1">Taxes!AD29</f>
        <v>0</v>
      </c>
      <c r="AE33" s="722">
        <f ca="1">Taxes!AE29</f>
        <v>0</v>
      </c>
      <c r="AF33" s="722">
        <f ca="1">Taxes!AF29</f>
        <v>0</v>
      </c>
      <c r="AG33" s="722">
        <f ca="1">Taxes!AG29</f>
        <v>0</v>
      </c>
    </row>
    <row r="34" spans="1:33" ht="17.25" customHeight="1" outlineLevel="2">
      <c r="A34" s="894"/>
      <c r="B34" s="894"/>
      <c r="C34" s="117" t="str">
        <f>CHOOSE(language,"Taxes on profit paid","Taxes on income paid")</f>
        <v>Taxes on income paid</v>
      </c>
      <c r="D34" s="704"/>
      <c r="E34" s="704"/>
      <c r="F34" s="704"/>
      <c r="G34" s="24"/>
      <c r="H34" s="704"/>
      <c r="I34" s="242">
        <f t="shared" ca="1" si="1"/>
        <v>-188863.80181819468</v>
      </c>
      <c r="J34" s="144">
        <f>Taxes!J70</f>
        <v>0</v>
      </c>
      <c r="K34" s="144">
        <f>Taxes!K70</f>
        <v>0</v>
      </c>
      <c r="L34" s="144">
        <f>Taxes!L70</f>
        <v>-26666.666666666668</v>
      </c>
      <c r="M34" s="144">
        <f>Taxes!M70</f>
        <v>0</v>
      </c>
      <c r="N34" s="144">
        <f>Taxes!N70</f>
        <v>0</v>
      </c>
      <c r="O34" s="144">
        <f>Taxes!O70</f>
        <v>-26666.666666666668</v>
      </c>
      <c r="P34" s="144">
        <f>Taxes!P70</f>
        <v>0</v>
      </c>
      <c r="Q34" s="144">
        <f>Taxes!Q70</f>
        <v>0</v>
      </c>
      <c r="R34" s="144">
        <f>Taxes!R70</f>
        <v>-26666.666666666668</v>
      </c>
      <c r="S34" s="144">
        <f ca="1">Taxes!S70</f>
        <v>0</v>
      </c>
      <c r="T34" s="144">
        <f ca="1">Taxes!T70</f>
        <v>0</v>
      </c>
      <c r="U34" s="144">
        <f ca="1">Taxes!U70</f>
        <v>-25000</v>
      </c>
      <c r="V34" s="144">
        <f ca="1">Taxes!V70</f>
        <v>-8863.8018181946973</v>
      </c>
      <c r="W34" s="144">
        <f ca="1">Taxes!W70</f>
        <v>0</v>
      </c>
      <c r="X34" s="144">
        <f ca="1">Taxes!X70</f>
        <v>-25000</v>
      </c>
      <c r="Y34" s="144">
        <f ca="1">Taxes!Y70</f>
        <v>0</v>
      </c>
      <c r="Z34" s="144">
        <f ca="1">Taxes!Z70</f>
        <v>0</v>
      </c>
      <c r="AA34" s="144">
        <f ca="1">Taxes!AA70</f>
        <v>-25000</v>
      </c>
      <c r="AB34" s="144">
        <f ca="1">Taxes!AB70</f>
        <v>0</v>
      </c>
      <c r="AC34" s="144">
        <f ca="1">Taxes!AC70</f>
        <v>0</v>
      </c>
      <c r="AD34" s="144">
        <f ca="1">Taxes!AD70</f>
        <v>-25000</v>
      </c>
      <c r="AE34" s="144">
        <f ca="1">Taxes!AE70</f>
        <v>0</v>
      </c>
      <c r="AF34" s="144">
        <f ca="1">Taxes!AF70</f>
        <v>0</v>
      </c>
      <c r="AG34" s="144">
        <f ca="1">Taxes!AG70</f>
        <v>0</v>
      </c>
    </row>
    <row r="35" spans="1:33" s="203" customFormat="1" ht="17.25" customHeight="1" outlineLevel="2">
      <c r="A35" s="894"/>
      <c r="B35" s="894"/>
      <c r="C35" s="203" t="s">
        <v>385</v>
      </c>
      <c r="H35" s="82"/>
      <c r="I35" s="125"/>
      <c r="J35" s="144">
        <f t="shared" ref="J35:AG35" si="8">I76*J6</f>
        <v>5000</v>
      </c>
      <c r="K35" s="144">
        <f t="shared" ca="1" si="8"/>
        <v>0</v>
      </c>
      <c r="L35" s="144">
        <f t="shared" ca="1" si="8"/>
        <v>0</v>
      </c>
      <c r="M35" s="144">
        <f t="shared" ca="1" si="8"/>
        <v>0</v>
      </c>
      <c r="N35" s="144">
        <f t="shared" ca="1" si="8"/>
        <v>52319.131599366665</v>
      </c>
      <c r="O35" s="144">
        <f t="shared" ca="1" si="8"/>
        <v>49065.732601297568</v>
      </c>
      <c r="P35" s="144">
        <f t="shared" ca="1" si="8"/>
        <v>56320.367084355195</v>
      </c>
      <c r="Q35" s="144">
        <f t="shared" ca="1" si="8"/>
        <v>159710.91397367924</v>
      </c>
      <c r="R35" s="144">
        <f t="shared" ca="1" si="8"/>
        <v>195048.75482944853</v>
      </c>
      <c r="S35" s="144">
        <f t="shared" ca="1" si="8"/>
        <v>183842.89818314745</v>
      </c>
      <c r="T35" s="144">
        <f t="shared" ca="1" si="8"/>
        <v>272897.95663731074</v>
      </c>
      <c r="U35" s="144">
        <f t="shared" ca="1" si="8"/>
        <v>283432.24350321927</v>
      </c>
      <c r="V35" s="144">
        <f t="shared" ca="1" si="8"/>
        <v>228903.30032959694</v>
      </c>
      <c r="W35" s="144">
        <f t="shared" ca="1" si="8"/>
        <v>142364.41884853493</v>
      </c>
      <c r="X35" s="144">
        <f t="shared" ca="1" si="8"/>
        <v>107463.67786532905</v>
      </c>
      <c r="Y35" s="144">
        <f t="shared" ca="1" si="8"/>
        <v>82921.548626603253</v>
      </c>
      <c r="Z35" s="144">
        <f t="shared" ca="1" si="8"/>
        <v>164024.00130922737</v>
      </c>
      <c r="AA35" s="144">
        <f t="shared" ca="1" si="8"/>
        <v>184518.26976984343</v>
      </c>
      <c r="AB35" s="144">
        <f t="shared" ca="1" si="8"/>
        <v>162786.91051272818</v>
      </c>
      <c r="AC35" s="144">
        <f t="shared" ca="1" si="8"/>
        <v>238353.80724408265</v>
      </c>
      <c r="AD35" s="144">
        <f t="shared" ca="1" si="8"/>
        <v>253253.79512141322</v>
      </c>
      <c r="AE35" s="144">
        <f t="shared" ca="1" si="8"/>
        <v>0</v>
      </c>
      <c r="AF35" s="144">
        <f t="shared" ca="1" si="8"/>
        <v>0</v>
      </c>
      <c r="AG35" s="144">
        <f t="shared" ca="1" si="8"/>
        <v>0</v>
      </c>
    </row>
    <row r="36" spans="1:33" ht="17.25" customHeight="1" outlineLevel="2">
      <c r="A36" s="817"/>
      <c r="B36" s="817"/>
      <c r="C36" s="807" t="s">
        <v>584</v>
      </c>
      <c r="D36" s="400"/>
      <c r="E36" s="400"/>
      <c r="F36" s="400"/>
      <c r="G36" s="400"/>
      <c r="H36" s="400"/>
      <c r="I36" s="759"/>
      <c r="J36" s="401">
        <f t="shared" ref="J36:AG36" ca="1" si="9">SUM(J11:J35)*J$6</f>
        <v>-75794.740249999988</v>
      </c>
      <c r="K36" s="401">
        <f t="shared" ca="1" si="9"/>
        <v>-210085.08805541665</v>
      </c>
      <c r="L36" s="401">
        <f t="shared" ca="1" si="9"/>
        <v>19834.168162220823</v>
      </c>
      <c r="M36" s="401">
        <f t="shared" ca="1" si="9"/>
        <v>59364.791742562476</v>
      </c>
      <c r="N36" s="401">
        <f t="shared" ca="1" si="9"/>
        <v>49065.732601297568</v>
      </c>
      <c r="O36" s="401">
        <f t="shared" ca="1" si="9"/>
        <v>56320.367084355195</v>
      </c>
      <c r="P36" s="401">
        <f t="shared" ca="1" si="9"/>
        <v>159710.91397367924</v>
      </c>
      <c r="Q36" s="401">
        <f t="shared" ca="1" si="9"/>
        <v>195048.75482944853</v>
      </c>
      <c r="R36" s="401">
        <f t="shared" ca="1" si="9"/>
        <v>183842.89818314745</v>
      </c>
      <c r="S36" s="401">
        <f t="shared" ca="1" si="9"/>
        <v>272897.95663731074</v>
      </c>
      <c r="T36" s="401">
        <f t="shared" ca="1" si="9"/>
        <v>293432.24350321927</v>
      </c>
      <c r="U36" s="401">
        <f t="shared" ca="1" si="9"/>
        <v>228903.30032959694</v>
      </c>
      <c r="V36" s="401">
        <f t="shared" ca="1" si="9"/>
        <v>317364.41884853493</v>
      </c>
      <c r="W36" s="401">
        <f t="shared" ca="1" si="9"/>
        <v>107463.67786532905</v>
      </c>
      <c r="X36" s="401">
        <f t="shared" ca="1" si="9"/>
        <v>92921.548626603253</v>
      </c>
      <c r="Y36" s="401">
        <f t="shared" ca="1" si="9"/>
        <v>171524.00130922737</v>
      </c>
      <c r="Z36" s="401">
        <f t="shared" ca="1" si="9"/>
        <v>184518.26976984343</v>
      </c>
      <c r="AA36" s="401">
        <f t="shared" ca="1" si="9"/>
        <v>172786.91051272818</v>
      </c>
      <c r="AB36" s="401">
        <f t="shared" ca="1" si="9"/>
        <v>238353.80724408265</v>
      </c>
      <c r="AC36" s="401">
        <f t="shared" ca="1" si="9"/>
        <v>253253.79512141322</v>
      </c>
      <c r="AD36" s="401">
        <f t="shared" ca="1" si="9"/>
        <v>242826.42335345133</v>
      </c>
      <c r="AE36" s="401">
        <f t="shared" ca="1" si="9"/>
        <v>0</v>
      </c>
      <c r="AF36" s="401">
        <f t="shared" ca="1" si="9"/>
        <v>0</v>
      </c>
      <c r="AG36" s="401">
        <f t="shared" ca="1" si="9"/>
        <v>0</v>
      </c>
    </row>
    <row r="37" spans="1:33" ht="15.75" customHeight="1" outlineLevel="2">
      <c r="A37" s="817"/>
      <c r="B37" s="817"/>
      <c r="C37" s="765"/>
      <c r="D37" s="765"/>
      <c r="E37" s="765"/>
      <c r="F37" s="765"/>
      <c r="G37" s="765"/>
      <c r="H37" s="765"/>
      <c r="I37" s="765"/>
      <c r="J37" s="765"/>
      <c r="K37" s="765"/>
      <c r="L37" s="765"/>
      <c r="M37" s="765"/>
      <c r="N37" s="765"/>
      <c r="O37" s="765"/>
      <c r="P37" s="765"/>
      <c r="Q37" s="765"/>
      <c r="R37" s="765"/>
      <c r="S37" s="765"/>
      <c r="T37" s="765"/>
      <c r="U37" s="765"/>
      <c r="V37" s="765"/>
      <c r="W37" s="765"/>
      <c r="X37" s="765"/>
      <c r="Y37" s="765"/>
      <c r="Z37" s="765"/>
      <c r="AA37" s="765"/>
      <c r="AB37" s="765"/>
      <c r="AC37" s="765"/>
      <c r="AD37" s="765"/>
      <c r="AE37" s="765"/>
      <c r="AF37" s="765"/>
      <c r="AG37" s="765"/>
    </row>
    <row r="38" spans="1:33" ht="19.5" customHeight="1" outlineLevel="1">
      <c r="A38" s="817"/>
      <c r="B38" s="765"/>
      <c r="C38" s="423" t="s">
        <v>585</v>
      </c>
      <c r="D38" s="527"/>
      <c r="E38" s="765"/>
      <c r="F38" s="765"/>
      <c r="G38" s="765"/>
      <c r="H38" s="765"/>
      <c r="I38" s="765"/>
      <c r="J38" s="765"/>
      <c r="K38" s="765"/>
      <c r="L38" s="765"/>
      <c r="M38" s="765"/>
      <c r="N38" s="765"/>
      <c r="O38" s="765"/>
      <c r="P38" s="765"/>
      <c r="Q38" s="765"/>
      <c r="R38" s="765"/>
      <c r="S38" s="765"/>
      <c r="T38" s="765"/>
      <c r="U38" s="765"/>
      <c r="V38" s="765"/>
      <c r="W38" s="765"/>
      <c r="X38" s="765"/>
      <c r="Y38" s="765"/>
      <c r="Z38" s="765"/>
      <c r="AA38" s="765"/>
      <c r="AB38" s="765"/>
      <c r="AC38" s="765"/>
      <c r="AD38" s="765"/>
      <c r="AE38" s="765"/>
      <c r="AF38" s="765"/>
      <c r="AG38" s="765"/>
    </row>
    <row r="39" spans="1:33" ht="15.75" customHeight="1" outlineLevel="2">
      <c r="A39" s="817"/>
      <c r="B39" s="765"/>
      <c r="C39" s="767" t="s">
        <v>586</v>
      </c>
      <c r="D39" s="436"/>
      <c r="E39" s="767"/>
      <c r="F39" s="767"/>
      <c r="G39" s="767"/>
      <c r="H39" s="767"/>
      <c r="I39" s="759"/>
      <c r="J39" s="573">
        <f t="shared" ref="J39:AG39" ca="1" si="10">MIN(0,J36)</f>
        <v>-75794.740249999988</v>
      </c>
      <c r="K39" s="573">
        <f t="shared" ca="1" si="10"/>
        <v>-210085.08805541665</v>
      </c>
      <c r="L39" s="573">
        <f t="shared" ca="1" si="10"/>
        <v>0</v>
      </c>
      <c r="M39" s="573">
        <f t="shared" ca="1" si="10"/>
        <v>0</v>
      </c>
      <c r="N39" s="573">
        <f t="shared" ca="1" si="10"/>
        <v>0</v>
      </c>
      <c r="O39" s="573">
        <f t="shared" ca="1" si="10"/>
        <v>0</v>
      </c>
      <c r="P39" s="573">
        <f t="shared" ca="1" si="10"/>
        <v>0</v>
      </c>
      <c r="Q39" s="573">
        <f t="shared" ca="1" si="10"/>
        <v>0</v>
      </c>
      <c r="R39" s="573">
        <f t="shared" ca="1" si="10"/>
        <v>0</v>
      </c>
      <c r="S39" s="573">
        <f t="shared" ca="1" si="10"/>
        <v>0</v>
      </c>
      <c r="T39" s="573">
        <f t="shared" ca="1" si="10"/>
        <v>0</v>
      </c>
      <c r="U39" s="573">
        <f t="shared" ca="1" si="10"/>
        <v>0</v>
      </c>
      <c r="V39" s="573">
        <f t="shared" ca="1" si="10"/>
        <v>0</v>
      </c>
      <c r="W39" s="573">
        <f t="shared" ca="1" si="10"/>
        <v>0</v>
      </c>
      <c r="X39" s="573">
        <f t="shared" ca="1" si="10"/>
        <v>0</v>
      </c>
      <c r="Y39" s="573">
        <f t="shared" ca="1" si="10"/>
        <v>0</v>
      </c>
      <c r="Z39" s="573">
        <f t="shared" ca="1" si="10"/>
        <v>0</v>
      </c>
      <c r="AA39" s="573">
        <f t="shared" ca="1" si="10"/>
        <v>0</v>
      </c>
      <c r="AB39" s="573">
        <f t="shared" ca="1" si="10"/>
        <v>0</v>
      </c>
      <c r="AC39" s="573">
        <f t="shared" ca="1" si="10"/>
        <v>0</v>
      </c>
      <c r="AD39" s="573">
        <f t="shared" ca="1" si="10"/>
        <v>0</v>
      </c>
      <c r="AE39" s="573">
        <f t="shared" ca="1" si="10"/>
        <v>0</v>
      </c>
      <c r="AF39" s="573">
        <f t="shared" ca="1" si="10"/>
        <v>0</v>
      </c>
      <c r="AG39" s="573">
        <f t="shared" ca="1" si="10"/>
        <v>0</v>
      </c>
    </row>
    <row r="40" spans="1:33" s="203" customFormat="1" ht="15" customHeight="1" outlineLevel="2">
      <c r="A40" s="817"/>
      <c r="B40" s="765"/>
      <c r="C40" s="808" t="s">
        <v>587</v>
      </c>
      <c r="D40" s="765"/>
      <c r="E40" s="765"/>
      <c r="F40" s="765"/>
      <c r="G40" s="765"/>
      <c r="H40" s="765"/>
      <c r="I40" s="765"/>
      <c r="J40" s="455"/>
      <c r="K40" s="455"/>
      <c r="L40" s="455"/>
      <c r="M40" s="455"/>
      <c r="N40" s="455"/>
      <c r="O40" s="455"/>
      <c r="P40" s="455"/>
      <c r="Q40" s="455"/>
      <c r="R40" s="455"/>
      <c r="S40" s="455"/>
      <c r="T40" s="455"/>
      <c r="U40" s="455"/>
      <c r="V40" s="455"/>
      <c r="W40" s="455"/>
      <c r="X40" s="455"/>
      <c r="Y40" s="455"/>
      <c r="Z40" s="455"/>
      <c r="AA40" s="455"/>
      <c r="AB40" s="455"/>
      <c r="AC40" s="455"/>
      <c r="AD40" s="455"/>
      <c r="AE40" s="455"/>
      <c r="AF40" s="455"/>
      <c r="AG40" s="455"/>
    </row>
    <row r="41" spans="1:33" ht="15" customHeight="1" outlineLevel="2">
      <c r="A41" s="817"/>
      <c r="B41" s="765"/>
      <c r="C41" s="808"/>
      <c r="D41" s="765"/>
      <c r="E41" s="804" t="s">
        <v>588</v>
      </c>
      <c r="F41" s="805" t="s">
        <v>589</v>
      </c>
      <c r="G41" s="805"/>
      <c r="H41" s="765"/>
      <c r="I41" s="765"/>
      <c r="J41" s="455"/>
      <c r="K41" s="455"/>
      <c r="L41" s="455"/>
      <c r="M41" s="455"/>
      <c r="N41" s="455"/>
      <c r="O41" s="455"/>
      <c r="P41" s="455"/>
      <c r="Q41" s="455"/>
      <c r="R41" s="455"/>
      <c r="S41" s="455"/>
      <c r="T41" s="455"/>
      <c r="U41" s="455"/>
      <c r="V41" s="455"/>
      <c r="W41" s="455"/>
      <c r="X41" s="455"/>
      <c r="Y41" s="455"/>
      <c r="Z41" s="455"/>
      <c r="AA41" s="455"/>
      <c r="AB41" s="455"/>
      <c r="AC41" s="455"/>
      <c r="AD41" s="455"/>
      <c r="AE41" s="455"/>
      <c r="AF41" s="455"/>
      <c r="AG41" s="455"/>
    </row>
    <row r="42" spans="1:33" ht="15.75" customHeight="1" outlineLevel="2">
      <c r="A42" s="817"/>
      <c r="B42" s="809" t="s">
        <v>33</v>
      </c>
      <c r="C42" s="435" t="s">
        <v>683</v>
      </c>
      <c r="D42" s="767"/>
      <c r="E42" s="703">
        <f>Inputs!$I$93</f>
        <v>0</v>
      </c>
      <c r="F42" s="810" t="str">
        <f>IF(G42=0,"",Inputs!I95)</f>
        <v/>
      </c>
      <c r="G42" s="447">
        <f>Inputs!F95</f>
        <v>0</v>
      </c>
      <c r="H42" s="767"/>
      <c r="I42" s="242">
        <f ca="1">SUM(J42:AG42)</f>
        <v>75000</v>
      </c>
      <c r="J42" s="437">
        <f t="shared" ref="J42:AG42" ca="1" si="11">IF(AND($E42=1,J$4=$D6),$E$85,MIN(J85,-J39))+IF($F42=J4,$G42*J6,0)</f>
        <v>75000</v>
      </c>
      <c r="K42" s="437">
        <f t="shared" ca="1" si="11"/>
        <v>0</v>
      </c>
      <c r="L42" s="437">
        <f t="shared" ca="1" si="11"/>
        <v>0</v>
      </c>
      <c r="M42" s="437">
        <f t="shared" ca="1" si="11"/>
        <v>0</v>
      </c>
      <c r="N42" s="437">
        <f t="shared" ca="1" si="11"/>
        <v>0</v>
      </c>
      <c r="O42" s="437">
        <f t="shared" ca="1" si="11"/>
        <v>0</v>
      </c>
      <c r="P42" s="437">
        <f t="shared" ca="1" si="11"/>
        <v>0</v>
      </c>
      <c r="Q42" s="437">
        <f t="shared" ca="1" si="11"/>
        <v>0</v>
      </c>
      <c r="R42" s="437">
        <f t="shared" ca="1" si="11"/>
        <v>0</v>
      </c>
      <c r="S42" s="437">
        <f t="shared" ca="1" si="11"/>
        <v>0</v>
      </c>
      <c r="T42" s="437">
        <f t="shared" ca="1" si="11"/>
        <v>0</v>
      </c>
      <c r="U42" s="437">
        <f t="shared" ca="1" si="11"/>
        <v>0</v>
      </c>
      <c r="V42" s="437">
        <f t="shared" ca="1" si="11"/>
        <v>0</v>
      </c>
      <c r="W42" s="437">
        <f t="shared" ca="1" si="11"/>
        <v>0</v>
      </c>
      <c r="X42" s="437">
        <f t="shared" ca="1" si="11"/>
        <v>0</v>
      </c>
      <c r="Y42" s="437">
        <f t="shared" ca="1" si="11"/>
        <v>0</v>
      </c>
      <c r="Z42" s="437">
        <f t="shared" ca="1" si="11"/>
        <v>0</v>
      </c>
      <c r="AA42" s="437">
        <f t="shared" ca="1" si="11"/>
        <v>0</v>
      </c>
      <c r="AB42" s="437">
        <f t="shared" ca="1" si="11"/>
        <v>0</v>
      </c>
      <c r="AC42" s="437">
        <f t="shared" ca="1" si="11"/>
        <v>0</v>
      </c>
      <c r="AD42" s="437">
        <f t="shared" ca="1" si="11"/>
        <v>0</v>
      </c>
      <c r="AE42" s="437">
        <f t="shared" ca="1" si="11"/>
        <v>0</v>
      </c>
      <c r="AF42" s="437">
        <f t="shared" ca="1" si="11"/>
        <v>0</v>
      </c>
      <c r="AG42" s="437">
        <f t="shared" ca="1" si="11"/>
        <v>0</v>
      </c>
    </row>
    <row r="43" spans="1:33" ht="15.75" customHeight="1" outlineLevel="2">
      <c r="A43" s="817"/>
      <c r="B43" s="808"/>
      <c r="C43" s="435" t="s">
        <v>590</v>
      </c>
      <c r="D43" s="436"/>
      <c r="E43" s="767"/>
      <c r="F43" s="767"/>
      <c r="G43" s="767"/>
      <c r="H43" s="767"/>
      <c r="I43" s="767"/>
      <c r="J43" s="530">
        <f t="shared" ref="J43:AG43" ca="1" si="12">MIN(0,J39+J42)</f>
        <v>-794.74024999998801</v>
      </c>
      <c r="K43" s="530">
        <f t="shared" ca="1" si="12"/>
        <v>-210085.08805541665</v>
      </c>
      <c r="L43" s="530">
        <f t="shared" ca="1" si="12"/>
        <v>0</v>
      </c>
      <c r="M43" s="530">
        <f t="shared" ca="1" si="12"/>
        <v>0</v>
      </c>
      <c r="N43" s="530">
        <f t="shared" ca="1" si="12"/>
        <v>0</v>
      </c>
      <c r="O43" s="530">
        <f t="shared" ca="1" si="12"/>
        <v>0</v>
      </c>
      <c r="P43" s="530">
        <f t="shared" ca="1" si="12"/>
        <v>0</v>
      </c>
      <c r="Q43" s="530">
        <f t="shared" ca="1" si="12"/>
        <v>0</v>
      </c>
      <c r="R43" s="530">
        <f t="shared" ca="1" si="12"/>
        <v>0</v>
      </c>
      <c r="S43" s="530">
        <f t="shared" ca="1" si="12"/>
        <v>0</v>
      </c>
      <c r="T43" s="530">
        <f t="shared" ca="1" si="12"/>
        <v>0</v>
      </c>
      <c r="U43" s="530">
        <f t="shared" ca="1" si="12"/>
        <v>0</v>
      </c>
      <c r="V43" s="530">
        <f t="shared" ca="1" si="12"/>
        <v>0</v>
      </c>
      <c r="W43" s="530">
        <f t="shared" ca="1" si="12"/>
        <v>0</v>
      </c>
      <c r="X43" s="530">
        <f t="shared" ca="1" si="12"/>
        <v>0</v>
      </c>
      <c r="Y43" s="530">
        <f t="shared" ca="1" si="12"/>
        <v>0</v>
      </c>
      <c r="Z43" s="530">
        <f t="shared" ca="1" si="12"/>
        <v>0</v>
      </c>
      <c r="AA43" s="530">
        <f t="shared" ca="1" si="12"/>
        <v>0</v>
      </c>
      <c r="AB43" s="530">
        <f t="shared" ca="1" si="12"/>
        <v>0</v>
      </c>
      <c r="AC43" s="530">
        <f t="shared" ca="1" si="12"/>
        <v>0</v>
      </c>
      <c r="AD43" s="530">
        <f t="shared" ca="1" si="12"/>
        <v>0</v>
      </c>
      <c r="AE43" s="530">
        <f t="shared" ca="1" si="12"/>
        <v>0</v>
      </c>
      <c r="AF43" s="530">
        <f t="shared" ca="1" si="12"/>
        <v>0</v>
      </c>
      <c r="AG43" s="530">
        <f t="shared" ca="1" si="12"/>
        <v>0</v>
      </c>
    </row>
    <row r="44" spans="1:33" ht="15" customHeight="1" outlineLevel="2">
      <c r="A44" s="817"/>
      <c r="B44" s="808"/>
      <c r="C44" s="765"/>
      <c r="D44" s="765"/>
      <c r="E44" s="765"/>
      <c r="F44" s="765"/>
      <c r="G44" s="765"/>
      <c r="H44" s="765"/>
      <c r="I44" s="455"/>
      <c r="J44" s="455"/>
      <c r="K44" s="455"/>
      <c r="L44" s="455"/>
      <c r="M44" s="455"/>
      <c r="N44" s="455"/>
      <c r="O44" s="455"/>
      <c r="P44" s="455"/>
      <c r="Q44" s="455"/>
      <c r="R44" s="455"/>
      <c r="S44" s="455"/>
      <c r="T44" s="455"/>
      <c r="U44" s="455"/>
      <c r="V44" s="455"/>
      <c r="W44" s="455"/>
      <c r="X44" s="455"/>
      <c r="Y44" s="455"/>
      <c r="Z44" s="455"/>
      <c r="AA44" s="455"/>
      <c r="AB44" s="455"/>
      <c r="AC44" s="455"/>
      <c r="AD44" s="455"/>
      <c r="AE44" s="455"/>
      <c r="AF44" s="455"/>
      <c r="AG44" s="455"/>
    </row>
    <row r="45" spans="1:33" ht="15.75" customHeight="1" outlineLevel="2">
      <c r="A45" s="817"/>
      <c r="B45" s="809" t="s">
        <v>34</v>
      </c>
      <c r="C45" s="435" t="str">
        <f>"Debt 1 (automatic): "&amp;Inputs!$F$99</f>
        <v>Debt 1 (automatic): UL Bank</v>
      </c>
      <c r="D45" s="436"/>
      <c r="E45" s="806">
        <f>Inputs!$F$100</f>
        <v>1</v>
      </c>
      <c r="F45" s="767"/>
      <c r="G45" s="767"/>
      <c r="H45" s="767"/>
      <c r="I45" s="242">
        <f ca="1">SUM(J45:AG45)</f>
        <v>80000</v>
      </c>
      <c r="J45" s="437">
        <f t="shared" ref="J45:AG45" ca="1" si="13">MIN(J101,-J43)</f>
        <v>794.74024999998801</v>
      </c>
      <c r="K45" s="437">
        <f t="shared" ca="1" si="13"/>
        <v>79205.259750000012</v>
      </c>
      <c r="L45" s="437">
        <f t="shared" ca="1" si="13"/>
        <v>0</v>
      </c>
      <c r="M45" s="437">
        <f t="shared" ca="1" si="13"/>
        <v>0</v>
      </c>
      <c r="N45" s="437">
        <f t="shared" ca="1" si="13"/>
        <v>0</v>
      </c>
      <c r="O45" s="437">
        <f t="shared" ca="1" si="13"/>
        <v>0</v>
      </c>
      <c r="P45" s="437">
        <f t="shared" ca="1" si="13"/>
        <v>0</v>
      </c>
      <c r="Q45" s="437">
        <f t="shared" ca="1" si="13"/>
        <v>0</v>
      </c>
      <c r="R45" s="437">
        <f t="shared" ca="1" si="13"/>
        <v>0</v>
      </c>
      <c r="S45" s="437">
        <f t="shared" ca="1" si="13"/>
        <v>0</v>
      </c>
      <c r="T45" s="437">
        <f t="shared" ca="1" si="13"/>
        <v>0</v>
      </c>
      <c r="U45" s="437">
        <f t="shared" ca="1" si="13"/>
        <v>0</v>
      </c>
      <c r="V45" s="437">
        <f t="shared" ca="1" si="13"/>
        <v>0</v>
      </c>
      <c r="W45" s="437">
        <f t="shared" ca="1" si="13"/>
        <v>0</v>
      </c>
      <c r="X45" s="437">
        <f t="shared" ca="1" si="13"/>
        <v>0</v>
      </c>
      <c r="Y45" s="437">
        <f t="shared" ca="1" si="13"/>
        <v>0</v>
      </c>
      <c r="Z45" s="437">
        <f t="shared" ca="1" si="13"/>
        <v>0</v>
      </c>
      <c r="AA45" s="437">
        <f t="shared" ca="1" si="13"/>
        <v>0</v>
      </c>
      <c r="AB45" s="437">
        <f t="shared" ca="1" si="13"/>
        <v>0</v>
      </c>
      <c r="AC45" s="437">
        <f t="shared" ca="1" si="13"/>
        <v>0</v>
      </c>
      <c r="AD45" s="437">
        <f t="shared" ca="1" si="13"/>
        <v>0</v>
      </c>
      <c r="AE45" s="437">
        <f t="shared" ca="1" si="13"/>
        <v>0</v>
      </c>
      <c r="AF45" s="437">
        <f t="shared" ca="1" si="13"/>
        <v>0</v>
      </c>
      <c r="AG45" s="437">
        <f t="shared" ca="1" si="13"/>
        <v>0</v>
      </c>
    </row>
    <row r="46" spans="1:33" ht="15.75" customHeight="1" outlineLevel="2">
      <c r="A46" s="817"/>
      <c r="B46" s="808"/>
      <c r="C46" s="435" t="s">
        <v>590</v>
      </c>
      <c r="D46" s="436"/>
      <c r="E46" s="767"/>
      <c r="F46" s="767"/>
      <c r="G46" s="767"/>
      <c r="H46" s="767"/>
      <c r="I46" s="767"/>
      <c r="J46" s="530">
        <f t="shared" ref="J46:AG46" ca="1" si="14">J43+J45</f>
        <v>0</v>
      </c>
      <c r="K46" s="530">
        <f t="shared" ca="1" si="14"/>
        <v>-130879.82830541664</v>
      </c>
      <c r="L46" s="530">
        <f t="shared" ca="1" si="14"/>
        <v>0</v>
      </c>
      <c r="M46" s="530">
        <f t="shared" ca="1" si="14"/>
        <v>0</v>
      </c>
      <c r="N46" s="530">
        <f t="shared" ca="1" si="14"/>
        <v>0</v>
      </c>
      <c r="O46" s="530">
        <f t="shared" ca="1" si="14"/>
        <v>0</v>
      </c>
      <c r="P46" s="530">
        <f t="shared" ca="1" si="14"/>
        <v>0</v>
      </c>
      <c r="Q46" s="530">
        <f t="shared" ca="1" si="14"/>
        <v>0</v>
      </c>
      <c r="R46" s="530">
        <f t="shared" ca="1" si="14"/>
        <v>0</v>
      </c>
      <c r="S46" s="530">
        <f t="shared" ca="1" si="14"/>
        <v>0</v>
      </c>
      <c r="T46" s="530">
        <f t="shared" ca="1" si="14"/>
        <v>0</v>
      </c>
      <c r="U46" s="530">
        <f t="shared" ca="1" si="14"/>
        <v>0</v>
      </c>
      <c r="V46" s="530">
        <f t="shared" ca="1" si="14"/>
        <v>0</v>
      </c>
      <c r="W46" s="530">
        <f t="shared" ca="1" si="14"/>
        <v>0</v>
      </c>
      <c r="X46" s="530">
        <f t="shared" ca="1" si="14"/>
        <v>0</v>
      </c>
      <c r="Y46" s="530">
        <f t="shared" ca="1" si="14"/>
        <v>0</v>
      </c>
      <c r="Z46" s="530">
        <f t="shared" ca="1" si="14"/>
        <v>0</v>
      </c>
      <c r="AA46" s="530">
        <f t="shared" ca="1" si="14"/>
        <v>0</v>
      </c>
      <c r="AB46" s="530">
        <f t="shared" ca="1" si="14"/>
        <v>0</v>
      </c>
      <c r="AC46" s="530">
        <f t="shared" ca="1" si="14"/>
        <v>0</v>
      </c>
      <c r="AD46" s="530">
        <f t="shared" ca="1" si="14"/>
        <v>0</v>
      </c>
      <c r="AE46" s="530">
        <f t="shared" ca="1" si="14"/>
        <v>0</v>
      </c>
      <c r="AF46" s="530">
        <f t="shared" ca="1" si="14"/>
        <v>0</v>
      </c>
      <c r="AG46" s="530">
        <f t="shared" ca="1" si="14"/>
        <v>0</v>
      </c>
    </row>
    <row r="47" spans="1:33" ht="15" customHeight="1" outlineLevel="2">
      <c r="A47" s="817"/>
      <c r="B47" s="808"/>
      <c r="C47" s="765"/>
      <c r="D47" s="765"/>
      <c r="E47" s="765"/>
      <c r="F47" s="765"/>
      <c r="G47" s="765"/>
      <c r="H47" s="765"/>
      <c r="I47" s="455"/>
      <c r="J47" s="455"/>
      <c r="K47" s="455"/>
      <c r="L47" s="455"/>
      <c r="M47" s="455"/>
      <c r="N47" s="455"/>
      <c r="O47" s="455"/>
      <c r="P47" s="455"/>
      <c r="Q47" s="455"/>
      <c r="R47" s="455"/>
      <c r="S47" s="455"/>
      <c r="T47" s="455"/>
      <c r="U47" s="455"/>
      <c r="V47" s="455"/>
      <c r="W47" s="455"/>
      <c r="X47" s="455"/>
      <c r="Y47" s="455"/>
      <c r="Z47" s="455"/>
      <c r="AA47" s="455"/>
      <c r="AB47" s="455"/>
      <c r="AC47" s="455"/>
      <c r="AD47" s="455"/>
      <c r="AE47" s="455"/>
      <c r="AF47" s="455"/>
      <c r="AG47" s="455"/>
    </row>
    <row r="48" spans="1:33" ht="15.75" customHeight="1" outlineLevel="2">
      <c r="A48" s="817"/>
      <c r="B48" s="809" t="s">
        <v>35</v>
      </c>
      <c r="C48" s="435" t="str">
        <f>"Debt 2: "&amp;Inputs!$F$118</f>
        <v>Debt 2: HSBC Bank</v>
      </c>
      <c r="D48" s="436"/>
      <c r="E48" s="446" t="s">
        <v>596</v>
      </c>
      <c r="F48" s="509" t="str">
        <f>IF(E49=0," Interest will be calculated automatically"," Manual input of interest necessary")</f>
        <v xml:space="preserve"> Interest will be calculated automatically</v>
      </c>
      <c r="G48" s="767"/>
      <c r="H48" s="76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row>
    <row r="49" spans="1:33" ht="15.75" customHeight="1" outlineLevel="2">
      <c r="A49" s="817"/>
      <c r="B49" s="808"/>
      <c r="C49" s="435" t="s">
        <v>594</v>
      </c>
      <c r="D49" s="436"/>
      <c r="E49" s="703">
        <f>Inputs!F119</f>
        <v>0</v>
      </c>
      <c r="F49" s="767"/>
      <c r="G49" s="435"/>
      <c r="H49" s="766"/>
      <c r="I49" s="242">
        <f>SUMPRODUCT((J$6:AG$6),(J49:AG49))</f>
        <v>40000</v>
      </c>
      <c r="J49" s="451"/>
      <c r="K49" s="451">
        <v>40000</v>
      </c>
      <c r="L49" s="451"/>
      <c r="M49" s="451"/>
      <c r="N49" s="451"/>
      <c r="O49" s="451"/>
      <c r="P49" s="451"/>
      <c r="Q49" s="451"/>
      <c r="R49" s="451"/>
      <c r="S49" s="451"/>
      <c r="T49" s="451"/>
      <c r="U49" s="451"/>
      <c r="V49" s="451"/>
      <c r="W49" s="451"/>
      <c r="X49" s="451"/>
      <c r="Y49" s="451"/>
      <c r="Z49" s="451"/>
      <c r="AA49" s="451"/>
      <c r="AB49" s="451"/>
      <c r="AC49" s="451"/>
      <c r="AD49" s="451"/>
      <c r="AE49" s="451"/>
      <c r="AF49" s="451"/>
      <c r="AG49" s="451"/>
    </row>
    <row r="50" spans="1:33" ht="15.75" customHeight="1" outlineLevel="2">
      <c r="A50" s="817"/>
      <c r="B50" s="808"/>
      <c r="C50" s="435" t="s">
        <v>595</v>
      </c>
      <c r="D50" s="436"/>
      <c r="E50" s="767"/>
      <c r="F50" s="767"/>
      <c r="G50" s="767"/>
      <c r="H50" s="811" t="str">
        <f>IF(SUM(I49:I50)&lt;0,"Repayment exceeds drawdowns ! ","")</f>
        <v/>
      </c>
      <c r="I50" s="242">
        <f>SUMPRODUCT((J$6:AG$6),(J50:AG50))</f>
        <v>-20000</v>
      </c>
      <c r="J50" s="451"/>
      <c r="K50" s="451"/>
      <c r="L50" s="451"/>
      <c r="M50" s="451"/>
      <c r="N50" s="451"/>
      <c r="O50" s="451"/>
      <c r="P50" s="451"/>
      <c r="Q50" s="451"/>
      <c r="R50" s="451"/>
      <c r="S50" s="451"/>
      <c r="T50" s="451">
        <v>-10000</v>
      </c>
      <c r="U50" s="451"/>
      <c r="V50" s="451"/>
      <c r="W50" s="451"/>
      <c r="X50" s="451"/>
      <c r="Y50" s="451"/>
      <c r="Z50" s="451"/>
      <c r="AA50" s="451">
        <v>-10000</v>
      </c>
      <c r="AB50" s="451"/>
      <c r="AC50" s="451"/>
      <c r="AD50" s="451"/>
      <c r="AE50" s="451"/>
      <c r="AF50" s="451"/>
      <c r="AG50" s="451"/>
    </row>
    <row r="51" spans="1:33" ht="15.75" customHeight="1" outlineLevel="2">
      <c r="A51" s="817"/>
      <c r="B51" s="809"/>
      <c r="C51" s="435" t="s">
        <v>590</v>
      </c>
      <c r="D51" s="436"/>
      <c r="E51" s="767"/>
      <c r="F51" s="767"/>
      <c r="G51" s="767"/>
      <c r="H51" s="767"/>
      <c r="I51" s="767"/>
      <c r="J51" s="530">
        <f t="shared" ref="J51:AG51" ca="1" si="15">MIN(J46+J49+J50,0)*J6</f>
        <v>0</v>
      </c>
      <c r="K51" s="530">
        <f t="shared" ca="1" si="15"/>
        <v>-90879.828305416639</v>
      </c>
      <c r="L51" s="530">
        <f t="shared" ca="1" si="15"/>
        <v>0</v>
      </c>
      <c r="M51" s="530">
        <f t="shared" ca="1" si="15"/>
        <v>0</v>
      </c>
      <c r="N51" s="530">
        <f t="shared" ca="1" si="15"/>
        <v>0</v>
      </c>
      <c r="O51" s="530">
        <f t="shared" ca="1" si="15"/>
        <v>0</v>
      </c>
      <c r="P51" s="530">
        <f t="shared" ca="1" si="15"/>
        <v>0</v>
      </c>
      <c r="Q51" s="530">
        <f t="shared" ca="1" si="15"/>
        <v>0</v>
      </c>
      <c r="R51" s="530">
        <f t="shared" ca="1" si="15"/>
        <v>0</v>
      </c>
      <c r="S51" s="530">
        <f t="shared" ca="1" si="15"/>
        <v>0</v>
      </c>
      <c r="T51" s="530">
        <f t="shared" ca="1" si="15"/>
        <v>-10000</v>
      </c>
      <c r="U51" s="530">
        <f t="shared" ca="1" si="15"/>
        <v>0</v>
      </c>
      <c r="V51" s="530">
        <f t="shared" ca="1" si="15"/>
        <v>0</v>
      </c>
      <c r="W51" s="530">
        <f t="shared" ca="1" si="15"/>
        <v>0</v>
      </c>
      <c r="X51" s="530">
        <f t="shared" ca="1" si="15"/>
        <v>0</v>
      </c>
      <c r="Y51" s="530">
        <f t="shared" ca="1" si="15"/>
        <v>0</v>
      </c>
      <c r="Z51" s="530">
        <f t="shared" ca="1" si="15"/>
        <v>0</v>
      </c>
      <c r="AA51" s="530">
        <f t="shared" ca="1" si="15"/>
        <v>-10000</v>
      </c>
      <c r="AB51" s="530">
        <f t="shared" ca="1" si="15"/>
        <v>0</v>
      </c>
      <c r="AC51" s="530">
        <f t="shared" ca="1" si="15"/>
        <v>0</v>
      </c>
      <c r="AD51" s="530">
        <f t="shared" ca="1" si="15"/>
        <v>0</v>
      </c>
      <c r="AE51" s="530">
        <f t="shared" ca="1" si="15"/>
        <v>0</v>
      </c>
      <c r="AF51" s="530">
        <f t="shared" ca="1" si="15"/>
        <v>0</v>
      </c>
      <c r="AG51" s="530">
        <f t="shared" ca="1" si="15"/>
        <v>0</v>
      </c>
    </row>
    <row r="52" spans="1:33" ht="15" customHeight="1" outlineLevel="2">
      <c r="A52" s="817"/>
      <c r="B52" s="808"/>
      <c r="C52" s="765"/>
      <c r="D52" s="765"/>
      <c r="E52" s="765"/>
      <c r="F52" s="765"/>
      <c r="G52" s="765"/>
      <c r="H52" s="76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row>
    <row r="53" spans="1:33" ht="15.75" customHeight="1" outlineLevel="2">
      <c r="A53" s="817"/>
      <c r="B53" s="808" t="s">
        <v>37</v>
      </c>
      <c r="C53" s="435" t="str">
        <f>"Debt 3: "&amp;Inputs!$F$123</f>
        <v>Debt 3: UBS</v>
      </c>
      <c r="D53" s="436"/>
      <c r="E53" s="446" t="s">
        <v>596</v>
      </c>
      <c r="F53" s="509" t="str">
        <f>IF(E54=0," Interest will be calculated automatically"," Manual input of interest necessary")</f>
        <v xml:space="preserve"> Interest will be calculated automatically</v>
      </c>
      <c r="G53" s="767"/>
      <c r="H53" s="766"/>
      <c r="I53" s="776"/>
      <c r="J53" s="776"/>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row>
    <row r="54" spans="1:33" ht="15.75" customHeight="1" outlineLevel="2">
      <c r="A54" s="817"/>
      <c r="B54" s="808"/>
      <c r="C54" s="435" t="s">
        <v>594</v>
      </c>
      <c r="D54" s="436"/>
      <c r="E54" s="703">
        <f>Inputs!F124</f>
        <v>0</v>
      </c>
      <c r="F54" s="767"/>
      <c r="G54" s="767"/>
      <c r="H54" s="766"/>
      <c r="I54" s="242">
        <f>SUMPRODUCT((J$6:AG$6),(J54:AG54))</f>
        <v>60000</v>
      </c>
      <c r="J54" s="451"/>
      <c r="K54" s="451">
        <v>60000</v>
      </c>
      <c r="L54" s="451"/>
      <c r="M54" s="451"/>
      <c r="N54" s="451"/>
      <c r="O54" s="451"/>
      <c r="P54" s="451"/>
      <c r="Q54" s="451"/>
      <c r="R54" s="451"/>
      <c r="S54" s="451"/>
      <c r="T54" s="451"/>
      <c r="U54" s="451"/>
      <c r="V54" s="451"/>
      <c r="W54" s="451"/>
      <c r="X54" s="451"/>
      <c r="Y54" s="451"/>
      <c r="Z54" s="451"/>
      <c r="AA54" s="451"/>
      <c r="AB54" s="451"/>
      <c r="AC54" s="451"/>
      <c r="AD54" s="451"/>
      <c r="AE54" s="451"/>
      <c r="AF54" s="451"/>
      <c r="AG54" s="451"/>
    </row>
    <row r="55" spans="1:33" ht="15.75" customHeight="1" outlineLevel="2">
      <c r="A55" s="817"/>
      <c r="B55" s="808"/>
      <c r="C55" s="435" t="s">
        <v>595</v>
      </c>
      <c r="D55" s="436"/>
      <c r="E55" s="435"/>
      <c r="F55" s="767"/>
      <c r="G55" s="767"/>
      <c r="H55" s="811" t="str">
        <f>IF(SUM(I54:I55)&lt;0,"Repayment exceeds drawdowns ! ","")</f>
        <v/>
      </c>
      <c r="I55" s="242">
        <f>SUMPRODUCT((J$6:AG$6),(J55:AG55))</f>
        <v>-10000</v>
      </c>
      <c r="J55" s="451"/>
      <c r="K55" s="451"/>
      <c r="L55" s="451"/>
      <c r="M55" s="451"/>
      <c r="N55" s="451"/>
      <c r="O55" s="451"/>
      <c r="P55" s="451"/>
      <c r="Q55" s="451"/>
      <c r="R55" s="451"/>
      <c r="S55" s="451"/>
      <c r="T55" s="451"/>
      <c r="U55" s="451"/>
      <c r="V55" s="451"/>
      <c r="W55" s="451"/>
      <c r="X55" s="451">
        <v>-10000</v>
      </c>
      <c r="Y55" s="451"/>
      <c r="Z55" s="451"/>
      <c r="AA55" s="451"/>
      <c r="AB55" s="451"/>
      <c r="AC55" s="451"/>
      <c r="AD55" s="451"/>
      <c r="AE55" s="451"/>
      <c r="AF55" s="451"/>
      <c r="AG55" s="451"/>
    </row>
    <row r="56" spans="1:33" ht="15.75" customHeight="1" outlineLevel="2">
      <c r="A56" s="817"/>
      <c r="B56" s="809"/>
      <c r="C56" s="435" t="s">
        <v>590</v>
      </c>
      <c r="D56" s="436"/>
      <c r="E56" s="767"/>
      <c r="F56" s="767"/>
      <c r="G56" s="767"/>
      <c r="H56" s="767"/>
      <c r="I56" s="767"/>
      <c r="J56" s="530">
        <f t="shared" ref="J56:AG56" ca="1" si="16">MIN(J51+J54+J55,0)*J6</f>
        <v>0</v>
      </c>
      <c r="K56" s="530">
        <f t="shared" ca="1" si="16"/>
        <v>-30879.828305416639</v>
      </c>
      <c r="L56" s="530">
        <f t="shared" ca="1" si="16"/>
        <v>0</v>
      </c>
      <c r="M56" s="530">
        <f t="shared" ca="1" si="16"/>
        <v>0</v>
      </c>
      <c r="N56" s="530">
        <f t="shared" ca="1" si="16"/>
        <v>0</v>
      </c>
      <c r="O56" s="530">
        <f t="shared" ca="1" si="16"/>
        <v>0</v>
      </c>
      <c r="P56" s="530">
        <f t="shared" ca="1" si="16"/>
        <v>0</v>
      </c>
      <c r="Q56" s="530">
        <f t="shared" ca="1" si="16"/>
        <v>0</v>
      </c>
      <c r="R56" s="530">
        <f t="shared" ca="1" si="16"/>
        <v>0</v>
      </c>
      <c r="S56" s="530">
        <f t="shared" ca="1" si="16"/>
        <v>0</v>
      </c>
      <c r="T56" s="530">
        <f t="shared" ca="1" si="16"/>
        <v>-10000</v>
      </c>
      <c r="U56" s="530">
        <f t="shared" ca="1" si="16"/>
        <v>0</v>
      </c>
      <c r="V56" s="530">
        <f t="shared" ca="1" si="16"/>
        <v>0</v>
      </c>
      <c r="W56" s="530">
        <f t="shared" ca="1" si="16"/>
        <v>0</v>
      </c>
      <c r="X56" s="530">
        <f t="shared" ca="1" si="16"/>
        <v>-10000</v>
      </c>
      <c r="Y56" s="530">
        <f t="shared" ca="1" si="16"/>
        <v>0</v>
      </c>
      <c r="Z56" s="530">
        <f t="shared" ca="1" si="16"/>
        <v>0</v>
      </c>
      <c r="AA56" s="530">
        <f t="shared" ca="1" si="16"/>
        <v>-10000</v>
      </c>
      <c r="AB56" s="530">
        <f t="shared" ca="1" si="16"/>
        <v>0</v>
      </c>
      <c r="AC56" s="530">
        <f t="shared" ca="1" si="16"/>
        <v>0</v>
      </c>
      <c r="AD56" s="530">
        <f t="shared" ca="1" si="16"/>
        <v>0</v>
      </c>
      <c r="AE56" s="530">
        <f t="shared" ca="1" si="16"/>
        <v>0</v>
      </c>
      <c r="AF56" s="530">
        <f t="shared" ca="1" si="16"/>
        <v>0</v>
      </c>
      <c r="AG56" s="530">
        <f t="shared" ca="1" si="16"/>
        <v>0</v>
      </c>
    </row>
    <row r="57" spans="1:33" ht="15" customHeight="1" outlineLevel="2">
      <c r="A57" s="817"/>
      <c r="B57" s="808"/>
      <c r="C57" s="765"/>
      <c r="D57" s="765"/>
      <c r="E57" s="765"/>
      <c r="F57" s="765"/>
      <c r="G57" s="765"/>
      <c r="H57" s="765"/>
      <c r="I57" s="455"/>
      <c r="J57" s="455"/>
      <c r="K57" s="455"/>
      <c r="L57" s="455"/>
      <c r="M57" s="455"/>
      <c r="N57" s="455"/>
      <c r="O57" s="455"/>
      <c r="P57" s="455"/>
      <c r="Q57" s="455"/>
      <c r="R57" s="455"/>
      <c r="S57" s="455"/>
      <c r="T57" s="455"/>
      <c r="U57" s="455"/>
      <c r="V57" s="455"/>
      <c r="W57" s="455"/>
      <c r="X57" s="455"/>
      <c r="Y57" s="455"/>
      <c r="Z57" s="455"/>
      <c r="AA57" s="455"/>
      <c r="AB57" s="455"/>
      <c r="AC57" s="455"/>
      <c r="AD57" s="455"/>
      <c r="AE57" s="455"/>
      <c r="AF57" s="455"/>
      <c r="AG57" s="455"/>
    </row>
    <row r="58" spans="1:33" ht="15.75" customHeight="1" outlineLevel="2">
      <c r="A58" s="817"/>
      <c r="B58" s="809" t="s">
        <v>45</v>
      </c>
      <c r="C58" s="435" t="str">
        <f>"Debt 4: "&amp;Inputs!$F$128</f>
        <v>Debt 4: Shareholder Loan</v>
      </c>
      <c r="D58" s="436"/>
      <c r="E58" s="446" t="s">
        <v>596</v>
      </c>
      <c r="F58" s="509" t="str">
        <f>IF(E59=0," Interest will be calculated automatically"," Manual input of interest necessary")</f>
        <v xml:space="preserve"> Interest will be calculated automatically</v>
      </c>
      <c r="G58" s="767"/>
      <c r="H58" s="766"/>
      <c r="I58" s="776"/>
      <c r="J58" s="776"/>
      <c r="K58" s="776"/>
      <c r="L58" s="776"/>
      <c r="M58" s="776"/>
      <c r="N58" s="776"/>
      <c r="O58" s="776"/>
      <c r="P58" s="776"/>
      <c r="Q58" s="776"/>
      <c r="R58" s="776"/>
      <c r="S58" s="776"/>
      <c r="T58" s="776"/>
      <c r="U58" s="776"/>
      <c r="V58" s="776"/>
      <c r="W58" s="776"/>
      <c r="X58" s="776"/>
      <c r="Y58" s="776"/>
      <c r="Z58" s="776"/>
      <c r="AA58" s="776"/>
      <c r="AB58" s="776"/>
      <c r="AC58" s="776"/>
      <c r="AD58" s="776"/>
      <c r="AE58" s="776"/>
      <c r="AF58" s="776"/>
      <c r="AG58" s="776"/>
    </row>
    <row r="59" spans="1:33" ht="15.75" customHeight="1" outlineLevel="2">
      <c r="A59" s="817"/>
      <c r="B59" s="808"/>
      <c r="C59" s="435" t="s">
        <v>594</v>
      </c>
      <c r="D59" s="436"/>
      <c r="E59" s="703">
        <f>Inputs!F129</f>
        <v>0</v>
      </c>
      <c r="F59" s="767"/>
      <c r="G59" s="767"/>
      <c r="H59" s="766"/>
      <c r="I59" s="242">
        <f>SUMPRODUCT((J$6:AG$6),(J59:AG59))</f>
        <v>7500</v>
      </c>
      <c r="J59" s="451"/>
      <c r="K59" s="451">
        <v>7500</v>
      </c>
      <c r="L59" s="451"/>
      <c r="M59" s="451"/>
      <c r="N59" s="451"/>
      <c r="O59" s="451"/>
      <c r="P59" s="451"/>
      <c r="Q59" s="451"/>
      <c r="R59" s="451"/>
      <c r="S59" s="451"/>
      <c r="T59" s="451"/>
      <c r="U59" s="451"/>
      <c r="V59" s="451"/>
      <c r="W59" s="451"/>
      <c r="X59" s="451"/>
      <c r="Y59" s="451"/>
      <c r="Z59" s="451"/>
      <c r="AA59" s="451"/>
      <c r="AB59" s="451"/>
      <c r="AC59" s="451"/>
      <c r="AD59" s="451"/>
      <c r="AE59" s="451"/>
      <c r="AF59" s="451"/>
      <c r="AG59" s="451"/>
    </row>
    <row r="60" spans="1:33" ht="15.75" customHeight="1" outlineLevel="2">
      <c r="A60" s="817"/>
      <c r="B60" s="808"/>
      <c r="C60" s="435" t="s">
        <v>595</v>
      </c>
      <c r="D60" s="436"/>
      <c r="E60" s="435"/>
      <c r="F60" s="767"/>
      <c r="G60" s="767"/>
      <c r="H60" s="811" t="str">
        <f>IF(SUM(I59:I60)&lt;0,"Repayment exceeds drawdowns ! ","")</f>
        <v/>
      </c>
      <c r="I60" s="242">
        <f>SUMPRODUCT((J$6:AG$6),(J60:AG60))</f>
        <v>-7500</v>
      </c>
      <c r="J60" s="451"/>
      <c r="K60" s="451"/>
      <c r="L60" s="451"/>
      <c r="M60" s="451"/>
      <c r="N60" s="451"/>
      <c r="O60" s="451"/>
      <c r="P60" s="451"/>
      <c r="Q60" s="451"/>
      <c r="R60" s="451"/>
      <c r="S60" s="451"/>
      <c r="T60" s="451"/>
      <c r="U60" s="451"/>
      <c r="V60" s="451"/>
      <c r="W60" s="451"/>
      <c r="X60" s="451"/>
      <c r="Y60" s="451">
        <v>-7500</v>
      </c>
      <c r="Z60" s="451"/>
      <c r="AA60" s="451"/>
      <c r="AB60" s="451"/>
      <c r="AC60" s="451"/>
      <c r="AD60" s="451"/>
      <c r="AE60" s="451"/>
      <c r="AF60" s="451"/>
      <c r="AG60" s="451"/>
    </row>
    <row r="61" spans="1:33" ht="15.75" customHeight="1" outlineLevel="2">
      <c r="A61" s="817"/>
      <c r="B61" s="808"/>
      <c r="C61" s="435" t="s">
        <v>590</v>
      </c>
      <c r="D61" s="436"/>
      <c r="E61" s="767"/>
      <c r="F61" s="767"/>
      <c r="G61" s="767"/>
      <c r="H61" s="767"/>
      <c r="I61" s="767"/>
      <c r="J61" s="530">
        <f t="shared" ref="J61:AG61" ca="1" si="17">MIN(J56+J59+J60,0)*J6</f>
        <v>0</v>
      </c>
      <c r="K61" s="530">
        <f t="shared" ca="1" si="17"/>
        <v>-23379.828305416639</v>
      </c>
      <c r="L61" s="530">
        <f t="shared" ca="1" si="17"/>
        <v>0</v>
      </c>
      <c r="M61" s="530">
        <f t="shared" ca="1" si="17"/>
        <v>0</v>
      </c>
      <c r="N61" s="530">
        <f t="shared" ca="1" si="17"/>
        <v>0</v>
      </c>
      <c r="O61" s="530">
        <f t="shared" ca="1" si="17"/>
        <v>0</v>
      </c>
      <c r="P61" s="530">
        <f t="shared" ca="1" si="17"/>
        <v>0</v>
      </c>
      <c r="Q61" s="530">
        <f t="shared" ca="1" si="17"/>
        <v>0</v>
      </c>
      <c r="R61" s="530">
        <f t="shared" ca="1" si="17"/>
        <v>0</v>
      </c>
      <c r="S61" s="530">
        <f t="shared" ca="1" si="17"/>
        <v>0</v>
      </c>
      <c r="T61" s="530">
        <f t="shared" ca="1" si="17"/>
        <v>-10000</v>
      </c>
      <c r="U61" s="530">
        <f t="shared" ca="1" si="17"/>
        <v>0</v>
      </c>
      <c r="V61" s="530">
        <f t="shared" ca="1" si="17"/>
        <v>0</v>
      </c>
      <c r="W61" s="530">
        <f t="shared" ca="1" si="17"/>
        <v>0</v>
      </c>
      <c r="X61" s="530">
        <f t="shared" ca="1" si="17"/>
        <v>-10000</v>
      </c>
      <c r="Y61" s="530">
        <f t="shared" ca="1" si="17"/>
        <v>-7500</v>
      </c>
      <c r="Z61" s="530">
        <f t="shared" ca="1" si="17"/>
        <v>0</v>
      </c>
      <c r="AA61" s="530">
        <f t="shared" ca="1" si="17"/>
        <v>-10000</v>
      </c>
      <c r="AB61" s="530">
        <f t="shared" ca="1" si="17"/>
        <v>0</v>
      </c>
      <c r="AC61" s="530">
        <f t="shared" ca="1" si="17"/>
        <v>0</v>
      </c>
      <c r="AD61" s="530">
        <f t="shared" ca="1" si="17"/>
        <v>0</v>
      </c>
      <c r="AE61" s="530">
        <f t="shared" ca="1" si="17"/>
        <v>0</v>
      </c>
      <c r="AF61" s="530">
        <f t="shared" ca="1" si="17"/>
        <v>0</v>
      </c>
      <c r="AG61" s="530">
        <f t="shared" ca="1" si="17"/>
        <v>0</v>
      </c>
    </row>
    <row r="62" spans="1:33" ht="15" customHeight="1" outlineLevel="2">
      <c r="A62" s="817"/>
      <c r="B62" s="808"/>
      <c r="C62" s="765"/>
      <c r="D62" s="765"/>
      <c r="E62" s="765"/>
      <c r="F62" s="765"/>
      <c r="G62" s="765"/>
      <c r="H62" s="765"/>
      <c r="I62" s="765"/>
      <c r="J62" s="455"/>
      <c r="K62" s="455"/>
      <c r="L62" s="455"/>
      <c r="M62" s="455"/>
      <c r="N62" s="455"/>
      <c r="O62" s="455"/>
      <c r="P62" s="455"/>
      <c r="Q62" s="455"/>
      <c r="R62" s="455"/>
      <c r="S62" s="455"/>
      <c r="T62" s="455"/>
      <c r="U62" s="455"/>
      <c r="V62" s="455"/>
      <c r="W62" s="455"/>
      <c r="X62" s="455"/>
      <c r="Y62" s="455"/>
      <c r="Z62" s="455"/>
      <c r="AA62" s="455"/>
      <c r="AB62" s="455"/>
      <c r="AC62" s="455"/>
      <c r="AD62" s="455"/>
      <c r="AE62" s="455"/>
      <c r="AF62" s="455"/>
      <c r="AG62" s="455"/>
    </row>
    <row r="63" spans="1:33" ht="14.25" customHeight="1" outlineLevel="2">
      <c r="A63" s="817"/>
      <c r="B63" s="808"/>
      <c r="C63" s="435" t="s">
        <v>591</v>
      </c>
      <c r="D63" s="436"/>
      <c r="E63" s="767"/>
      <c r="F63" s="767"/>
      <c r="G63" s="767"/>
      <c r="H63" s="767"/>
      <c r="I63" s="523"/>
      <c r="J63" s="812">
        <f ca="1">(J36+J42+J45+J49+J50+J54+J55+J59+J60)*J6</f>
        <v>0</v>
      </c>
      <c r="K63" s="812">
        <f t="shared" ref="K63:AG63" ca="1" si="18">(K36+K42+K45+K49+K50+K54+K55+K59+K60)*K6</f>
        <v>-23379.828305416639</v>
      </c>
      <c r="L63" s="812">
        <f t="shared" ca="1" si="18"/>
        <v>19834.168162220823</v>
      </c>
      <c r="M63" s="812">
        <f t="shared" ca="1" si="18"/>
        <v>59364.791742562476</v>
      </c>
      <c r="N63" s="812">
        <f t="shared" ca="1" si="18"/>
        <v>49065.732601297568</v>
      </c>
      <c r="O63" s="812">
        <f t="shared" ca="1" si="18"/>
        <v>56320.367084355195</v>
      </c>
      <c r="P63" s="812">
        <f t="shared" ca="1" si="18"/>
        <v>159710.91397367924</v>
      </c>
      <c r="Q63" s="812">
        <f t="shared" ca="1" si="18"/>
        <v>195048.75482944853</v>
      </c>
      <c r="R63" s="812">
        <f t="shared" ca="1" si="18"/>
        <v>183842.89818314745</v>
      </c>
      <c r="S63" s="812">
        <f t="shared" ca="1" si="18"/>
        <v>272897.95663731074</v>
      </c>
      <c r="T63" s="812">
        <f t="shared" ca="1" si="18"/>
        <v>283432.24350321927</v>
      </c>
      <c r="U63" s="812">
        <f t="shared" ca="1" si="18"/>
        <v>228903.30032959694</v>
      </c>
      <c r="V63" s="812">
        <f t="shared" ca="1" si="18"/>
        <v>317364.41884853493</v>
      </c>
      <c r="W63" s="812">
        <f t="shared" ca="1" si="18"/>
        <v>107463.67786532905</v>
      </c>
      <c r="X63" s="812">
        <f t="shared" ca="1" si="18"/>
        <v>82921.548626603253</v>
      </c>
      <c r="Y63" s="812">
        <f t="shared" ca="1" si="18"/>
        <v>164024.00130922737</v>
      </c>
      <c r="Z63" s="812">
        <f t="shared" ca="1" si="18"/>
        <v>184518.26976984343</v>
      </c>
      <c r="AA63" s="812">
        <f t="shared" ca="1" si="18"/>
        <v>162786.91051272818</v>
      </c>
      <c r="AB63" s="812">
        <f t="shared" ca="1" si="18"/>
        <v>238353.80724408265</v>
      </c>
      <c r="AC63" s="812">
        <f t="shared" ca="1" si="18"/>
        <v>253253.79512141322</v>
      </c>
      <c r="AD63" s="812">
        <f t="shared" ca="1" si="18"/>
        <v>242826.42335345133</v>
      </c>
      <c r="AE63" s="812">
        <f t="shared" ca="1" si="18"/>
        <v>0</v>
      </c>
      <c r="AF63" s="812">
        <f t="shared" ca="1" si="18"/>
        <v>0</v>
      </c>
      <c r="AG63" s="812">
        <f t="shared" ca="1" si="18"/>
        <v>0</v>
      </c>
    </row>
    <row r="64" spans="1:33" ht="7.5" customHeight="1" outlineLevel="2">
      <c r="A64" s="817"/>
      <c r="B64" s="808"/>
      <c r="C64" s="765"/>
      <c r="D64" s="765"/>
      <c r="E64" s="765"/>
      <c r="F64" s="765"/>
      <c r="G64" s="765"/>
      <c r="H64" s="765"/>
      <c r="I64" s="765"/>
      <c r="J64" s="455"/>
      <c r="K64" s="455"/>
      <c r="L64" s="455"/>
      <c r="M64" s="455"/>
      <c r="N64" s="455"/>
      <c r="O64" s="455"/>
      <c r="P64" s="455"/>
      <c r="Q64" s="455"/>
      <c r="R64" s="455"/>
      <c r="S64" s="455"/>
      <c r="T64" s="455"/>
      <c r="U64" s="455"/>
      <c r="V64" s="455"/>
      <c r="W64" s="455"/>
      <c r="X64" s="455"/>
      <c r="Y64" s="455"/>
      <c r="Z64" s="455"/>
      <c r="AA64" s="455"/>
      <c r="AB64" s="455"/>
      <c r="AC64" s="455"/>
      <c r="AD64" s="455"/>
      <c r="AE64" s="455"/>
      <c r="AF64" s="455"/>
      <c r="AG64" s="455"/>
    </row>
    <row r="65" spans="1:33" ht="15.75" customHeight="1" outlineLevel="2">
      <c r="A65" s="817"/>
      <c r="B65" s="809" t="s">
        <v>38</v>
      </c>
      <c r="C65" s="448" t="s">
        <v>839</v>
      </c>
      <c r="D65" s="734"/>
      <c r="E65" s="765"/>
      <c r="F65" s="765"/>
      <c r="G65" s="765"/>
      <c r="H65" s="765"/>
      <c r="I65" s="765"/>
      <c r="J65" s="455"/>
      <c r="K65" s="455"/>
      <c r="L65" s="455"/>
      <c r="M65" s="455"/>
      <c r="N65" s="455"/>
      <c r="O65" s="455"/>
      <c r="P65" s="455"/>
      <c r="Q65" s="455"/>
      <c r="R65" s="455"/>
      <c r="S65" s="455"/>
      <c r="T65" s="455"/>
      <c r="U65" s="455"/>
      <c r="V65" s="455"/>
      <c r="W65" s="455"/>
      <c r="X65" s="455"/>
      <c r="Y65" s="455"/>
      <c r="Z65" s="455"/>
      <c r="AA65" s="455"/>
      <c r="AB65" s="455"/>
      <c r="AC65" s="455"/>
      <c r="AD65" s="455"/>
      <c r="AE65" s="455"/>
      <c r="AF65" s="455"/>
      <c r="AG65" s="455"/>
    </row>
    <row r="66" spans="1:33" ht="15.75" customHeight="1" outlineLevel="2">
      <c r="A66" s="817"/>
      <c r="B66" s="808"/>
      <c r="C66" s="435" t="s">
        <v>140</v>
      </c>
      <c r="D66" s="631"/>
      <c r="E66" s="767"/>
      <c r="F66" s="767"/>
      <c r="G66" s="767"/>
      <c r="H66" s="767"/>
      <c r="I66" s="767"/>
      <c r="J66" s="437">
        <f>I69*J$6</f>
        <v>3500</v>
      </c>
      <c r="K66" s="437">
        <f t="shared" ref="K66:AG66" ca="1" si="19">J69*K$6</f>
        <v>3500</v>
      </c>
      <c r="L66" s="437">
        <f t="shared" ca="1" si="19"/>
        <v>26879.828305416639</v>
      </c>
      <c r="M66" s="437">
        <f t="shared" ca="1" si="19"/>
        <v>7045.6601431958152</v>
      </c>
      <c r="N66" s="437">
        <f t="shared" ca="1" si="19"/>
        <v>0</v>
      </c>
      <c r="O66" s="437">
        <f t="shared" ca="1" si="19"/>
        <v>0</v>
      </c>
      <c r="P66" s="437">
        <f t="shared" ca="1" si="19"/>
        <v>0</v>
      </c>
      <c r="Q66" s="437">
        <f t="shared" ca="1" si="19"/>
        <v>0</v>
      </c>
      <c r="R66" s="437">
        <f t="shared" ca="1" si="19"/>
        <v>0</v>
      </c>
      <c r="S66" s="437">
        <f t="shared" ca="1" si="19"/>
        <v>0</v>
      </c>
      <c r="T66" s="437">
        <f t="shared" ca="1" si="19"/>
        <v>0</v>
      </c>
      <c r="U66" s="437">
        <f t="shared" ca="1" si="19"/>
        <v>0</v>
      </c>
      <c r="V66" s="437">
        <f t="shared" ca="1" si="19"/>
        <v>0</v>
      </c>
      <c r="W66" s="437">
        <f t="shared" ca="1" si="19"/>
        <v>0</v>
      </c>
      <c r="X66" s="437">
        <f t="shared" ca="1" si="19"/>
        <v>0</v>
      </c>
      <c r="Y66" s="437">
        <f t="shared" ca="1" si="19"/>
        <v>0</v>
      </c>
      <c r="Z66" s="437">
        <f t="shared" ca="1" si="19"/>
        <v>0</v>
      </c>
      <c r="AA66" s="437">
        <f t="shared" ca="1" si="19"/>
        <v>0</v>
      </c>
      <c r="AB66" s="437">
        <f t="shared" ca="1" si="19"/>
        <v>0</v>
      </c>
      <c r="AC66" s="437">
        <f t="shared" ca="1" si="19"/>
        <v>0</v>
      </c>
      <c r="AD66" s="437">
        <f t="shared" ca="1" si="19"/>
        <v>0</v>
      </c>
      <c r="AE66" s="437">
        <f t="shared" ca="1" si="19"/>
        <v>0</v>
      </c>
      <c r="AF66" s="437">
        <f t="shared" ca="1" si="19"/>
        <v>0</v>
      </c>
      <c r="AG66" s="437">
        <f t="shared" ca="1" si="19"/>
        <v>0</v>
      </c>
    </row>
    <row r="67" spans="1:33" ht="15.75" customHeight="1" outlineLevel="2">
      <c r="A67" s="817"/>
      <c r="B67" s="808"/>
      <c r="C67" s="435" t="s">
        <v>491</v>
      </c>
      <c r="D67" s="631"/>
      <c r="E67" s="767"/>
      <c r="F67" s="767"/>
      <c r="G67" s="767"/>
      <c r="H67" s="767"/>
      <c r="I67" s="242">
        <f ca="1">SUM(J67:AG67)</f>
        <v>23379.828305416639</v>
      </c>
      <c r="J67" s="437">
        <f t="shared" ref="J67:AG67" ca="1" si="20">IF(J63&gt;=0,0,-MAX(J61,J63,-J70))</f>
        <v>0</v>
      </c>
      <c r="K67" s="437">
        <f t="shared" ca="1" si="20"/>
        <v>23379.828305416639</v>
      </c>
      <c r="L67" s="437">
        <f t="shared" ca="1" si="20"/>
        <v>0</v>
      </c>
      <c r="M67" s="437">
        <f t="shared" ca="1" si="20"/>
        <v>0</v>
      </c>
      <c r="N67" s="437">
        <f t="shared" ca="1" si="20"/>
        <v>0</v>
      </c>
      <c r="O67" s="437">
        <f t="shared" ca="1" si="20"/>
        <v>0</v>
      </c>
      <c r="P67" s="437">
        <f t="shared" ca="1" si="20"/>
        <v>0</v>
      </c>
      <c r="Q67" s="437">
        <f t="shared" ca="1" si="20"/>
        <v>0</v>
      </c>
      <c r="R67" s="437">
        <f t="shared" ca="1" si="20"/>
        <v>0</v>
      </c>
      <c r="S67" s="437">
        <f t="shared" ca="1" si="20"/>
        <v>0</v>
      </c>
      <c r="T67" s="437">
        <f t="shared" ca="1" si="20"/>
        <v>0</v>
      </c>
      <c r="U67" s="437">
        <f t="shared" ca="1" si="20"/>
        <v>0</v>
      </c>
      <c r="V67" s="437">
        <f t="shared" ca="1" si="20"/>
        <v>0</v>
      </c>
      <c r="W67" s="437">
        <f t="shared" ca="1" si="20"/>
        <v>0</v>
      </c>
      <c r="X67" s="437">
        <f t="shared" ca="1" si="20"/>
        <v>0</v>
      </c>
      <c r="Y67" s="437">
        <f t="shared" ca="1" si="20"/>
        <v>0</v>
      </c>
      <c r="Z67" s="437">
        <f t="shared" ca="1" si="20"/>
        <v>0</v>
      </c>
      <c r="AA67" s="437">
        <f t="shared" ca="1" si="20"/>
        <v>0</v>
      </c>
      <c r="AB67" s="437">
        <f t="shared" ca="1" si="20"/>
        <v>0</v>
      </c>
      <c r="AC67" s="437">
        <f t="shared" ca="1" si="20"/>
        <v>0</v>
      </c>
      <c r="AD67" s="437">
        <f t="shared" ca="1" si="20"/>
        <v>0</v>
      </c>
      <c r="AE67" s="437">
        <f t="shared" ca="1" si="20"/>
        <v>0</v>
      </c>
      <c r="AF67" s="437">
        <f t="shared" ca="1" si="20"/>
        <v>0</v>
      </c>
      <c r="AG67" s="437">
        <f t="shared" ca="1" si="20"/>
        <v>0</v>
      </c>
    </row>
    <row r="68" spans="1:33" ht="15.75" customHeight="1" outlineLevel="2">
      <c r="A68" s="817"/>
      <c r="B68" s="808"/>
      <c r="C68" s="435" t="s">
        <v>593</v>
      </c>
      <c r="D68" s="631"/>
      <c r="E68" s="767"/>
      <c r="F68" s="767"/>
      <c r="G68" s="767"/>
      <c r="H68" s="813" t="s">
        <v>49</v>
      </c>
      <c r="I68" s="242">
        <f ca="1">SUM(J68:AG68)</f>
        <v>-26879.828305416639</v>
      </c>
      <c r="J68" s="437">
        <f t="shared" ref="J68:AG68" ca="1" si="21">MIN(0,-MIN(J66,J63))</f>
        <v>0</v>
      </c>
      <c r="K68" s="437">
        <f t="shared" ca="1" si="21"/>
        <v>0</v>
      </c>
      <c r="L68" s="437">
        <f t="shared" ca="1" si="21"/>
        <v>-19834.168162220823</v>
      </c>
      <c r="M68" s="437">
        <f t="shared" ca="1" si="21"/>
        <v>-7045.6601431958152</v>
      </c>
      <c r="N68" s="437">
        <f t="shared" ca="1" si="21"/>
        <v>0</v>
      </c>
      <c r="O68" s="437">
        <f t="shared" ca="1" si="21"/>
        <v>0</v>
      </c>
      <c r="P68" s="437">
        <f t="shared" ca="1" si="21"/>
        <v>0</v>
      </c>
      <c r="Q68" s="437">
        <f t="shared" ca="1" si="21"/>
        <v>0</v>
      </c>
      <c r="R68" s="437">
        <f t="shared" ca="1" si="21"/>
        <v>0</v>
      </c>
      <c r="S68" s="437">
        <f t="shared" ca="1" si="21"/>
        <v>0</v>
      </c>
      <c r="T68" s="437">
        <f t="shared" ca="1" si="21"/>
        <v>0</v>
      </c>
      <c r="U68" s="437">
        <f t="shared" ca="1" si="21"/>
        <v>0</v>
      </c>
      <c r="V68" s="437">
        <f t="shared" ca="1" si="21"/>
        <v>0</v>
      </c>
      <c r="W68" s="437">
        <f t="shared" ca="1" si="21"/>
        <v>0</v>
      </c>
      <c r="X68" s="437">
        <f t="shared" ca="1" si="21"/>
        <v>0</v>
      </c>
      <c r="Y68" s="437">
        <f t="shared" ca="1" si="21"/>
        <v>0</v>
      </c>
      <c r="Z68" s="437">
        <f t="shared" ca="1" si="21"/>
        <v>0</v>
      </c>
      <c r="AA68" s="437">
        <f t="shared" ca="1" si="21"/>
        <v>0</v>
      </c>
      <c r="AB68" s="437">
        <f t="shared" ca="1" si="21"/>
        <v>0</v>
      </c>
      <c r="AC68" s="437">
        <f t="shared" ca="1" si="21"/>
        <v>0</v>
      </c>
      <c r="AD68" s="437">
        <f t="shared" ca="1" si="21"/>
        <v>0</v>
      </c>
      <c r="AE68" s="437">
        <f t="shared" ca="1" si="21"/>
        <v>0</v>
      </c>
      <c r="AF68" s="437">
        <f t="shared" ca="1" si="21"/>
        <v>0</v>
      </c>
      <c r="AG68" s="437">
        <f t="shared" ca="1" si="21"/>
        <v>0</v>
      </c>
    </row>
    <row r="69" spans="1:33" ht="15.75" customHeight="1" outlineLevel="2" thickBot="1">
      <c r="A69" s="817"/>
      <c r="B69" s="808"/>
      <c r="C69" s="435" t="s">
        <v>141</v>
      </c>
      <c r="D69" s="631"/>
      <c r="E69" s="767"/>
      <c r="F69" s="767"/>
      <c r="G69" s="767"/>
      <c r="H69" s="511">
        <f ca="1">MAX(0,MAX(J69:AG69)-I69)</f>
        <v>23379.828305416639</v>
      </c>
      <c r="I69" s="438">
        <f>Inputs!F236</f>
        <v>3500</v>
      </c>
      <c r="J69" s="524">
        <f t="shared" ref="J69:AG69" ca="1" si="22">SUM(J66:J68)</f>
        <v>3500</v>
      </c>
      <c r="K69" s="524">
        <f t="shared" ca="1" si="22"/>
        <v>26879.828305416639</v>
      </c>
      <c r="L69" s="524">
        <f t="shared" ca="1" si="22"/>
        <v>7045.6601431958152</v>
      </c>
      <c r="M69" s="524">
        <f t="shared" ca="1" si="22"/>
        <v>0</v>
      </c>
      <c r="N69" s="524">
        <f t="shared" ca="1" si="22"/>
        <v>0</v>
      </c>
      <c r="O69" s="524">
        <f t="shared" ca="1" si="22"/>
        <v>0</v>
      </c>
      <c r="P69" s="524">
        <f t="shared" ca="1" si="22"/>
        <v>0</v>
      </c>
      <c r="Q69" s="524">
        <f t="shared" ca="1" si="22"/>
        <v>0</v>
      </c>
      <c r="R69" s="524">
        <f t="shared" ca="1" si="22"/>
        <v>0</v>
      </c>
      <c r="S69" s="524">
        <f t="shared" ca="1" si="22"/>
        <v>0</v>
      </c>
      <c r="T69" s="524">
        <f t="shared" ca="1" si="22"/>
        <v>0</v>
      </c>
      <c r="U69" s="524">
        <f t="shared" ca="1" si="22"/>
        <v>0</v>
      </c>
      <c r="V69" s="524">
        <f t="shared" ca="1" si="22"/>
        <v>0</v>
      </c>
      <c r="W69" s="524">
        <f t="shared" ca="1" si="22"/>
        <v>0</v>
      </c>
      <c r="X69" s="524">
        <f t="shared" ca="1" si="22"/>
        <v>0</v>
      </c>
      <c r="Y69" s="524">
        <f t="shared" ca="1" si="22"/>
        <v>0</v>
      </c>
      <c r="Z69" s="524">
        <f t="shared" ca="1" si="22"/>
        <v>0</v>
      </c>
      <c r="AA69" s="524">
        <f t="shared" ca="1" si="22"/>
        <v>0</v>
      </c>
      <c r="AB69" s="524">
        <f t="shared" ca="1" si="22"/>
        <v>0</v>
      </c>
      <c r="AC69" s="524">
        <f t="shared" ca="1" si="22"/>
        <v>0</v>
      </c>
      <c r="AD69" s="524">
        <f t="shared" ca="1" si="22"/>
        <v>0</v>
      </c>
      <c r="AE69" s="524">
        <f t="shared" ca="1" si="22"/>
        <v>0</v>
      </c>
      <c r="AF69" s="524">
        <f t="shared" ca="1" si="22"/>
        <v>0</v>
      </c>
      <c r="AG69" s="524">
        <f t="shared" ca="1" si="22"/>
        <v>0</v>
      </c>
    </row>
    <row r="70" spans="1:33" ht="15.75" customHeight="1" outlineLevel="2" thickTop="1">
      <c r="A70" s="817"/>
      <c r="B70" s="765"/>
      <c r="C70" s="185" t="s">
        <v>592</v>
      </c>
      <c r="D70" s="631"/>
      <c r="E70" s="447">
        <f>Inputs!F133</f>
        <v>65000</v>
      </c>
      <c r="F70" s="466"/>
      <c r="G70" s="814"/>
      <c r="H70" s="767"/>
      <c r="I70" s="767"/>
      <c r="J70" s="437">
        <f t="shared" ref="J70:AG70" si="23">($E70-J66)*J6</f>
        <v>61500</v>
      </c>
      <c r="K70" s="437">
        <f t="shared" ca="1" si="23"/>
        <v>61500</v>
      </c>
      <c r="L70" s="437">
        <f t="shared" ca="1" si="23"/>
        <v>38120.171694583361</v>
      </c>
      <c r="M70" s="437">
        <f t="shared" ca="1" si="23"/>
        <v>57954.339856804188</v>
      </c>
      <c r="N70" s="437">
        <f t="shared" ca="1" si="23"/>
        <v>65000</v>
      </c>
      <c r="O70" s="437">
        <f t="shared" ca="1" si="23"/>
        <v>65000</v>
      </c>
      <c r="P70" s="437">
        <f t="shared" ca="1" si="23"/>
        <v>65000</v>
      </c>
      <c r="Q70" s="437">
        <f t="shared" ca="1" si="23"/>
        <v>65000</v>
      </c>
      <c r="R70" s="437">
        <f t="shared" ca="1" si="23"/>
        <v>65000</v>
      </c>
      <c r="S70" s="437">
        <f t="shared" ca="1" si="23"/>
        <v>65000</v>
      </c>
      <c r="T70" s="437">
        <f t="shared" ca="1" si="23"/>
        <v>65000</v>
      </c>
      <c r="U70" s="437">
        <f t="shared" ca="1" si="23"/>
        <v>65000</v>
      </c>
      <c r="V70" s="437">
        <f t="shared" ca="1" si="23"/>
        <v>65000</v>
      </c>
      <c r="W70" s="437">
        <f t="shared" ca="1" si="23"/>
        <v>65000</v>
      </c>
      <c r="X70" s="437">
        <f t="shared" ca="1" si="23"/>
        <v>65000</v>
      </c>
      <c r="Y70" s="437">
        <f t="shared" ca="1" si="23"/>
        <v>65000</v>
      </c>
      <c r="Z70" s="437">
        <f t="shared" ca="1" si="23"/>
        <v>65000</v>
      </c>
      <c r="AA70" s="437">
        <f t="shared" ca="1" si="23"/>
        <v>65000</v>
      </c>
      <c r="AB70" s="437">
        <f t="shared" ca="1" si="23"/>
        <v>65000</v>
      </c>
      <c r="AC70" s="437">
        <f t="shared" ca="1" si="23"/>
        <v>65000</v>
      </c>
      <c r="AD70" s="437">
        <f t="shared" ca="1" si="23"/>
        <v>65000</v>
      </c>
      <c r="AE70" s="437">
        <f t="shared" ca="1" si="23"/>
        <v>0</v>
      </c>
      <c r="AF70" s="437">
        <f t="shared" ca="1" si="23"/>
        <v>0</v>
      </c>
      <c r="AG70" s="437">
        <f t="shared" ca="1" si="23"/>
        <v>0</v>
      </c>
    </row>
    <row r="71" spans="1:33" ht="15.75" customHeight="1" outlineLevel="2">
      <c r="A71" s="817"/>
      <c r="B71" s="765"/>
      <c r="C71" s="767" t="s">
        <v>840</v>
      </c>
      <c r="D71" s="631"/>
      <c r="E71" s="529">
        <f>Inputs!H135</f>
        <v>0.01</v>
      </c>
      <c r="F71" s="436" t="s">
        <v>597</v>
      </c>
      <c r="G71" s="814"/>
      <c r="H71" s="767"/>
      <c r="I71" s="242">
        <f ca="1">SUM(J71:AG71)</f>
        <v>409.25488448612452</v>
      </c>
      <c r="J71" s="437">
        <f t="shared" ref="J71" si="24">$E71*J66</f>
        <v>35</v>
      </c>
      <c r="K71" s="437">
        <f t="shared" ref="K71:AG71" ca="1" si="25">$E71*K66</f>
        <v>35</v>
      </c>
      <c r="L71" s="437">
        <f t="shared" ca="1" si="25"/>
        <v>268.7982830541664</v>
      </c>
      <c r="M71" s="437">
        <f t="shared" ca="1" si="25"/>
        <v>70.456601431958148</v>
      </c>
      <c r="N71" s="437">
        <f t="shared" ca="1" si="25"/>
        <v>0</v>
      </c>
      <c r="O71" s="437">
        <f t="shared" ca="1" si="25"/>
        <v>0</v>
      </c>
      <c r="P71" s="437">
        <f t="shared" ca="1" si="25"/>
        <v>0</v>
      </c>
      <c r="Q71" s="437">
        <f t="shared" ca="1" si="25"/>
        <v>0</v>
      </c>
      <c r="R71" s="437">
        <f t="shared" ca="1" si="25"/>
        <v>0</v>
      </c>
      <c r="S71" s="437">
        <f t="shared" ca="1" si="25"/>
        <v>0</v>
      </c>
      <c r="T71" s="437">
        <f t="shared" ca="1" si="25"/>
        <v>0</v>
      </c>
      <c r="U71" s="437">
        <f t="shared" ca="1" si="25"/>
        <v>0</v>
      </c>
      <c r="V71" s="437">
        <f t="shared" ca="1" si="25"/>
        <v>0</v>
      </c>
      <c r="W71" s="437">
        <f t="shared" ca="1" si="25"/>
        <v>0</v>
      </c>
      <c r="X71" s="437">
        <f t="shared" ca="1" si="25"/>
        <v>0</v>
      </c>
      <c r="Y71" s="437">
        <f t="shared" ca="1" si="25"/>
        <v>0</v>
      </c>
      <c r="Z71" s="437">
        <f t="shared" ca="1" si="25"/>
        <v>0</v>
      </c>
      <c r="AA71" s="437">
        <f t="shared" ca="1" si="25"/>
        <v>0</v>
      </c>
      <c r="AB71" s="437">
        <f t="shared" ca="1" si="25"/>
        <v>0</v>
      </c>
      <c r="AC71" s="437">
        <f t="shared" ca="1" si="25"/>
        <v>0</v>
      </c>
      <c r="AD71" s="437">
        <f t="shared" ca="1" si="25"/>
        <v>0</v>
      </c>
      <c r="AE71" s="437">
        <f t="shared" ca="1" si="25"/>
        <v>0</v>
      </c>
      <c r="AF71" s="437">
        <f t="shared" ca="1" si="25"/>
        <v>0</v>
      </c>
      <c r="AG71" s="437">
        <f t="shared" ca="1" si="25"/>
        <v>0</v>
      </c>
    </row>
    <row r="72" spans="1:33" ht="15.75" customHeight="1" outlineLevel="2">
      <c r="A72" s="817"/>
      <c r="B72" s="765"/>
      <c r="C72" s="434"/>
      <c r="D72" s="454"/>
      <c r="E72" s="531"/>
      <c r="F72" s="531"/>
      <c r="G72" s="533"/>
      <c r="H72" s="765"/>
      <c r="I72" s="765"/>
      <c r="J72" s="455"/>
      <c r="K72" s="455"/>
      <c r="L72" s="455"/>
      <c r="M72" s="455"/>
      <c r="N72" s="455"/>
      <c r="O72" s="455"/>
      <c r="P72" s="455"/>
      <c r="Q72" s="455"/>
      <c r="R72" s="455"/>
      <c r="S72" s="455"/>
      <c r="T72" s="455"/>
      <c r="U72" s="455"/>
      <c r="V72" s="455"/>
      <c r="W72" s="455"/>
      <c r="X72" s="455"/>
      <c r="Y72" s="455"/>
      <c r="Z72" s="455"/>
      <c r="AA72" s="455"/>
      <c r="AB72" s="455"/>
      <c r="AC72" s="455"/>
      <c r="AD72" s="455"/>
      <c r="AE72" s="455"/>
      <c r="AF72" s="455"/>
      <c r="AG72" s="455"/>
    </row>
    <row r="73" spans="1:33" ht="21" customHeight="1" outlineLevel="1">
      <c r="A73" s="817"/>
      <c r="B73" s="765"/>
      <c r="C73" s="423" t="s">
        <v>598</v>
      </c>
      <c r="D73" s="765"/>
      <c r="E73" s="765"/>
      <c r="F73" s="765"/>
      <c r="G73" s="765"/>
      <c r="H73" s="765"/>
      <c r="I73" s="765"/>
      <c r="J73" s="455"/>
      <c r="K73" s="455"/>
      <c r="L73" s="455"/>
      <c r="M73" s="455"/>
      <c r="N73" s="455"/>
      <c r="O73" s="455"/>
      <c r="P73" s="455"/>
      <c r="Q73" s="455"/>
      <c r="R73" s="455"/>
      <c r="S73" s="455"/>
      <c r="T73" s="455"/>
      <c r="U73" s="455"/>
      <c r="V73" s="455"/>
      <c r="W73" s="455"/>
      <c r="X73" s="455"/>
      <c r="Y73" s="455"/>
      <c r="Z73" s="455"/>
      <c r="AA73" s="455"/>
      <c r="AB73" s="455"/>
      <c r="AC73" s="455"/>
      <c r="AD73" s="455"/>
      <c r="AE73" s="455"/>
      <c r="AF73" s="455"/>
      <c r="AG73" s="455"/>
    </row>
    <row r="74" spans="1:33" ht="15.75" customHeight="1" outlineLevel="2">
      <c r="A74" s="817"/>
      <c r="B74" s="765"/>
      <c r="C74" s="807" t="s">
        <v>599</v>
      </c>
      <c r="D74" s="400"/>
      <c r="E74" s="400"/>
      <c r="F74" s="400"/>
      <c r="G74" s="400"/>
      <c r="H74" s="400"/>
      <c r="I74" s="125"/>
      <c r="J74" s="401">
        <f t="shared" ref="J74" ca="1" si="26">J63+J67+J68</f>
        <v>0</v>
      </c>
      <c r="K74" s="401">
        <f t="shared" ref="K74:AG74" ca="1" si="27">K63+K67+K68</f>
        <v>0</v>
      </c>
      <c r="L74" s="401">
        <f t="shared" ca="1" si="27"/>
        <v>0</v>
      </c>
      <c r="M74" s="401">
        <f t="shared" ca="1" si="27"/>
        <v>52319.131599366665</v>
      </c>
      <c r="N74" s="401">
        <f t="shared" ca="1" si="27"/>
        <v>49065.732601297568</v>
      </c>
      <c r="O74" s="401">
        <f t="shared" ca="1" si="27"/>
        <v>56320.367084355195</v>
      </c>
      <c r="P74" s="401">
        <f t="shared" ca="1" si="27"/>
        <v>159710.91397367924</v>
      </c>
      <c r="Q74" s="401">
        <f t="shared" ca="1" si="27"/>
        <v>195048.75482944853</v>
      </c>
      <c r="R74" s="401">
        <f t="shared" ca="1" si="27"/>
        <v>183842.89818314745</v>
      </c>
      <c r="S74" s="401">
        <f t="shared" ca="1" si="27"/>
        <v>272897.95663731074</v>
      </c>
      <c r="T74" s="401">
        <f t="shared" ca="1" si="27"/>
        <v>283432.24350321927</v>
      </c>
      <c r="U74" s="401">
        <f t="shared" ca="1" si="27"/>
        <v>228903.30032959694</v>
      </c>
      <c r="V74" s="401">
        <f t="shared" ca="1" si="27"/>
        <v>317364.41884853493</v>
      </c>
      <c r="W74" s="401">
        <f t="shared" ca="1" si="27"/>
        <v>107463.67786532905</v>
      </c>
      <c r="X74" s="401">
        <f t="shared" ca="1" si="27"/>
        <v>82921.548626603253</v>
      </c>
      <c r="Y74" s="401">
        <f t="shared" ca="1" si="27"/>
        <v>164024.00130922737</v>
      </c>
      <c r="Z74" s="401">
        <f t="shared" ca="1" si="27"/>
        <v>184518.26976984343</v>
      </c>
      <c r="AA74" s="401">
        <f t="shared" ca="1" si="27"/>
        <v>162786.91051272818</v>
      </c>
      <c r="AB74" s="401">
        <f t="shared" ca="1" si="27"/>
        <v>238353.80724408265</v>
      </c>
      <c r="AC74" s="401">
        <f t="shared" ca="1" si="27"/>
        <v>253253.79512141322</v>
      </c>
      <c r="AD74" s="401">
        <f t="shared" ca="1" si="27"/>
        <v>242826.42335345133</v>
      </c>
      <c r="AE74" s="401">
        <f t="shared" ca="1" si="27"/>
        <v>0</v>
      </c>
      <c r="AF74" s="401">
        <f t="shared" ca="1" si="27"/>
        <v>0</v>
      </c>
      <c r="AG74" s="401">
        <f t="shared" ca="1" si="27"/>
        <v>0</v>
      </c>
    </row>
    <row r="75" spans="1:33" s="830" customFormat="1" ht="15.75" customHeight="1" outlineLevel="2">
      <c r="A75" s="817"/>
      <c r="B75" s="287"/>
      <c r="C75" s="767" t="s">
        <v>699</v>
      </c>
      <c r="D75" s="767"/>
      <c r="E75" s="767"/>
      <c r="F75" s="767"/>
      <c r="G75" s="767"/>
      <c r="H75" s="767"/>
      <c r="I75" s="242">
        <f>SUMPRODUCT((J$6:AG$6),(J75:AG75))</f>
        <v>-175000</v>
      </c>
      <c r="J75" s="451"/>
      <c r="K75" s="451"/>
      <c r="L75" s="451"/>
      <c r="M75" s="451"/>
      <c r="N75" s="451"/>
      <c r="O75" s="451"/>
      <c r="P75" s="451"/>
      <c r="Q75" s="451"/>
      <c r="R75" s="451"/>
      <c r="S75" s="451"/>
      <c r="T75" s="451"/>
      <c r="U75" s="451"/>
      <c r="V75" s="451">
        <v>-175000</v>
      </c>
      <c r="W75" s="451"/>
      <c r="X75" s="451"/>
      <c r="Y75" s="451"/>
      <c r="Z75" s="451"/>
      <c r="AA75" s="451"/>
      <c r="AB75" s="451"/>
      <c r="AC75" s="451"/>
      <c r="AD75" s="451"/>
      <c r="AE75" s="451"/>
      <c r="AF75" s="451"/>
      <c r="AG75" s="451"/>
    </row>
    <row r="76" spans="1:33" s="830" customFormat="1" ht="15.75" customHeight="1" outlineLevel="2">
      <c r="A76" s="817"/>
      <c r="B76" s="287"/>
      <c r="C76" s="135" t="s">
        <v>641</v>
      </c>
      <c r="D76" s="134"/>
      <c r="E76" s="134"/>
      <c r="F76" s="134"/>
      <c r="G76" s="134"/>
      <c r="H76" s="134"/>
      <c r="I76" s="834">
        <f>Inputs!F233</f>
        <v>5000</v>
      </c>
      <c r="J76" s="145">
        <f t="shared" ref="J76" ca="1" si="28">(J74+J75)*J6</f>
        <v>0</v>
      </c>
      <c r="K76" s="145">
        <f t="shared" ref="K76" ca="1" si="29">(K74+K75)*K6</f>
        <v>0</v>
      </c>
      <c r="L76" s="145">
        <f t="shared" ref="L76" ca="1" si="30">(L74+L75)*L6</f>
        <v>0</v>
      </c>
      <c r="M76" s="145">
        <f t="shared" ref="M76" ca="1" si="31">(M74+M75)*M6</f>
        <v>52319.131599366665</v>
      </c>
      <c r="N76" s="145">
        <f t="shared" ref="N76" ca="1" si="32">(N74+N75)*N6</f>
        <v>49065.732601297568</v>
      </c>
      <c r="O76" s="145">
        <f t="shared" ref="O76" ca="1" si="33">(O74+O75)*O6</f>
        <v>56320.367084355195</v>
      </c>
      <c r="P76" s="145">
        <f t="shared" ref="P76" ca="1" si="34">(P74+P75)*P6</f>
        <v>159710.91397367924</v>
      </c>
      <c r="Q76" s="145">
        <f t="shared" ref="Q76" ca="1" si="35">(Q74+Q75)*Q6</f>
        <v>195048.75482944853</v>
      </c>
      <c r="R76" s="145">
        <f t="shared" ref="R76" ca="1" si="36">(R74+R75)*R6</f>
        <v>183842.89818314745</v>
      </c>
      <c r="S76" s="145">
        <f t="shared" ref="S76" ca="1" si="37">(S74+S75)*S6</f>
        <v>272897.95663731074</v>
      </c>
      <c r="T76" s="145">
        <f t="shared" ref="T76" ca="1" si="38">(T74+T75)*T6</f>
        <v>283432.24350321927</v>
      </c>
      <c r="U76" s="145">
        <f t="shared" ref="U76" ca="1" si="39">(U74+U75)*U6</f>
        <v>228903.30032959694</v>
      </c>
      <c r="V76" s="145">
        <f t="shared" ref="V76" ca="1" si="40">(V74+V75)*V6</f>
        <v>142364.41884853493</v>
      </c>
      <c r="W76" s="145">
        <f t="shared" ref="W76" ca="1" si="41">(W74+W75)*W6</f>
        <v>107463.67786532905</v>
      </c>
      <c r="X76" s="145">
        <f t="shared" ref="X76" ca="1" si="42">(X74+X75)*X6</f>
        <v>82921.548626603253</v>
      </c>
      <c r="Y76" s="145">
        <f t="shared" ref="Y76" ca="1" si="43">(Y74+Y75)*Y6</f>
        <v>164024.00130922737</v>
      </c>
      <c r="Z76" s="145">
        <f t="shared" ref="Z76" ca="1" si="44">(Z74+Z75)*Z6</f>
        <v>184518.26976984343</v>
      </c>
      <c r="AA76" s="145">
        <f t="shared" ref="AA76" ca="1" si="45">(AA74+AA75)*AA6</f>
        <v>162786.91051272818</v>
      </c>
      <c r="AB76" s="145">
        <f t="shared" ref="AB76" ca="1" si="46">(AB74+AB75)*AB6</f>
        <v>238353.80724408265</v>
      </c>
      <c r="AC76" s="145">
        <f t="shared" ref="AC76" ca="1" si="47">(AC74+AC75)*AC6</f>
        <v>253253.79512141322</v>
      </c>
      <c r="AD76" s="145">
        <f t="shared" ref="AD76" ca="1" si="48">(AD74+AD75)*AD6</f>
        <v>242826.42335345133</v>
      </c>
      <c r="AE76" s="145">
        <f t="shared" ref="AE76" ca="1" si="49">(AE74+AE75)*AE6</f>
        <v>0</v>
      </c>
      <c r="AF76" s="145">
        <f t="shared" ref="AF76" ca="1" si="50">(AF74+AF75)*AF6</f>
        <v>0</v>
      </c>
      <c r="AG76" s="145">
        <f t="shared" ref="AG76" ca="1" si="51">(AG74+AG75)*AG6</f>
        <v>0</v>
      </c>
    </row>
    <row r="77" spans="1:33" ht="15.75" customHeight="1" outlineLevel="2">
      <c r="A77" s="817"/>
      <c r="B77" s="765"/>
      <c r="C77" s="435" t="s">
        <v>601</v>
      </c>
      <c r="D77" s="767"/>
      <c r="E77" s="767"/>
      <c r="F77" s="767"/>
      <c r="G77" s="767"/>
      <c r="H77" s="815" t="str">
        <f ca="1">IF(I77&lt;&gt;0,"Insufficient Funding !   ","")</f>
        <v/>
      </c>
      <c r="I77" s="685">
        <f ca="1">SUM(J77:AG77)</f>
        <v>0</v>
      </c>
      <c r="J77" s="522">
        <f ca="1">IF(J76&lt;0,1,0)</f>
        <v>0</v>
      </c>
      <c r="K77" s="522">
        <f t="shared" ref="K77:AG77" ca="1" si="52">IF(K76&lt;0,1,0)</f>
        <v>0</v>
      </c>
      <c r="L77" s="522">
        <f t="shared" ca="1" si="52"/>
        <v>0</v>
      </c>
      <c r="M77" s="522">
        <f t="shared" ca="1" si="52"/>
        <v>0</v>
      </c>
      <c r="N77" s="522">
        <f t="shared" ca="1" si="52"/>
        <v>0</v>
      </c>
      <c r="O77" s="522">
        <f t="shared" ca="1" si="52"/>
        <v>0</v>
      </c>
      <c r="P77" s="522">
        <f t="shared" ca="1" si="52"/>
        <v>0</v>
      </c>
      <c r="Q77" s="522">
        <f t="shared" ca="1" si="52"/>
        <v>0</v>
      </c>
      <c r="R77" s="522">
        <f t="shared" ca="1" si="52"/>
        <v>0</v>
      </c>
      <c r="S77" s="522">
        <f t="shared" ca="1" si="52"/>
        <v>0</v>
      </c>
      <c r="T77" s="522">
        <f t="shared" ca="1" si="52"/>
        <v>0</v>
      </c>
      <c r="U77" s="522">
        <f t="shared" ca="1" si="52"/>
        <v>0</v>
      </c>
      <c r="V77" s="522">
        <f t="shared" ca="1" si="52"/>
        <v>0</v>
      </c>
      <c r="W77" s="522">
        <f t="shared" ca="1" si="52"/>
        <v>0</v>
      </c>
      <c r="X77" s="522">
        <f t="shared" ca="1" si="52"/>
        <v>0</v>
      </c>
      <c r="Y77" s="522">
        <f t="shared" ca="1" si="52"/>
        <v>0</v>
      </c>
      <c r="Z77" s="522">
        <f t="shared" ca="1" si="52"/>
        <v>0</v>
      </c>
      <c r="AA77" s="522">
        <f t="shared" ca="1" si="52"/>
        <v>0</v>
      </c>
      <c r="AB77" s="522">
        <f t="shared" ca="1" si="52"/>
        <v>0</v>
      </c>
      <c r="AC77" s="522">
        <f t="shared" ca="1" si="52"/>
        <v>0</v>
      </c>
      <c r="AD77" s="522">
        <f t="shared" ca="1" si="52"/>
        <v>0</v>
      </c>
      <c r="AE77" s="522">
        <f t="shared" ca="1" si="52"/>
        <v>0</v>
      </c>
      <c r="AF77" s="522">
        <f t="shared" ca="1" si="52"/>
        <v>0</v>
      </c>
      <c r="AG77" s="522">
        <f t="shared" ca="1" si="52"/>
        <v>0</v>
      </c>
    </row>
    <row r="78" spans="1:33" s="203" customFormat="1" ht="15.75" customHeight="1" outlineLevel="2">
      <c r="A78" s="817"/>
      <c r="B78" s="817"/>
      <c r="C78" s="767" t="s">
        <v>841</v>
      </c>
      <c r="D78" s="767"/>
      <c r="E78" s="767"/>
      <c r="F78" s="767"/>
      <c r="G78" s="767"/>
      <c r="H78" s="816" t="str">
        <f ca="1">IF(I78&lt;&gt;0,"Attention: Debt repayments (in part) financed by overdraft ","")</f>
        <v/>
      </c>
      <c r="I78" s="685">
        <f ca="1">SUM(J78:AG78)</f>
        <v>0</v>
      </c>
      <c r="J78" s="835">
        <f t="shared" ref="J78:AG78" ca="1" si="53">IF(AND(J67&gt;0,-(J50+J55+J60)&gt;0,-(J50+J55+J60)&gt;J36),1,0)*J6</f>
        <v>0</v>
      </c>
      <c r="K78" s="835">
        <f t="shared" ca="1" si="53"/>
        <v>0</v>
      </c>
      <c r="L78" s="835">
        <f t="shared" ca="1" si="53"/>
        <v>0</v>
      </c>
      <c r="M78" s="835">
        <f t="shared" ca="1" si="53"/>
        <v>0</v>
      </c>
      <c r="N78" s="835">
        <f t="shared" ca="1" si="53"/>
        <v>0</v>
      </c>
      <c r="O78" s="835">
        <f t="shared" ca="1" si="53"/>
        <v>0</v>
      </c>
      <c r="P78" s="835">
        <f t="shared" ca="1" si="53"/>
        <v>0</v>
      </c>
      <c r="Q78" s="835">
        <f t="shared" ca="1" si="53"/>
        <v>0</v>
      </c>
      <c r="R78" s="835">
        <f t="shared" ca="1" si="53"/>
        <v>0</v>
      </c>
      <c r="S78" s="835">
        <f t="shared" ca="1" si="53"/>
        <v>0</v>
      </c>
      <c r="T78" s="835">
        <f t="shared" ca="1" si="53"/>
        <v>0</v>
      </c>
      <c r="U78" s="835">
        <f t="shared" ca="1" si="53"/>
        <v>0</v>
      </c>
      <c r="V78" s="835">
        <f t="shared" ca="1" si="53"/>
        <v>0</v>
      </c>
      <c r="W78" s="835">
        <f t="shared" ca="1" si="53"/>
        <v>0</v>
      </c>
      <c r="X78" s="835">
        <f t="shared" ca="1" si="53"/>
        <v>0</v>
      </c>
      <c r="Y78" s="835">
        <f t="shared" ca="1" si="53"/>
        <v>0</v>
      </c>
      <c r="Z78" s="835">
        <f t="shared" ca="1" si="53"/>
        <v>0</v>
      </c>
      <c r="AA78" s="835">
        <f t="shared" ca="1" si="53"/>
        <v>0</v>
      </c>
      <c r="AB78" s="835">
        <f t="shared" ca="1" si="53"/>
        <v>0</v>
      </c>
      <c r="AC78" s="835">
        <f t="shared" ca="1" si="53"/>
        <v>0</v>
      </c>
      <c r="AD78" s="835">
        <f t="shared" ca="1" si="53"/>
        <v>0</v>
      </c>
      <c r="AE78" s="835">
        <f t="shared" ca="1" si="53"/>
        <v>0</v>
      </c>
      <c r="AF78" s="835">
        <f t="shared" ca="1" si="53"/>
        <v>0</v>
      </c>
      <c r="AG78" s="835">
        <f t="shared" ca="1" si="53"/>
        <v>0</v>
      </c>
    </row>
    <row r="79" spans="1:33" ht="15.75" customHeight="1">
      <c r="A79" s="894"/>
      <c r="B79" s="241"/>
      <c r="C79" s="241"/>
      <c r="D79" s="241"/>
      <c r="E79" s="241"/>
      <c r="F79" s="241"/>
      <c r="G79" s="241"/>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7"/>
    </row>
    <row r="80" spans="1:33" ht="20.25" customHeight="1" thickBot="1">
      <c r="A80" s="337"/>
      <c r="B80" s="818"/>
      <c r="C80" s="818" t="s">
        <v>602</v>
      </c>
      <c r="D80" s="819" t="str">
        <f>"(all figures in " &amp;Currency_Label &amp;")"</f>
        <v>(all figures in USD)</v>
      </c>
      <c r="E80" s="818"/>
      <c r="F80" s="818"/>
      <c r="G80" s="818"/>
      <c r="H80" s="818"/>
      <c r="I80" s="818"/>
      <c r="J80" s="818"/>
      <c r="K80" s="818"/>
      <c r="L80" s="818"/>
      <c r="M80" s="818"/>
      <c r="N80" s="818"/>
      <c r="O80" s="818"/>
      <c r="P80" s="818"/>
      <c r="Q80" s="818"/>
      <c r="R80" s="818"/>
      <c r="S80" s="818"/>
      <c r="T80" s="818"/>
      <c r="U80" s="818"/>
      <c r="V80" s="818"/>
      <c r="W80" s="818"/>
      <c r="X80" s="818"/>
      <c r="Y80" s="818"/>
      <c r="Z80" s="818"/>
      <c r="AA80" s="818"/>
      <c r="AB80" s="818"/>
      <c r="AC80" s="818"/>
      <c r="AD80" s="818"/>
      <c r="AE80" s="818"/>
      <c r="AF80" s="818"/>
      <c r="AG80" s="818"/>
    </row>
    <row r="81" spans="1:33" ht="22.5" customHeight="1" outlineLevel="1">
      <c r="A81" s="894"/>
      <c r="B81" s="423" t="s">
        <v>33</v>
      </c>
      <c r="C81" s="423" t="s">
        <v>683</v>
      </c>
      <c r="D81" s="527"/>
      <c r="E81" s="765"/>
      <c r="F81" s="765"/>
      <c r="G81" s="765"/>
      <c r="H81" s="765"/>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row>
    <row r="82" spans="1:33" ht="15.75" customHeight="1" outlineLevel="2">
      <c r="A82" s="894"/>
      <c r="B82" s="765"/>
      <c r="C82" s="435" t="s">
        <v>140</v>
      </c>
      <c r="D82" s="631"/>
      <c r="E82" s="767"/>
      <c r="F82" s="767"/>
      <c r="G82" s="767"/>
      <c r="H82" s="767"/>
      <c r="I82" s="767"/>
      <c r="J82" s="776">
        <f>I84*J$6</f>
        <v>70000</v>
      </c>
      <c r="K82" s="776">
        <f t="shared" ref="K82:AG82" ca="1" si="54">J84*K$6</f>
        <v>145000</v>
      </c>
      <c r="L82" s="776">
        <f t="shared" ca="1" si="54"/>
        <v>145000</v>
      </c>
      <c r="M82" s="776">
        <f t="shared" ca="1" si="54"/>
        <v>145000</v>
      </c>
      <c r="N82" s="776">
        <f t="shared" ca="1" si="54"/>
        <v>145000</v>
      </c>
      <c r="O82" s="776">
        <f t="shared" ca="1" si="54"/>
        <v>145000</v>
      </c>
      <c r="P82" s="776">
        <f t="shared" ca="1" si="54"/>
        <v>145000</v>
      </c>
      <c r="Q82" s="776">
        <f t="shared" ca="1" si="54"/>
        <v>145000</v>
      </c>
      <c r="R82" s="776">
        <f t="shared" ca="1" si="54"/>
        <v>145000</v>
      </c>
      <c r="S82" s="776">
        <f t="shared" ca="1" si="54"/>
        <v>145000</v>
      </c>
      <c r="T82" s="776">
        <f t="shared" ca="1" si="54"/>
        <v>145000</v>
      </c>
      <c r="U82" s="776">
        <f t="shared" ca="1" si="54"/>
        <v>145000</v>
      </c>
      <c r="V82" s="776">
        <f t="shared" ca="1" si="54"/>
        <v>145000</v>
      </c>
      <c r="W82" s="776">
        <f t="shared" ca="1" si="54"/>
        <v>145000</v>
      </c>
      <c r="X82" s="776">
        <f t="shared" ca="1" si="54"/>
        <v>145000</v>
      </c>
      <c r="Y82" s="776">
        <f t="shared" ca="1" si="54"/>
        <v>145000</v>
      </c>
      <c r="Z82" s="776">
        <f t="shared" ca="1" si="54"/>
        <v>145000</v>
      </c>
      <c r="AA82" s="776">
        <f t="shared" ca="1" si="54"/>
        <v>145000</v>
      </c>
      <c r="AB82" s="776">
        <f t="shared" ca="1" si="54"/>
        <v>145000</v>
      </c>
      <c r="AC82" s="776">
        <f t="shared" ca="1" si="54"/>
        <v>145000</v>
      </c>
      <c r="AD82" s="776">
        <f t="shared" ca="1" si="54"/>
        <v>145000</v>
      </c>
      <c r="AE82" s="776">
        <f t="shared" ca="1" si="54"/>
        <v>0</v>
      </c>
      <c r="AF82" s="776">
        <f t="shared" ca="1" si="54"/>
        <v>0</v>
      </c>
      <c r="AG82" s="776">
        <f t="shared" ca="1" si="54"/>
        <v>0</v>
      </c>
    </row>
    <row r="83" spans="1:33" ht="15.75" customHeight="1" outlineLevel="2">
      <c r="A83" s="894"/>
      <c r="B83" s="765"/>
      <c r="C83" s="185" t="s">
        <v>603</v>
      </c>
      <c r="D83" s="631"/>
      <c r="E83" s="767"/>
      <c r="F83" s="767"/>
      <c r="G83" s="767"/>
      <c r="H83" s="767"/>
      <c r="I83" s="242">
        <f ca="1">SUM(J83:AG83)</f>
        <v>75000</v>
      </c>
      <c r="J83" s="437">
        <f t="shared" ref="J83:AG83" ca="1" si="55">J42</f>
        <v>75000</v>
      </c>
      <c r="K83" s="437">
        <f t="shared" ca="1" si="55"/>
        <v>0</v>
      </c>
      <c r="L83" s="437">
        <f t="shared" ca="1" si="55"/>
        <v>0</v>
      </c>
      <c r="M83" s="437">
        <f t="shared" ca="1" si="55"/>
        <v>0</v>
      </c>
      <c r="N83" s="437">
        <f t="shared" ca="1" si="55"/>
        <v>0</v>
      </c>
      <c r="O83" s="437">
        <f t="shared" ca="1" si="55"/>
        <v>0</v>
      </c>
      <c r="P83" s="437">
        <f t="shared" ca="1" si="55"/>
        <v>0</v>
      </c>
      <c r="Q83" s="437">
        <f t="shared" ca="1" si="55"/>
        <v>0</v>
      </c>
      <c r="R83" s="437">
        <f t="shared" ca="1" si="55"/>
        <v>0</v>
      </c>
      <c r="S83" s="437">
        <f t="shared" ca="1" si="55"/>
        <v>0</v>
      </c>
      <c r="T83" s="437">
        <f t="shared" ca="1" si="55"/>
        <v>0</v>
      </c>
      <c r="U83" s="437">
        <f t="shared" ca="1" si="55"/>
        <v>0</v>
      </c>
      <c r="V83" s="437">
        <f t="shared" ca="1" si="55"/>
        <v>0</v>
      </c>
      <c r="W83" s="437">
        <f t="shared" ca="1" si="55"/>
        <v>0</v>
      </c>
      <c r="X83" s="437">
        <f t="shared" ca="1" si="55"/>
        <v>0</v>
      </c>
      <c r="Y83" s="437">
        <f t="shared" ca="1" si="55"/>
        <v>0</v>
      </c>
      <c r="Z83" s="437">
        <f t="shared" ca="1" si="55"/>
        <v>0</v>
      </c>
      <c r="AA83" s="437">
        <f t="shared" ca="1" si="55"/>
        <v>0</v>
      </c>
      <c r="AB83" s="437">
        <f t="shared" ca="1" si="55"/>
        <v>0</v>
      </c>
      <c r="AC83" s="437">
        <f t="shared" ca="1" si="55"/>
        <v>0</v>
      </c>
      <c r="AD83" s="437">
        <f t="shared" ca="1" si="55"/>
        <v>0</v>
      </c>
      <c r="AE83" s="437">
        <f t="shared" ca="1" si="55"/>
        <v>0</v>
      </c>
      <c r="AF83" s="437">
        <f t="shared" ca="1" si="55"/>
        <v>0</v>
      </c>
      <c r="AG83" s="437">
        <f t="shared" ca="1" si="55"/>
        <v>0</v>
      </c>
    </row>
    <row r="84" spans="1:33" ht="15.75" customHeight="1" outlineLevel="2" thickBot="1">
      <c r="A84" s="894"/>
      <c r="B84" s="765"/>
      <c r="C84" s="435" t="s">
        <v>141</v>
      </c>
      <c r="D84" s="631"/>
      <c r="E84" s="767"/>
      <c r="F84" s="767"/>
      <c r="G84" s="767"/>
      <c r="H84" s="767"/>
      <c r="I84" s="438">
        <f>Inputs!$F$247</f>
        <v>70000</v>
      </c>
      <c r="J84" s="692">
        <f t="shared" ref="J84:AG84" ca="1" si="56">SUM(J82:J83)</f>
        <v>145000</v>
      </c>
      <c r="K84" s="692">
        <f t="shared" ca="1" si="56"/>
        <v>145000</v>
      </c>
      <c r="L84" s="692">
        <f t="shared" ca="1" si="56"/>
        <v>145000</v>
      </c>
      <c r="M84" s="692">
        <f t="shared" ca="1" si="56"/>
        <v>145000</v>
      </c>
      <c r="N84" s="692">
        <f t="shared" ca="1" si="56"/>
        <v>145000</v>
      </c>
      <c r="O84" s="692">
        <f t="shared" ca="1" si="56"/>
        <v>145000</v>
      </c>
      <c r="P84" s="692">
        <f t="shared" ca="1" si="56"/>
        <v>145000</v>
      </c>
      <c r="Q84" s="692">
        <f t="shared" ca="1" si="56"/>
        <v>145000</v>
      </c>
      <c r="R84" s="692">
        <f t="shared" ca="1" si="56"/>
        <v>145000</v>
      </c>
      <c r="S84" s="692">
        <f t="shared" ca="1" si="56"/>
        <v>145000</v>
      </c>
      <c r="T84" s="692">
        <f t="shared" ca="1" si="56"/>
        <v>145000</v>
      </c>
      <c r="U84" s="692">
        <f t="shared" ca="1" si="56"/>
        <v>145000</v>
      </c>
      <c r="V84" s="692">
        <f t="shared" ca="1" si="56"/>
        <v>145000</v>
      </c>
      <c r="W84" s="692">
        <f t="shared" ca="1" si="56"/>
        <v>145000</v>
      </c>
      <c r="X84" s="692">
        <f t="shared" ca="1" si="56"/>
        <v>145000</v>
      </c>
      <c r="Y84" s="692">
        <f t="shared" ca="1" si="56"/>
        <v>145000</v>
      </c>
      <c r="Z84" s="692">
        <f t="shared" ca="1" si="56"/>
        <v>145000</v>
      </c>
      <c r="AA84" s="692">
        <f t="shared" ca="1" si="56"/>
        <v>145000</v>
      </c>
      <c r="AB84" s="692">
        <f t="shared" ca="1" si="56"/>
        <v>145000</v>
      </c>
      <c r="AC84" s="692">
        <f t="shared" ca="1" si="56"/>
        <v>145000</v>
      </c>
      <c r="AD84" s="692">
        <f t="shared" ca="1" si="56"/>
        <v>145000</v>
      </c>
      <c r="AE84" s="692">
        <f t="shared" ca="1" si="56"/>
        <v>0</v>
      </c>
      <c r="AF84" s="692">
        <f t="shared" ca="1" si="56"/>
        <v>0</v>
      </c>
      <c r="AG84" s="692">
        <f t="shared" ca="1" si="56"/>
        <v>0</v>
      </c>
    </row>
    <row r="85" spans="1:33" ht="15.75" customHeight="1" outlineLevel="2" thickTop="1">
      <c r="A85" s="894"/>
      <c r="B85" s="765"/>
      <c r="C85" s="185" t="s">
        <v>592</v>
      </c>
      <c r="D85" s="631"/>
      <c r="E85" s="447">
        <f>Inputs!F93</f>
        <v>75000</v>
      </c>
      <c r="F85" s="767"/>
      <c r="G85" s="767"/>
      <c r="H85" s="767"/>
      <c r="I85" s="767"/>
      <c r="J85" s="437">
        <f>MAX(0,($E85-J82+Inputs!$F$247)*J$6)</f>
        <v>75000</v>
      </c>
      <c r="K85" s="437">
        <f ca="1">MAX(0,($E85-K82+Inputs!$F$247)*K$6)</f>
        <v>0</v>
      </c>
      <c r="L85" s="437">
        <f ca="1">MAX(0,($E85-L82+Inputs!$F$247)*L$6)</f>
        <v>0</v>
      </c>
      <c r="M85" s="437">
        <f ca="1">MAX(0,($E85-M82+Inputs!$F$247)*M$6)</f>
        <v>0</v>
      </c>
      <c r="N85" s="437">
        <f ca="1">MAX(0,($E85-N82+Inputs!$F$247)*N$6)</f>
        <v>0</v>
      </c>
      <c r="O85" s="437">
        <f ca="1">MAX(0,($E85-O82+Inputs!$F$247)*O$6)</f>
        <v>0</v>
      </c>
      <c r="P85" s="437">
        <f ca="1">MAX(0,($E85-P82+Inputs!$F$247)*P$6)</f>
        <v>0</v>
      </c>
      <c r="Q85" s="437">
        <f ca="1">MAX(0,($E85-Q82+Inputs!$F$247)*Q$6)</f>
        <v>0</v>
      </c>
      <c r="R85" s="437">
        <f ca="1">MAX(0,($E85-R82+Inputs!$F$247)*R$6)</f>
        <v>0</v>
      </c>
      <c r="S85" s="437">
        <f ca="1">MAX(0,($E85-S82+Inputs!$F$247)*S$6)</f>
        <v>0</v>
      </c>
      <c r="T85" s="437">
        <f ca="1">MAX(0,($E85-T82+Inputs!$F$247)*T$6)</f>
        <v>0</v>
      </c>
      <c r="U85" s="437">
        <f ca="1">MAX(0,($E85-U82+Inputs!$F$247)*U$6)</f>
        <v>0</v>
      </c>
      <c r="V85" s="437">
        <f ca="1">MAX(0,($E85-V82+Inputs!$F$247)*V$6)</f>
        <v>0</v>
      </c>
      <c r="W85" s="437">
        <f ca="1">MAX(0,($E85-W82+Inputs!$F$247)*W$6)</f>
        <v>0</v>
      </c>
      <c r="X85" s="437">
        <f ca="1">MAX(0,($E85-X82+Inputs!$F$247)*X$6)</f>
        <v>0</v>
      </c>
      <c r="Y85" s="437">
        <f ca="1">MAX(0,($E85-Y82+Inputs!$F$247)*Y$6)</f>
        <v>0</v>
      </c>
      <c r="Z85" s="437">
        <f ca="1">MAX(0,($E85-Z82+Inputs!$F$247)*Z$6)</f>
        <v>0</v>
      </c>
      <c r="AA85" s="437">
        <f ca="1">MAX(0,($E85-AA82+Inputs!$F$247)*AA$6)</f>
        <v>0</v>
      </c>
      <c r="AB85" s="437">
        <f ca="1">MAX(0,($E85-AB82+Inputs!$F$247)*AB$6)</f>
        <v>0</v>
      </c>
      <c r="AC85" s="437">
        <f ca="1">MAX(0,($E85-AC82+Inputs!$F$247)*AC$6)</f>
        <v>0</v>
      </c>
      <c r="AD85" s="437">
        <f ca="1">MAX(0,($E85-AD82+Inputs!$F$247)*AD$6)</f>
        <v>0</v>
      </c>
      <c r="AE85" s="437">
        <f ca="1">MAX(0,($E85-AE82+Inputs!$F$247)*AE$6)</f>
        <v>0</v>
      </c>
      <c r="AF85" s="437">
        <f ca="1">MAX(0,($E85-AF82+Inputs!$F$247)*AF$6)</f>
        <v>0</v>
      </c>
      <c r="AG85" s="437">
        <f ca="1">MAX(0,($E85-AG82+Inputs!$F$247)*AG$6)</f>
        <v>0</v>
      </c>
    </row>
    <row r="86" spans="1:33" ht="15.75" customHeight="1" outlineLevel="2">
      <c r="A86" s="894"/>
      <c r="B86" s="765"/>
      <c r="C86" s="765"/>
      <c r="D86" s="527"/>
      <c r="E86" s="765"/>
      <c r="F86" s="765"/>
      <c r="G86" s="765"/>
      <c r="H86" s="765"/>
      <c r="I86" s="765"/>
      <c r="J86" s="765"/>
      <c r="K86" s="531"/>
      <c r="L86" s="765"/>
      <c r="M86" s="765"/>
      <c r="N86" s="765"/>
      <c r="O86" s="765"/>
      <c r="P86" s="765"/>
      <c r="Q86" s="765"/>
      <c r="R86" s="765"/>
      <c r="S86" s="765"/>
      <c r="T86" s="765"/>
      <c r="U86" s="765"/>
      <c r="V86" s="765"/>
      <c r="W86" s="765"/>
      <c r="X86" s="765"/>
      <c r="Y86" s="765"/>
      <c r="Z86" s="765"/>
      <c r="AA86" s="765"/>
      <c r="AB86" s="765"/>
      <c r="AC86" s="765"/>
      <c r="AD86" s="765"/>
      <c r="AE86" s="765"/>
      <c r="AF86" s="765"/>
      <c r="AG86" s="765"/>
    </row>
    <row r="87" spans="1:33" ht="20.25" customHeight="1" outlineLevel="1">
      <c r="A87" s="894"/>
      <c r="B87" s="423" t="s">
        <v>34</v>
      </c>
      <c r="C87" s="423" t="str">
        <f>"Debt 1: "&amp;Inputs!$F$99</f>
        <v>Debt 1: UL Bank</v>
      </c>
      <c r="D87" s="734" t="s">
        <v>604</v>
      </c>
      <c r="E87" s="765"/>
      <c r="F87" s="806">
        <f>Inputs!$F$100</f>
        <v>1</v>
      </c>
      <c r="G87" s="765"/>
      <c r="H87" s="765"/>
      <c r="I87" s="765"/>
      <c r="J87" s="765"/>
      <c r="K87" s="765"/>
      <c r="L87" s="765"/>
      <c r="M87" s="765"/>
      <c r="N87" s="765"/>
      <c r="O87" s="765"/>
      <c r="P87" s="765"/>
      <c r="Q87" s="765"/>
      <c r="R87" s="765"/>
      <c r="S87" s="765"/>
      <c r="T87" s="765"/>
      <c r="U87" s="765"/>
      <c r="V87" s="765"/>
      <c r="W87" s="765"/>
      <c r="X87" s="765"/>
      <c r="Y87" s="765"/>
      <c r="Z87" s="765"/>
      <c r="AA87" s="765"/>
      <c r="AB87" s="765"/>
      <c r="AC87" s="765"/>
      <c r="AD87" s="765"/>
      <c r="AE87" s="765"/>
      <c r="AF87" s="765"/>
      <c r="AG87" s="765"/>
    </row>
    <row r="88" spans="1:33" ht="15.75" customHeight="1" outlineLevel="2">
      <c r="A88" s="894"/>
      <c r="B88" s="765"/>
      <c r="C88" s="456" t="str">
        <f>"Flags: "&amp;Inputs!$F$99</f>
        <v>Flags: UL Bank</v>
      </c>
      <c r="D88" s="527"/>
      <c r="E88" s="765"/>
      <c r="F88" s="765"/>
      <c r="G88" s="765"/>
      <c r="H88" s="765"/>
      <c r="I88" s="765"/>
      <c r="J88" s="765"/>
      <c r="K88" s="765"/>
      <c r="L88" s="765"/>
      <c r="M88" s="765"/>
      <c r="N88" s="765"/>
      <c r="O88" s="765"/>
      <c r="P88" s="765"/>
      <c r="Q88" s="765"/>
      <c r="R88" s="765"/>
      <c r="S88" s="765"/>
      <c r="T88" s="765"/>
      <c r="U88" s="765"/>
      <c r="V88" s="765"/>
      <c r="W88" s="765"/>
      <c r="X88" s="765"/>
      <c r="Y88" s="765"/>
      <c r="Z88" s="765"/>
      <c r="AA88" s="765"/>
      <c r="AB88" s="765"/>
      <c r="AC88" s="765"/>
      <c r="AD88" s="765"/>
      <c r="AE88" s="765"/>
      <c r="AF88" s="765"/>
      <c r="AG88" s="765"/>
    </row>
    <row r="89" spans="1:33" ht="15.75" customHeight="1" outlineLevel="2">
      <c r="A89" s="894"/>
      <c r="B89" s="765"/>
      <c r="C89" s="435" t="s">
        <v>607</v>
      </c>
      <c r="D89" s="436" t="s">
        <v>29</v>
      </c>
      <c r="E89" s="820" t="s">
        <v>605</v>
      </c>
      <c r="F89" s="521">
        <f>Inputs!$F$104</f>
        <v>43890</v>
      </c>
      <c r="G89" s="767"/>
      <c r="H89" s="767"/>
      <c r="I89" s="767"/>
      <c r="J89" s="522">
        <f t="shared" ref="J89:AG89" si="57">IF(J$5&lt;=$F89,1,0)</f>
        <v>1</v>
      </c>
      <c r="K89" s="522">
        <f t="shared" si="57"/>
        <v>1</v>
      </c>
      <c r="L89" s="522">
        <f t="shared" si="57"/>
        <v>1</v>
      </c>
      <c r="M89" s="522">
        <f t="shared" si="57"/>
        <v>1</v>
      </c>
      <c r="N89" s="522">
        <f t="shared" si="57"/>
        <v>1</v>
      </c>
      <c r="O89" s="522">
        <f t="shared" si="57"/>
        <v>1</v>
      </c>
      <c r="P89" s="522">
        <f t="shared" si="57"/>
        <v>1</v>
      </c>
      <c r="Q89" s="522">
        <f t="shared" si="57"/>
        <v>1</v>
      </c>
      <c r="R89" s="522">
        <f t="shared" si="57"/>
        <v>1</v>
      </c>
      <c r="S89" s="522">
        <f t="shared" si="57"/>
        <v>1</v>
      </c>
      <c r="T89" s="522">
        <f t="shared" si="57"/>
        <v>1</v>
      </c>
      <c r="U89" s="522">
        <f t="shared" si="57"/>
        <v>1</v>
      </c>
      <c r="V89" s="522">
        <f t="shared" si="57"/>
        <v>0</v>
      </c>
      <c r="W89" s="522">
        <f t="shared" si="57"/>
        <v>0</v>
      </c>
      <c r="X89" s="522">
        <f t="shared" si="57"/>
        <v>0</v>
      </c>
      <c r="Y89" s="522">
        <f t="shared" si="57"/>
        <v>0</v>
      </c>
      <c r="Z89" s="522">
        <f t="shared" si="57"/>
        <v>0</v>
      </c>
      <c r="AA89" s="522">
        <f t="shared" si="57"/>
        <v>0</v>
      </c>
      <c r="AB89" s="522">
        <f t="shared" si="57"/>
        <v>0</v>
      </c>
      <c r="AC89" s="522">
        <f t="shared" si="57"/>
        <v>0</v>
      </c>
      <c r="AD89" s="522">
        <f t="shared" si="57"/>
        <v>0</v>
      </c>
      <c r="AE89" s="522">
        <f t="shared" si="57"/>
        <v>0</v>
      </c>
      <c r="AF89" s="522">
        <f t="shared" si="57"/>
        <v>0</v>
      </c>
      <c r="AG89" s="522">
        <f t="shared" si="57"/>
        <v>0</v>
      </c>
    </row>
    <row r="90" spans="1:33" ht="15.75" customHeight="1" outlineLevel="2">
      <c r="A90" s="894"/>
      <c r="B90" s="765"/>
      <c r="C90" s="435" t="s">
        <v>608</v>
      </c>
      <c r="D90" s="436" t="s">
        <v>29</v>
      </c>
      <c r="E90" s="521">
        <f>Inputs!F104+1</f>
        <v>43891</v>
      </c>
      <c r="F90" s="521">
        <f>Inputs!F108</f>
        <v>47542</v>
      </c>
      <c r="G90" s="767"/>
      <c r="H90" s="767"/>
      <c r="I90" s="242">
        <f>SUM(J90:AG90)</f>
        <v>12</v>
      </c>
      <c r="J90" s="525">
        <f t="shared" ref="J90:AG90" si="58">IF(AND(J$4&gt;=$E90,J$5&lt;=$F90),1,0)</f>
        <v>0</v>
      </c>
      <c r="K90" s="525">
        <f t="shared" si="58"/>
        <v>0</v>
      </c>
      <c r="L90" s="525">
        <f t="shared" si="58"/>
        <v>0</v>
      </c>
      <c r="M90" s="525">
        <f t="shared" si="58"/>
        <v>0</v>
      </c>
      <c r="N90" s="525">
        <f t="shared" si="58"/>
        <v>0</v>
      </c>
      <c r="O90" s="525">
        <f t="shared" si="58"/>
        <v>0</v>
      </c>
      <c r="P90" s="525">
        <f t="shared" si="58"/>
        <v>0</v>
      </c>
      <c r="Q90" s="525">
        <f t="shared" si="58"/>
        <v>0</v>
      </c>
      <c r="R90" s="525">
        <f t="shared" si="58"/>
        <v>0</v>
      </c>
      <c r="S90" s="525">
        <f t="shared" si="58"/>
        <v>0</v>
      </c>
      <c r="T90" s="525">
        <f t="shared" si="58"/>
        <v>0</v>
      </c>
      <c r="U90" s="525">
        <f t="shared" si="58"/>
        <v>0</v>
      </c>
      <c r="V90" s="525">
        <f t="shared" si="58"/>
        <v>1</v>
      </c>
      <c r="W90" s="525">
        <f t="shared" si="58"/>
        <v>1</v>
      </c>
      <c r="X90" s="525">
        <f t="shared" si="58"/>
        <v>1</v>
      </c>
      <c r="Y90" s="525">
        <f t="shared" si="58"/>
        <v>1</v>
      </c>
      <c r="Z90" s="525">
        <f t="shared" si="58"/>
        <v>1</v>
      </c>
      <c r="AA90" s="525">
        <f t="shared" si="58"/>
        <v>1</v>
      </c>
      <c r="AB90" s="525">
        <f t="shared" si="58"/>
        <v>1</v>
      </c>
      <c r="AC90" s="525">
        <f t="shared" si="58"/>
        <v>1</v>
      </c>
      <c r="AD90" s="525">
        <f t="shared" si="58"/>
        <v>1</v>
      </c>
      <c r="AE90" s="525">
        <f t="shared" si="58"/>
        <v>1</v>
      </c>
      <c r="AF90" s="525">
        <f t="shared" si="58"/>
        <v>1</v>
      </c>
      <c r="AG90" s="525">
        <f t="shared" si="58"/>
        <v>1</v>
      </c>
    </row>
    <row r="91" spans="1:33" ht="15.75" customHeight="1" outlineLevel="2">
      <c r="A91" s="894"/>
      <c r="B91" s="765"/>
      <c r="C91" s="435" t="s">
        <v>609</v>
      </c>
      <c r="D91" s="436" t="s">
        <v>39</v>
      </c>
      <c r="E91" s="767"/>
      <c r="F91" s="767"/>
      <c r="G91" s="767"/>
      <c r="H91" s="767"/>
      <c r="I91" s="767"/>
      <c r="J91" s="821">
        <f t="shared" ref="J91:AG91" si="59">IF(J$4=$E90,1,I91+1)*J90</f>
        <v>0</v>
      </c>
      <c r="K91" s="821">
        <f t="shared" si="59"/>
        <v>0</v>
      </c>
      <c r="L91" s="821">
        <f t="shared" si="59"/>
        <v>0</v>
      </c>
      <c r="M91" s="821">
        <f t="shared" si="59"/>
        <v>0</v>
      </c>
      <c r="N91" s="821">
        <f t="shared" si="59"/>
        <v>0</v>
      </c>
      <c r="O91" s="821">
        <f t="shared" si="59"/>
        <v>0</v>
      </c>
      <c r="P91" s="821">
        <f t="shared" si="59"/>
        <v>0</v>
      </c>
      <c r="Q91" s="821">
        <f t="shared" si="59"/>
        <v>0</v>
      </c>
      <c r="R91" s="821">
        <f t="shared" si="59"/>
        <v>0</v>
      </c>
      <c r="S91" s="821">
        <f t="shared" si="59"/>
        <v>0</v>
      </c>
      <c r="T91" s="821">
        <f t="shared" si="59"/>
        <v>0</v>
      </c>
      <c r="U91" s="821">
        <f t="shared" si="59"/>
        <v>0</v>
      </c>
      <c r="V91" s="821">
        <f t="shared" si="59"/>
        <v>1</v>
      </c>
      <c r="W91" s="821">
        <f t="shared" si="59"/>
        <v>2</v>
      </c>
      <c r="X91" s="821">
        <f t="shared" si="59"/>
        <v>3</v>
      </c>
      <c r="Y91" s="821">
        <f t="shared" si="59"/>
        <v>4</v>
      </c>
      <c r="Z91" s="821">
        <f t="shared" si="59"/>
        <v>5</v>
      </c>
      <c r="AA91" s="821">
        <f t="shared" si="59"/>
        <v>6</v>
      </c>
      <c r="AB91" s="821">
        <f t="shared" si="59"/>
        <v>7</v>
      </c>
      <c r="AC91" s="821">
        <f t="shared" si="59"/>
        <v>8</v>
      </c>
      <c r="AD91" s="821">
        <f t="shared" si="59"/>
        <v>9</v>
      </c>
      <c r="AE91" s="821">
        <f t="shared" si="59"/>
        <v>10</v>
      </c>
      <c r="AF91" s="821">
        <f t="shared" si="59"/>
        <v>11</v>
      </c>
      <c r="AG91" s="821">
        <f t="shared" si="59"/>
        <v>12</v>
      </c>
    </row>
    <row r="92" spans="1:33" ht="15.75" customHeight="1" outlineLevel="2">
      <c r="A92" s="894"/>
      <c r="B92" s="765"/>
      <c r="C92" s="435" t="s">
        <v>610</v>
      </c>
      <c r="D92" s="436" t="s">
        <v>29</v>
      </c>
      <c r="E92" s="820" t="s">
        <v>606</v>
      </c>
      <c r="F92" s="521">
        <f>Inputs!$F$107</f>
        <v>44073</v>
      </c>
      <c r="G92" s="767"/>
      <c r="H92" s="767"/>
      <c r="I92" s="242">
        <f>SUM(J92:AG92)</f>
        <v>6</v>
      </c>
      <c r="J92" s="525">
        <f t="shared" ref="J92:AG92" si="60">IF(J$4&lt;$F92,1,0)*J90</f>
        <v>0</v>
      </c>
      <c r="K92" s="525">
        <f t="shared" si="60"/>
        <v>0</v>
      </c>
      <c r="L92" s="525">
        <f t="shared" si="60"/>
        <v>0</v>
      </c>
      <c r="M92" s="525">
        <f t="shared" si="60"/>
        <v>0</v>
      </c>
      <c r="N92" s="525">
        <f t="shared" si="60"/>
        <v>0</v>
      </c>
      <c r="O92" s="525">
        <f t="shared" si="60"/>
        <v>0</v>
      </c>
      <c r="P92" s="525">
        <f t="shared" si="60"/>
        <v>0</v>
      </c>
      <c r="Q92" s="525">
        <f t="shared" si="60"/>
        <v>0</v>
      </c>
      <c r="R92" s="525">
        <f t="shared" si="60"/>
        <v>0</v>
      </c>
      <c r="S92" s="525">
        <f t="shared" si="60"/>
        <v>0</v>
      </c>
      <c r="T92" s="525">
        <f t="shared" si="60"/>
        <v>0</v>
      </c>
      <c r="U92" s="525">
        <f t="shared" si="60"/>
        <v>0</v>
      </c>
      <c r="V92" s="525">
        <f t="shared" si="60"/>
        <v>1</v>
      </c>
      <c r="W92" s="525">
        <f t="shared" si="60"/>
        <v>1</v>
      </c>
      <c r="X92" s="525">
        <f t="shared" si="60"/>
        <v>1</v>
      </c>
      <c r="Y92" s="525">
        <f t="shared" si="60"/>
        <v>1</v>
      </c>
      <c r="Z92" s="525">
        <f t="shared" si="60"/>
        <v>1</v>
      </c>
      <c r="AA92" s="525">
        <f t="shared" si="60"/>
        <v>1</v>
      </c>
      <c r="AB92" s="525">
        <f t="shared" si="60"/>
        <v>0</v>
      </c>
      <c r="AC92" s="525">
        <f t="shared" si="60"/>
        <v>0</v>
      </c>
      <c r="AD92" s="525">
        <f t="shared" si="60"/>
        <v>0</v>
      </c>
      <c r="AE92" s="525">
        <f t="shared" si="60"/>
        <v>0</v>
      </c>
      <c r="AF92" s="525">
        <f t="shared" si="60"/>
        <v>0</v>
      </c>
      <c r="AG92" s="525">
        <f t="shared" si="60"/>
        <v>0</v>
      </c>
    </row>
    <row r="93" spans="1:33" ht="15.75" customHeight="1" outlineLevel="2">
      <c r="A93" s="894"/>
      <c r="B93" s="765"/>
      <c r="C93" s="435" t="s">
        <v>611</v>
      </c>
      <c r="D93" s="436" t="s">
        <v>29</v>
      </c>
      <c r="E93" s="767"/>
      <c r="F93" s="767"/>
      <c r="G93" s="767"/>
      <c r="H93" s="767"/>
      <c r="I93" s="242">
        <f>SUM(J93:AG93)</f>
        <v>6</v>
      </c>
      <c r="J93" s="525">
        <f t="shared" ref="J93:AG93" si="61">J90-J92</f>
        <v>0</v>
      </c>
      <c r="K93" s="525">
        <f t="shared" si="61"/>
        <v>0</v>
      </c>
      <c r="L93" s="525">
        <f t="shared" si="61"/>
        <v>0</v>
      </c>
      <c r="M93" s="525">
        <f t="shared" si="61"/>
        <v>0</v>
      </c>
      <c r="N93" s="525">
        <f t="shared" si="61"/>
        <v>0</v>
      </c>
      <c r="O93" s="525">
        <f t="shared" si="61"/>
        <v>0</v>
      </c>
      <c r="P93" s="525">
        <f t="shared" si="61"/>
        <v>0</v>
      </c>
      <c r="Q93" s="525">
        <f t="shared" si="61"/>
        <v>0</v>
      </c>
      <c r="R93" s="525">
        <f t="shared" si="61"/>
        <v>0</v>
      </c>
      <c r="S93" s="525">
        <f t="shared" si="61"/>
        <v>0</v>
      </c>
      <c r="T93" s="525">
        <f t="shared" si="61"/>
        <v>0</v>
      </c>
      <c r="U93" s="525">
        <f t="shared" si="61"/>
        <v>0</v>
      </c>
      <c r="V93" s="525">
        <f t="shared" si="61"/>
        <v>0</v>
      </c>
      <c r="W93" s="525">
        <f t="shared" si="61"/>
        <v>0</v>
      </c>
      <c r="X93" s="525">
        <f t="shared" si="61"/>
        <v>0</v>
      </c>
      <c r="Y93" s="525">
        <f t="shared" si="61"/>
        <v>0</v>
      </c>
      <c r="Z93" s="525">
        <f t="shared" si="61"/>
        <v>0</v>
      </c>
      <c r="AA93" s="525">
        <f t="shared" si="61"/>
        <v>0</v>
      </c>
      <c r="AB93" s="525">
        <f t="shared" si="61"/>
        <v>1</v>
      </c>
      <c r="AC93" s="525">
        <f t="shared" si="61"/>
        <v>1</v>
      </c>
      <c r="AD93" s="525">
        <f t="shared" si="61"/>
        <v>1</v>
      </c>
      <c r="AE93" s="525">
        <f t="shared" si="61"/>
        <v>1</v>
      </c>
      <c r="AF93" s="525">
        <f t="shared" si="61"/>
        <v>1</v>
      </c>
      <c r="AG93" s="525">
        <f t="shared" si="61"/>
        <v>1</v>
      </c>
    </row>
    <row r="94" spans="1:33" ht="15.75" customHeight="1" outlineLevel="2">
      <c r="A94" s="894"/>
      <c r="B94" s="765"/>
      <c r="C94" s="822" t="s">
        <v>612</v>
      </c>
      <c r="D94" s="436" t="s">
        <v>29</v>
      </c>
      <c r="E94" s="652" t="s">
        <v>614</v>
      </c>
      <c r="F94" s="436" t="s">
        <v>615</v>
      </c>
      <c r="G94" s="767"/>
      <c r="H94" s="767"/>
      <c r="I94" s="767"/>
      <c r="J94" s="522">
        <f t="shared" ref="J94:AG94" si="62">IF(J$91=0,0,IF(MOD(J$91,3)=0,1,0)*J$6)</f>
        <v>0</v>
      </c>
      <c r="K94" s="522">
        <f t="shared" si="62"/>
        <v>0</v>
      </c>
      <c r="L94" s="522">
        <f t="shared" si="62"/>
        <v>0</v>
      </c>
      <c r="M94" s="522">
        <f t="shared" si="62"/>
        <v>0</v>
      </c>
      <c r="N94" s="522">
        <f t="shared" si="62"/>
        <v>0</v>
      </c>
      <c r="O94" s="522">
        <f t="shared" si="62"/>
        <v>0</v>
      </c>
      <c r="P94" s="522">
        <f t="shared" si="62"/>
        <v>0</v>
      </c>
      <c r="Q94" s="522">
        <f t="shared" si="62"/>
        <v>0</v>
      </c>
      <c r="R94" s="522">
        <f t="shared" si="62"/>
        <v>0</v>
      </c>
      <c r="S94" s="522">
        <f t="shared" si="62"/>
        <v>0</v>
      </c>
      <c r="T94" s="522">
        <f t="shared" si="62"/>
        <v>0</v>
      </c>
      <c r="U94" s="522">
        <f t="shared" si="62"/>
        <v>0</v>
      </c>
      <c r="V94" s="522">
        <f t="shared" si="62"/>
        <v>0</v>
      </c>
      <c r="W94" s="522">
        <f t="shared" si="62"/>
        <v>0</v>
      </c>
      <c r="X94" s="522">
        <f t="shared" si="62"/>
        <v>1</v>
      </c>
      <c r="Y94" s="522">
        <f t="shared" si="62"/>
        <v>0</v>
      </c>
      <c r="Z94" s="522">
        <f t="shared" si="62"/>
        <v>0</v>
      </c>
      <c r="AA94" s="522">
        <f t="shared" si="62"/>
        <v>1</v>
      </c>
      <c r="AB94" s="522">
        <f t="shared" si="62"/>
        <v>0</v>
      </c>
      <c r="AC94" s="522">
        <f t="shared" si="62"/>
        <v>0</v>
      </c>
      <c r="AD94" s="522">
        <f t="shared" si="62"/>
        <v>1</v>
      </c>
      <c r="AE94" s="522">
        <f t="shared" si="62"/>
        <v>0</v>
      </c>
      <c r="AF94" s="522">
        <f t="shared" si="62"/>
        <v>0</v>
      </c>
      <c r="AG94" s="522">
        <f t="shared" si="62"/>
        <v>0</v>
      </c>
    </row>
    <row r="95" spans="1:33" ht="15.75" customHeight="1" outlineLevel="2">
      <c r="A95" s="894"/>
      <c r="B95" s="765"/>
      <c r="C95" s="435" t="s">
        <v>613</v>
      </c>
      <c r="D95" s="436" t="s">
        <v>39</v>
      </c>
      <c r="E95" s="521">
        <f>EOMONTH(Inputs!$F$107,1)+1</f>
        <v>44105</v>
      </c>
      <c r="F95" s="526">
        <f>Inputs!F109</f>
        <v>38</v>
      </c>
      <c r="G95" s="436"/>
      <c r="H95" s="767"/>
      <c r="I95" s="767"/>
      <c r="J95" s="821">
        <f>IF($E95=J4,$F95,$F95-SUMPRODUCT(($J93:J93)*($J94:J94))+1)*J93*J94</f>
        <v>0</v>
      </c>
      <c r="K95" s="821">
        <f>IF($E95=K4,$F95,$F95-SUMPRODUCT(($J93:K93)*($J94:K94))+1)*K93*K94</f>
        <v>0</v>
      </c>
      <c r="L95" s="821">
        <f>IF($E95=L4,$F95,$F95-SUMPRODUCT(($J93:L93)*($J94:L94))+1)*L93*L94</f>
        <v>0</v>
      </c>
      <c r="M95" s="821">
        <f>IF($E95=M4,$F95,$F95-SUMPRODUCT(($J93:M93)*($J94:M94))+1)*M93*M94</f>
        <v>0</v>
      </c>
      <c r="N95" s="821">
        <f>IF($E95=N4,$F95,$F95-SUMPRODUCT(($J93:N93)*($J94:N94))+1)*N93*N94</f>
        <v>0</v>
      </c>
      <c r="O95" s="821">
        <f>IF($E95=O4,$F95,$F95-SUMPRODUCT(($J93:O93)*($J94:O94))+1)*O93*O94</f>
        <v>0</v>
      </c>
      <c r="P95" s="821">
        <f>IF($E95=P4,$F95,$F95-SUMPRODUCT(($J93:P93)*($J94:P94))+1)*P93*P94</f>
        <v>0</v>
      </c>
      <c r="Q95" s="821">
        <f>IF($E95=Q4,$F95,$F95-SUMPRODUCT(($J93:Q93)*($J94:Q94))+1)*Q93*Q94</f>
        <v>0</v>
      </c>
      <c r="R95" s="821">
        <f>IF($E95=R4,$F95,$F95-SUMPRODUCT(($J93:R93)*($J94:R94))+1)*R93*R94</f>
        <v>0</v>
      </c>
      <c r="S95" s="821">
        <f>IF($E95=S4,$F95,$F95-SUMPRODUCT(($J93:S93)*($J94:S94))+1)*S93*S94</f>
        <v>0</v>
      </c>
      <c r="T95" s="821">
        <f>IF($E95=T4,$F95,$F95-SUMPRODUCT(($J93:T93)*($J94:T94))+1)*T93*T94</f>
        <v>0</v>
      </c>
      <c r="U95" s="821">
        <f>IF($E95=U4,$F95,$F95-SUMPRODUCT(($J93:U93)*($J94:U94))+1)*U93*U94</f>
        <v>0</v>
      </c>
      <c r="V95" s="821">
        <f>IF($E95=V4,$F95,$F95-SUMPRODUCT(($J93:V93)*($J94:V94))+1)*V93*V94</f>
        <v>0</v>
      </c>
      <c r="W95" s="821">
        <f>IF($E95=W4,$F95,$F95-SUMPRODUCT(($J93:W93)*($J94:W94))+1)*W93*W94</f>
        <v>0</v>
      </c>
      <c r="X95" s="821">
        <f>IF($E95=X4,$F95,$F95-SUMPRODUCT(($J93:X93)*($J94:X94))+1)*X93*X94</f>
        <v>0</v>
      </c>
      <c r="Y95" s="821">
        <f>IF($E95=Y4,$F95,$F95-SUMPRODUCT(($J93:Y93)*($J94:Y94))+1)*Y93*Y94</f>
        <v>0</v>
      </c>
      <c r="Z95" s="821">
        <f>IF($E95=Z4,$F95,$F95-SUMPRODUCT(($J93:Z93)*($J94:Z94))+1)*Z93*Z94</f>
        <v>0</v>
      </c>
      <c r="AA95" s="821">
        <f>IF($E95=AA4,$F95,$F95-SUMPRODUCT(($J93:AA93)*($J94:AA94))+1)*AA93*AA94</f>
        <v>0</v>
      </c>
      <c r="AB95" s="821">
        <f>IF($E95=AB4,$F95,$F95-SUMPRODUCT(($J93:AB93)*($J94:AB94))+1)*AB93*AB94</f>
        <v>0</v>
      </c>
      <c r="AC95" s="821">
        <f>IF($E95=AC4,$F95,$F95-SUMPRODUCT(($J93:AC93)*($J94:AC94))+1)*AC93*AC94</f>
        <v>0</v>
      </c>
      <c r="AD95" s="821">
        <f>IF($E95=AD4,$F95,$F95-SUMPRODUCT(($J93:AD93)*($J94:AD94))+1)*AD93*AD94</f>
        <v>38</v>
      </c>
      <c r="AE95" s="821">
        <f>IF($E95=AE4,$F95,$F95-SUMPRODUCT(($J93:AE93)*($J94:AE94))+1)*AE93*AE94</f>
        <v>0</v>
      </c>
      <c r="AF95" s="821">
        <f>IF($E95=AF4,$F95,$F95-SUMPRODUCT(($J93:AF93)*($J94:AF94))+1)*AF93*AF94</f>
        <v>0</v>
      </c>
      <c r="AG95" s="821">
        <f>IF($E95=AG4,$F95,$F95-SUMPRODUCT(($J93:AG93)*($J94:AG94))+1)*AG93*AG94</f>
        <v>0</v>
      </c>
    </row>
    <row r="96" spans="1:33" ht="15.75" customHeight="1" outlineLevel="2">
      <c r="A96" s="894"/>
      <c r="B96" s="765"/>
      <c r="C96" s="456" t="str">
        <f>"BS Account: "&amp;Inputs!$F$99</f>
        <v>BS Account: UL Bank</v>
      </c>
      <c r="D96" s="527"/>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5"/>
      <c r="AD96" s="765"/>
      <c r="AE96" s="765"/>
      <c r="AF96" s="765"/>
      <c r="AG96" s="765"/>
    </row>
    <row r="97" spans="1:33" ht="15.75" customHeight="1" outlineLevel="2">
      <c r="A97" s="894"/>
      <c r="B97" s="765"/>
      <c r="C97" s="435" t="s">
        <v>140</v>
      </c>
      <c r="D97" s="436" t="str">
        <f>Currency_Label</f>
        <v>USD</v>
      </c>
      <c r="E97" s="767"/>
      <c r="F97" s="767"/>
      <c r="G97" s="767"/>
      <c r="H97" s="767"/>
      <c r="I97" s="767"/>
      <c r="J97" s="437">
        <f>I100*J$6</f>
        <v>0</v>
      </c>
      <c r="K97" s="437">
        <f t="shared" ref="K97:AG97" ca="1" si="63">J100*K$6</f>
        <v>794.74024999998801</v>
      </c>
      <c r="L97" s="437">
        <f t="shared" ca="1" si="63"/>
        <v>80000</v>
      </c>
      <c r="M97" s="437">
        <f t="shared" ca="1" si="63"/>
        <v>80000</v>
      </c>
      <c r="N97" s="437">
        <f t="shared" ca="1" si="63"/>
        <v>80000</v>
      </c>
      <c r="O97" s="437">
        <f t="shared" ca="1" si="63"/>
        <v>80000</v>
      </c>
      <c r="P97" s="437">
        <f t="shared" ca="1" si="63"/>
        <v>80000</v>
      </c>
      <c r="Q97" s="437">
        <f t="shared" ca="1" si="63"/>
        <v>80000</v>
      </c>
      <c r="R97" s="437">
        <f t="shared" ca="1" si="63"/>
        <v>80000</v>
      </c>
      <c r="S97" s="437">
        <f t="shared" ca="1" si="63"/>
        <v>80000</v>
      </c>
      <c r="T97" s="437">
        <f t="shared" ca="1" si="63"/>
        <v>80000</v>
      </c>
      <c r="U97" s="437">
        <f t="shared" ca="1" si="63"/>
        <v>80000</v>
      </c>
      <c r="V97" s="437">
        <f t="shared" ca="1" si="63"/>
        <v>80000</v>
      </c>
      <c r="W97" s="437">
        <f t="shared" ca="1" si="63"/>
        <v>80000</v>
      </c>
      <c r="X97" s="437">
        <f t="shared" ca="1" si="63"/>
        <v>80000</v>
      </c>
      <c r="Y97" s="437">
        <f t="shared" ca="1" si="63"/>
        <v>80000</v>
      </c>
      <c r="Z97" s="437">
        <f t="shared" ca="1" si="63"/>
        <v>80000</v>
      </c>
      <c r="AA97" s="437">
        <f t="shared" ca="1" si="63"/>
        <v>80000</v>
      </c>
      <c r="AB97" s="437">
        <f t="shared" ca="1" si="63"/>
        <v>80000</v>
      </c>
      <c r="AC97" s="437">
        <f t="shared" ca="1" si="63"/>
        <v>80000</v>
      </c>
      <c r="AD97" s="437">
        <f t="shared" ca="1" si="63"/>
        <v>80000</v>
      </c>
      <c r="AE97" s="437">
        <f t="shared" ca="1" si="63"/>
        <v>0</v>
      </c>
      <c r="AF97" s="437">
        <f t="shared" ca="1" si="63"/>
        <v>0</v>
      </c>
      <c r="AG97" s="437">
        <f t="shared" ca="1" si="63"/>
        <v>0</v>
      </c>
    </row>
    <row r="98" spans="1:33" ht="15.75" customHeight="1" outlineLevel="2">
      <c r="A98" s="894"/>
      <c r="B98" s="765"/>
      <c r="C98" s="435" t="s">
        <v>616</v>
      </c>
      <c r="D98" s="436" t="str">
        <f>Currency_Label</f>
        <v>USD</v>
      </c>
      <c r="E98" s="767"/>
      <c r="F98" s="767"/>
      <c r="G98" s="767"/>
      <c r="H98" s="767"/>
      <c r="I98" s="242">
        <f ca="1">SUM(J98:AG98)</f>
        <v>80000</v>
      </c>
      <c r="J98" s="437">
        <f t="shared" ref="J98:AG98" ca="1" si="64">J45</f>
        <v>794.74024999998801</v>
      </c>
      <c r="K98" s="437">
        <f t="shared" ca="1" si="64"/>
        <v>79205.259750000012</v>
      </c>
      <c r="L98" s="437">
        <f t="shared" ca="1" si="64"/>
        <v>0</v>
      </c>
      <c r="M98" s="437">
        <f t="shared" ca="1" si="64"/>
        <v>0</v>
      </c>
      <c r="N98" s="437">
        <f t="shared" ca="1" si="64"/>
        <v>0</v>
      </c>
      <c r="O98" s="437">
        <f t="shared" ca="1" si="64"/>
        <v>0</v>
      </c>
      <c r="P98" s="437">
        <f t="shared" ca="1" si="64"/>
        <v>0</v>
      </c>
      <c r="Q98" s="437">
        <f t="shared" ca="1" si="64"/>
        <v>0</v>
      </c>
      <c r="R98" s="437">
        <f t="shared" ca="1" si="64"/>
        <v>0</v>
      </c>
      <c r="S98" s="437">
        <f t="shared" ca="1" si="64"/>
        <v>0</v>
      </c>
      <c r="T98" s="437">
        <f t="shared" ca="1" si="64"/>
        <v>0</v>
      </c>
      <c r="U98" s="437">
        <f t="shared" ca="1" si="64"/>
        <v>0</v>
      </c>
      <c r="V98" s="437">
        <f t="shared" ca="1" si="64"/>
        <v>0</v>
      </c>
      <c r="W98" s="437">
        <f t="shared" ca="1" si="64"/>
        <v>0</v>
      </c>
      <c r="X98" s="437">
        <f t="shared" ca="1" si="64"/>
        <v>0</v>
      </c>
      <c r="Y98" s="437">
        <f t="shared" ca="1" si="64"/>
        <v>0</v>
      </c>
      <c r="Z98" s="437">
        <f t="shared" ca="1" si="64"/>
        <v>0</v>
      </c>
      <c r="AA98" s="437">
        <f t="shared" ca="1" si="64"/>
        <v>0</v>
      </c>
      <c r="AB98" s="437">
        <f t="shared" ca="1" si="64"/>
        <v>0</v>
      </c>
      <c r="AC98" s="437">
        <f t="shared" ca="1" si="64"/>
        <v>0</v>
      </c>
      <c r="AD98" s="437">
        <f t="shared" ca="1" si="64"/>
        <v>0</v>
      </c>
      <c r="AE98" s="437">
        <f t="shared" ca="1" si="64"/>
        <v>0</v>
      </c>
      <c r="AF98" s="437">
        <f t="shared" ca="1" si="64"/>
        <v>0</v>
      </c>
      <c r="AG98" s="437">
        <f t="shared" ca="1" si="64"/>
        <v>0</v>
      </c>
    </row>
    <row r="99" spans="1:33" ht="15.75" customHeight="1" outlineLevel="2">
      <c r="A99" s="894"/>
      <c r="B99" s="765"/>
      <c r="C99" s="435" t="s">
        <v>617</v>
      </c>
      <c r="D99" s="436" t="str">
        <f>Currency_Label</f>
        <v>USD</v>
      </c>
      <c r="E99" s="767"/>
      <c r="F99" s="767"/>
      <c r="G99" s="767"/>
      <c r="H99" s="767"/>
      <c r="I99" s="242">
        <f ca="1">SUM(J99:AG99)</f>
        <v>-1762.2318307461082</v>
      </c>
      <c r="J99" s="437">
        <f t="shared" ref="J99:AG99" si="65">-J112</f>
        <v>0</v>
      </c>
      <c r="K99" s="437">
        <f t="shared" ca="1" si="65"/>
        <v>0</v>
      </c>
      <c r="L99" s="437">
        <f t="shared" ca="1" si="65"/>
        <v>0</v>
      </c>
      <c r="M99" s="437">
        <f t="shared" ca="1" si="65"/>
        <v>0</v>
      </c>
      <c r="N99" s="437">
        <f t="shared" ca="1" si="65"/>
        <v>0</v>
      </c>
      <c r="O99" s="437">
        <f t="shared" ca="1" si="65"/>
        <v>0</v>
      </c>
      <c r="P99" s="437">
        <f t="shared" ca="1" si="65"/>
        <v>0</v>
      </c>
      <c r="Q99" s="437">
        <f t="shared" ca="1" si="65"/>
        <v>0</v>
      </c>
      <c r="R99" s="437">
        <f t="shared" ca="1" si="65"/>
        <v>0</v>
      </c>
      <c r="S99" s="437">
        <f t="shared" ca="1" si="65"/>
        <v>0</v>
      </c>
      <c r="T99" s="437">
        <f t="shared" ca="1" si="65"/>
        <v>0</v>
      </c>
      <c r="U99" s="437">
        <f t="shared" ca="1" si="65"/>
        <v>0</v>
      </c>
      <c r="V99" s="437">
        <f t="shared" ca="1" si="65"/>
        <v>0</v>
      </c>
      <c r="W99" s="437">
        <f t="shared" ca="1" si="65"/>
        <v>0</v>
      </c>
      <c r="X99" s="437">
        <f t="shared" ca="1" si="65"/>
        <v>0</v>
      </c>
      <c r="Y99" s="437">
        <f t="shared" ca="1" si="65"/>
        <v>0</v>
      </c>
      <c r="Z99" s="437">
        <f t="shared" ca="1" si="65"/>
        <v>0</v>
      </c>
      <c r="AA99" s="437">
        <f t="shared" ca="1" si="65"/>
        <v>0</v>
      </c>
      <c r="AB99" s="437">
        <f t="shared" ca="1" si="65"/>
        <v>0</v>
      </c>
      <c r="AC99" s="437">
        <f t="shared" ca="1" si="65"/>
        <v>0</v>
      </c>
      <c r="AD99" s="437">
        <f t="shared" ca="1" si="65"/>
        <v>-1762.2318307461082</v>
      </c>
      <c r="AE99" s="437">
        <f t="shared" ca="1" si="65"/>
        <v>0</v>
      </c>
      <c r="AF99" s="437">
        <f t="shared" ca="1" si="65"/>
        <v>0</v>
      </c>
      <c r="AG99" s="437">
        <f t="shared" ca="1" si="65"/>
        <v>0</v>
      </c>
    </row>
    <row r="100" spans="1:33" ht="15.75" customHeight="1" outlineLevel="2" thickBot="1">
      <c r="A100" s="894"/>
      <c r="B100" s="765"/>
      <c r="C100" s="435" t="s">
        <v>141</v>
      </c>
      <c r="D100" s="436" t="str">
        <f>Currency_Label</f>
        <v>USD</v>
      </c>
      <c r="E100" s="767"/>
      <c r="F100" s="767"/>
      <c r="G100" s="767"/>
      <c r="H100" s="767"/>
      <c r="I100" s="523"/>
      <c r="J100" s="823">
        <f t="shared" ref="J100:AG100" ca="1" si="66">IF(ABS(SUM(J97:J99))&lt;0.01,0,SUM(J97:J99))*J$6</f>
        <v>794.74024999998801</v>
      </c>
      <c r="K100" s="823">
        <f t="shared" ca="1" si="66"/>
        <v>80000</v>
      </c>
      <c r="L100" s="823">
        <f t="shared" ca="1" si="66"/>
        <v>80000</v>
      </c>
      <c r="M100" s="823">
        <f t="shared" ca="1" si="66"/>
        <v>80000</v>
      </c>
      <c r="N100" s="823">
        <f t="shared" ca="1" si="66"/>
        <v>80000</v>
      </c>
      <c r="O100" s="823">
        <f t="shared" ca="1" si="66"/>
        <v>80000</v>
      </c>
      <c r="P100" s="823">
        <f t="shared" ca="1" si="66"/>
        <v>80000</v>
      </c>
      <c r="Q100" s="823">
        <f t="shared" ca="1" si="66"/>
        <v>80000</v>
      </c>
      <c r="R100" s="823">
        <f t="shared" ca="1" si="66"/>
        <v>80000</v>
      </c>
      <c r="S100" s="823">
        <f t="shared" ca="1" si="66"/>
        <v>80000</v>
      </c>
      <c r="T100" s="823">
        <f t="shared" ca="1" si="66"/>
        <v>80000</v>
      </c>
      <c r="U100" s="823">
        <f t="shared" ca="1" si="66"/>
        <v>80000</v>
      </c>
      <c r="V100" s="823">
        <f t="shared" ca="1" si="66"/>
        <v>80000</v>
      </c>
      <c r="W100" s="823">
        <f t="shared" ca="1" si="66"/>
        <v>80000</v>
      </c>
      <c r="X100" s="823">
        <f t="shared" ca="1" si="66"/>
        <v>80000</v>
      </c>
      <c r="Y100" s="823">
        <f t="shared" ca="1" si="66"/>
        <v>80000</v>
      </c>
      <c r="Z100" s="823">
        <f t="shared" ca="1" si="66"/>
        <v>80000</v>
      </c>
      <c r="AA100" s="823">
        <f t="shared" ca="1" si="66"/>
        <v>80000</v>
      </c>
      <c r="AB100" s="823">
        <f t="shared" ca="1" si="66"/>
        <v>80000</v>
      </c>
      <c r="AC100" s="823">
        <f t="shared" ca="1" si="66"/>
        <v>80000</v>
      </c>
      <c r="AD100" s="823">
        <f t="shared" ca="1" si="66"/>
        <v>78237.76816925389</v>
      </c>
      <c r="AE100" s="823">
        <f t="shared" ca="1" si="66"/>
        <v>0</v>
      </c>
      <c r="AF100" s="823">
        <f t="shared" ca="1" si="66"/>
        <v>0</v>
      </c>
      <c r="AG100" s="823">
        <f t="shared" ca="1" si="66"/>
        <v>0</v>
      </c>
    </row>
    <row r="101" spans="1:33" ht="15.75" customHeight="1" outlineLevel="2" thickTop="1">
      <c r="A101" s="894"/>
      <c r="B101" s="765"/>
      <c r="C101" s="185" t="s">
        <v>592</v>
      </c>
      <c r="D101" s="436" t="str">
        <f>Currency_Label</f>
        <v>USD</v>
      </c>
      <c r="E101" s="447">
        <f>Inputs!G101</f>
        <v>80000</v>
      </c>
      <c r="F101" s="767"/>
      <c r="G101" s="814"/>
      <c r="H101" s="767"/>
      <c r="I101" s="767"/>
      <c r="J101" s="437">
        <f t="shared" ref="J101:AG101" si="67">($E101-J97)*J$89</f>
        <v>80000</v>
      </c>
      <c r="K101" s="437">
        <f t="shared" ca="1" si="67"/>
        <v>79205.259750000012</v>
      </c>
      <c r="L101" s="437">
        <f t="shared" ca="1" si="67"/>
        <v>0</v>
      </c>
      <c r="M101" s="437">
        <f t="shared" ca="1" si="67"/>
        <v>0</v>
      </c>
      <c r="N101" s="437">
        <f t="shared" ca="1" si="67"/>
        <v>0</v>
      </c>
      <c r="O101" s="437">
        <f t="shared" ca="1" si="67"/>
        <v>0</v>
      </c>
      <c r="P101" s="437">
        <f t="shared" ca="1" si="67"/>
        <v>0</v>
      </c>
      <c r="Q101" s="437">
        <f t="shared" ca="1" si="67"/>
        <v>0</v>
      </c>
      <c r="R101" s="437">
        <f t="shared" ca="1" si="67"/>
        <v>0</v>
      </c>
      <c r="S101" s="437">
        <f t="shared" ca="1" si="67"/>
        <v>0</v>
      </c>
      <c r="T101" s="437">
        <f t="shared" ca="1" si="67"/>
        <v>0</v>
      </c>
      <c r="U101" s="437">
        <f t="shared" ca="1" si="67"/>
        <v>0</v>
      </c>
      <c r="V101" s="437">
        <f t="shared" ca="1" si="67"/>
        <v>0</v>
      </c>
      <c r="W101" s="437">
        <f t="shared" ca="1" si="67"/>
        <v>0</v>
      </c>
      <c r="X101" s="437">
        <f t="shared" ca="1" si="67"/>
        <v>0</v>
      </c>
      <c r="Y101" s="437">
        <f t="shared" ca="1" si="67"/>
        <v>0</v>
      </c>
      <c r="Z101" s="437">
        <f t="shared" ca="1" si="67"/>
        <v>0</v>
      </c>
      <c r="AA101" s="437">
        <f t="shared" ca="1" si="67"/>
        <v>0</v>
      </c>
      <c r="AB101" s="437">
        <f t="shared" ca="1" si="67"/>
        <v>0</v>
      </c>
      <c r="AC101" s="437">
        <f t="shared" ca="1" si="67"/>
        <v>0</v>
      </c>
      <c r="AD101" s="437">
        <f t="shared" ca="1" si="67"/>
        <v>0</v>
      </c>
      <c r="AE101" s="437">
        <f t="shared" ca="1" si="67"/>
        <v>0</v>
      </c>
      <c r="AF101" s="437">
        <f t="shared" ca="1" si="67"/>
        <v>0</v>
      </c>
      <c r="AG101" s="437">
        <f t="shared" ca="1" si="67"/>
        <v>0</v>
      </c>
    </row>
    <row r="102" spans="1:33" ht="15.75" customHeight="1" outlineLevel="2">
      <c r="A102" s="894"/>
      <c r="B102" s="765"/>
      <c r="C102" s="456" t="s">
        <v>626</v>
      </c>
      <c r="D102" s="527"/>
      <c r="E102" s="765"/>
      <c r="F102" s="765"/>
      <c r="G102" s="765"/>
      <c r="H102" s="765"/>
      <c r="I102" s="765"/>
      <c r="J102" s="455"/>
      <c r="K102" s="455"/>
      <c r="L102" s="455"/>
      <c r="M102" s="455"/>
      <c r="N102" s="455"/>
      <c r="O102" s="455"/>
      <c r="P102" s="455"/>
      <c r="Q102" s="455"/>
      <c r="R102" s="455"/>
      <c r="S102" s="455"/>
      <c r="T102" s="455"/>
      <c r="U102" s="455"/>
      <c r="V102" s="455"/>
      <c r="W102" s="455"/>
      <c r="X102" s="455"/>
      <c r="Y102" s="455"/>
      <c r="Z102" s="455"/>
      <c r="AA102" s="455"/>
      <c r="AB102" s="455"/>
      <c r="AC102" s="455"/>
      <c r="AD102" s="455"/>
      <c r="AE102" s="455"/>
      <c r="AF102" s="455"/>
      <c r="AG102" s="455"/>
    </row>
    <row r="103" spans="1:33" ht="15.75" customHeight="1" outlineLevel="2">
      <c r="A103" s="894"/>
      <c r="B103" s="765"/>
      <c r="C103" s="185" t="s">
        <v>579</v>
      </c>
      <c r="D103" s="436" t="str">
        <f>Currency_Label</f>
        <v>USD</v>
      </c>
      <c r="E103" s="824">
        <f>Inputs!F114</f>
        <v>1200</v>
      </c>
      <c r="F103" s="521">
        <f>Startdatum</f>
        <v>43525</v>
      </c>
      <c r="G103" s="767"/>
      <c r="H103" s="767"/>
      <c r="I103" s="242">
        <f>SUM(J103:AG103)</f>
        <v>1200</v>
      </c>
      <c r="J103" s="437">
        <f t="shared" ref="J103:AG103" si="68">IF(J$4=$F103,$E103,0)</f>
        <v>1200</v>
      </c>
      <c r="K103" s="437">
        <f t="shared" si="68"/>
        <v>0</v>
      </c>
      <c r="L103" s="437">
        <f t="shared" si="68"/>
        <v>0</v>
      </c>
      <c r="M103" s="437">
        <f t="shared" si="68"/>
        <v>0</v>
      </c>
      <c r="N103" s="437">
        <f t="shared" si="68"/>
        <v>0</v>
      </c>
      <c r="O103" s="437">
        <f t="shared" si="68"/>
        <v>0</v>
      </c>
      <c r="P103" s="437">
        <f t="shared" si="68"/>
        <v>0</v>
      </c>
      <c r="Q103" s="437">
        <f t="shared" si="68"/>
        <v>0</v>
      </c>
      <c r="R103" s="437">
        <f t="shared" si="68"/>
        <v>0</v>
      </c>
      <c r="S103" s="437">
        <f t="shared" si="68"/>
        <v>0</v>
      </c>
      <c r="T103" s="437">
        <f t="shared" si="68"/>
        <v>0</v>
      </c>
      <c r="U103" s="437">
        <f t="shared" si="68"/>
        <v>0</v>
      </c>
      <c r="V103" s="437">
        <f t="shared" si="68"/>
        <v>0</v>
      </c>
      <c r="W103" s="437">
        <f t="shared" si="68"/>
        <v>0</v>
      </c>
      <c r="X103" s="437">
        <f t="shared" si="68"/>
        <v>0</v>
      </c>
      <c r="Y103" s="437">
        <f t="shared" si="68"/>
        <v>0</v>
      </c>
      <c r="Z103" s="437">
        <f t="shared" si="68"/>
        <v>0</v>
      </c>
      <c r="AA103" s="437">
        <f t="shared" si="68"/>
        <v>0</v>
      </c>
      <c r="AB103" s="437">
        <f t="shared" si="68"/>
        <v>0</v>
      </c>
      <c r="AC103" s="437">
        <f t="shared" si="68"/>
        <v>0</v>
      </c>
      <c r="AD103" s="437">
        <f t="shared" si="68"/>
        <v>0</v>
      </c>
      <c r="AE103" s="437">
        <f t="shared" si="68"/>
        <v>0</v>
      </c>
      <c r="AF103" s="437">
        <f t="shared" si="68"/>
        <v>0</v>
      </c>
      <c r="AG103" s="437">
        <f t="shared" si="68"/>
        <v>0</v>
      </c>
    </row>
    <row r="104" spans="1:33" ht="15.75" customHeight="1" outlineLevel="2">
      <c r="A104" s="894"/>
      <c r="B104" s="765"/>
      <c r="C104" s="435" t="s">
        <v>580</v>
      </c>
      <c r="D104" s="436" t="str">
        <f>Currency_Label</f>
        <v>USD</v>
      </c>
      <c r="E104" s="529">
        <f>Inputs!H115</f>
        <v>1.6666666666666668E-3</v>
      </c>
      <c r="F104" s="436" t="s">
        <v>597</v>
      </c>
      <c r="G104" s="767"/>
      <c r="H104" s="767"/>
      <c r="I104" s="242">
        <f ca="1">SUM(J104:AG104)</f>
        <v>265.34209958333338</v>
      </c>
      <c r="J104" s="437">
        <f t="shared" ref="J104:AG104" si="69">$E104*J101</f>
        <v>133.33333333333334</v>
      </c>
      <c r="K104" s="437">
        <f t="shared" ca="1" si="69"/>
        <v>132.00876625000004</v>
      </c>
      <c r="L104" s="437">
        <f t="shared" ca="1" si="69"/>
        <v>0</v>
      </c>
      <c r="M104" s="437">
        <f t="shared" ca="1" si="69"/>
        <v>0</v>
      </c>
      <c r="N104" s="437">
        <f t="shared" ca="1" si="69"/>
        <v>0</v>
      </c>
      <c r="O104" s="437">
        <f t="shared" ca="1" si="69"/>
        <v>0</v>
      </c>
      <c r="P104" s="437">
        <f t="shared" ca="1" si="69"/>
        <v>0</v>
      </c>
      <c r="Q104" s="437">
        <f t="shared" ca="1" si="69"/>
        <v>0</v>
      </c>
      <c r="R104" s="437">
        <f t="shared" ca="1" si="69"/>
        <v>0</v>
      </c>
      <c r="S104" s="437">
        <f t="shared" ca="1" si="69"/>
        <v>0</v>
      </c>
      <c r="T104" s="437">
        <f t="shared" ca="1" si="69"/>
        <v>0</v>
      </c>
      <c r="U104" s="437">
        <f t="shared" ca="1" si="69"/>
        <v>0</v>
      </c>
      <c r="V104" s="437">
        <f t="shared" ca="1" si="69"/>
        <v>0</v>
      </c>
      <c r="W104" s="437">
        <f t="shared" ca="1" si="69"/>
        <v>0</v>
      </c>
      <c r="X104" s="437">
        <f t="shared" ca="1" si="69"/>
        <v>0</v>
      </c>
      <c r="Y104" s="437">
        <f t="shared" ca="1" si="69"/>
        <v>0</v>
      </c>
      <c r="Z104" s="437">
        <f t="shared" ca="1" si="69"/>
        <v>0</v>
      </c>
      <c r="AA104" s="437">
        <f t="shared" ca="1" si="69"/>
        <v>0</v>
      </c>
      <c r="AB104" s="437">
        <f t="shared" ca="1" si="69"/>
        <v>0</v>
      </c>
      <c r="AC104" s="437">
        <f t="shared" ca="1" si="69"/>
        <v>0</v>
      </c>
      <c r="AD104" s="437">
        <f t="shared" ca="1" si="69"/>
        <v>0</v>
      </c>
      <c r="AE104" s="437">
        <f t="shared" ca="1" si="69"/>
        <v>0</v>
      </c>
      <c r="AF104" s="437">
        <f t="shared" ca="1" si="69"/>
        <v>0</v>
      </c>
      <c r="AG104" s="437">
        <f t="shared" ca="1" si="69"/>
        <v>0</v>
      </c>
    </row>
    <row r="105" spans="1:33" ht="15.75" customHeight="1" outlineLevel="2">
      <c r="A105" s="894"/>
      <c r="B105" s="765"/>
      <c r="C105" s="817" t="s">
        <v>578</v>
      </c>
      <c r="D105" s="527"/>
      <c r="E105" s="765"/>
      <c r="F105" s="765"/>
      <c r="G105" s="765"/>
      <c r="H105" s="765"/>
      <c r="I105" s="455"/>
      <c r="J105" s="455"/>
      <c r="K105" s="455"/>
      <c r="L105" s="455"/>
      <c r="M105" s="455"/>
      <c r="N105" s="455"/>
      <c r="O105" s="455"/>
      <c r="P105" s="455"/>
      <c r="Q105" s="455"/>
      <c r="R105" s="455"/>
      <c r="S105" s="455"/>
      <c r="T105" s="455"/>
      <c r="U105" s="455"/>
      <c r="V105" s="455"/>
      <c r="W105" s="455"/>
      <c r="X105" s="455"/>
      <c r="Y105" s="455"/>
      <c r="Z105" s="455"/>
      <c r="AA105" s="455"/>
      <c r="AB105" s="455"/>
      <c r="AC105" s="455"/>
      <c r="AD105" s="455"/>
      <c r="AE105" s="455"/>
      <c r="AF105" s="455"/>
      <c r="AG105" s="455"/>
    </row>
    <row r="106" spans="1:33" ht="15.75" customHeight="1" outlineLevel="2">
      <c r="A106" s="894"/>
      <c r="B106" s="765"/>
      <c r="C106" s="185" t="s">
        <v>619</v>
      </c>
      <c r="D106" s="436" t="str">
        <f>Currency_Label</f>
        <v>USD</v>
      </c>
      <c r="E106" s="529">
        <f>Inputs!$H$112</f>
        <v>9.3749999999999997E-3</v>
      </c>
      <c r="F106" s="436" t="s">
        <v>618</v>
      </c>
      <c r="G106" s="767"/>
      <c r="H106" s="767"/>
      <c r="I106" s="242">
        <f ca="1">SUM(J106:AG106)</f>
        <v>1500</v>
      </c>
      <c r="J106" s="437">
        <f t="shared" ref="J106:AG106" si="70">$E106*J97*J92*J94</f>
        <v>0</v>
      </c>
      <c r="K106" s="437">
        <f t="shared" ca="1" si="70"/>
        <v>0</v>
      </c>
      <c r="L106" s="437">
        <f t="shared" ca="1" si="70"/>
        <v>0</v>
      </c>
      <c r="M106" s="437">
        <f t="shared" ca="1" si="70"/>
        <v>0</v>
      </c>
      <c r="N106" s="437">
        <f t="shared" ca="1" si="70"/>
        <v>0</v>
      </c>
      <c r="O106" s="437">
        <f t="shared" ca="1" si="70"/>
        <v>0</v>
      </c>
      <c r="P106" s="437">
        <f t="shared" ca="1" si="70"/>
        <v>0</v>
      </c>
      <c r="Q106" s="437">
        <f t="shared" ca="1" si="70"/>
        <v>0</v>
      </c>
      <c r="R106" s="437">
        <f t="shared" ca="1" si="70"/>
        <v>0</v>
      </c>
      <c r="S106" s="437">
        <f t="shared" ca="1" si="70"/>
        <v>0</v>
      </c>
      <c r="T106" s="437">
        <f t="shared" ca="1" si="70"/>
        <v>0</v>
      </c>
      <c r="U106" s="437">
        <f t="shared" ca="1" si="70"/>
        <v>0</v>
      </c>
      <c r="V106" s="437">
        <f t="shared" ca="1" si="70"/>
        <v>0</v>
      </c>
      <c r="W106" s="437">
        <f t="shared" ca="1" si="70"/>
        <v>0</v>
      </c>
      <c r="X106" s="437">
        <f t="shared" ca="1" si="70"/>
        <v>750</v>
      </c>
      <c r="Y106" s="437">
        <f t="shared" ca="1" si="70"/>
        <v>0</v>
      </c>
      <c r="Z106" s="437">
        <f t="shared" ca="1" si="70"/>
        <v>0</v>
      </c>
      <c r="AA106" s="437">
        <f t="shared" ca="1" si="70"/>
        <v>750</v>
      </c>
      <c r="AB106" s="437">
        <f t="shared" ca="1" si="70"/>
        <v>0</v>
      </c>
      <c r="AC106" s="437">
        <f t="shared" ca="1" si="70"/>
        <v>0</v>
      </c>
      <c r="AD106" s="437">
        <f t="shared" ca="1" si="70"/>
        <v>0</v>
      </c>
      <c r="AE106" s="437">
        <f t="shared" ca="1" si="70"/>
        <v>0</v>
      </c>
      <c r="AF106" s="437">
        <f t="shared" ca="1" si="70"/>
        <v>0</v>
      </c>
      <c r="AG106" s="437">
        <f t="shared" ca="1" si="70"/>
        <v>0</v>
      </c>
    </row>
    <row r="107" spans="1:33" ht="15.75" customHeight="1" outlineLevel="2">
      <c r="A107" s="894"/>
      <c r="B107" s="765"/>
      <c r="C107" s="435" t="s">
        <v>620</v>
      </c>
      <c r="D107" s="436" t="str">
        <f>Currency_Label</f>
        <v>USD</v>
      </c>
      <c r="E107" s="529">
        <f>Inputs!$H$112</f>
        <v>9.3749999999999997E-3</v>
      </c>
      <c r="F107" s="436" t="s">
        <v>618</v>
      </c>
      <c r="G107" s="767"/>
      <c r="H107" s="767"/>
      <c r="I107" s="242">
        <f ca="1">SUM(J107:AG107)</f>
        <v>750</v>
      </c>
      <c r="J107" s="437">
        <f t="shared" ref="J107:AG107" si="71">$E107*J97*J93*J94</f>
        <v>0</v>
      </c>
      <c r="K107" s="437">
        <f t="shared" ca="1" si="71"/>
        <v>0</v>
      </c>
      <c r="L107" s="437">
        <f t="shared" ca="1" si="71"/>
        <v>0</v>
      </c>
      <c r="M107" s="437">
        <f t="shared" ca="1" si="71"/>
        <v>0</v>
      </c>
      <c r="N107" s="437">
        <f t="shared" ca="1" si="71"/>
        <v>0</v>
      </c>
      <c r="O107" s="437">
        <f t="shared" ca="1" si="71"/>
        <v>0</v>
      </c>
      <c r="P107" s="437">
        <f t="shared" ca="1" si="71"/>
        <v>0</v>
      </c>
      <c r="Q107" s="437">
        <f t="shared" ca="1" si="71"/>
        <v>0</v>
      </c>
      <c r="R107" s="437">
        <f t="shared" ca="1" si="71"/>
        <v>0</v>
      </c>
      <c r="S107" s="437">
        <f t="shared" ca="1" si="71"/>
        <v>0</v>
      </c>
      <c r="T107" s="437">
        <f t="shared" ca="1" si="71"/>
        <v>0</v>
      </c>
      <c r="U107" s="437">
        <f t="shared" ca="1" si="71"/>
        <v>0</v>
      </c>
      <c r="V107" s="437">
        <f t="shared" ca="1" si="71"/>
        <v>0</v>
      </c>
      <c r="W107" s="437">
        <f t="shared" ca="1" si="71"/>
        <v>0</v>
      </c>
      <c r="X107" s="437">
        <f t="shared" ca="1" si="71"/>
        <v>0</v>
      </c>
      <c r="Y107" s="437">
        <f t="shared" ca="1" si="71"/>
        <v>0</v>
      </c>
      <c r="Z107" s="437">
        <f t="shared" ca="1" si="71"/>
        <v>0</v>
      </c>
      <c r="AA107" s="437">
        <f t="shared" ca="1" si="71"/>
        <v>0</v>
      </c>
      <c r="AB107" s="437">
        <f t="shared" ca="1" si="71"/>
        <v>0</v>
      </c>
      <c r="AC107" s="437">
        <f t="shared" ca="1" si="71"/>
        <v>0</v>
      </c>
      <c r="AD107" s="437">
        <f t="shared" ca="1" si="71"/>
        <v>750</v>
      </c>
      <c r="AE107" s="437">
        <f t="shared" ca="1" si="71"/>
        <v>0</v>
      </c>
      <c r="AF107" s="437">
        <f t="shared" ca="1" si="71"/>
        <v>0</v>
      </c>
      <c r="AG107" s="437">
        <f t="shared" ca="1" si="71"/>
        <v>0</v>
      </c>
    </row>
    <row r="108" spans="1:33" ht="15.75" customHeight="1" outlineLevel="2">
      <c r="A108" s="894"/>
      <c r="B108" s="765"/>
      <c r="C108" s="185" t="s">
        <v>621</v>
      </c>
      <c r="D108" s="436" t="str">
        <f>Currency_Label</f>
        <v>USD</v>
      </c>
      <c r="E108" s="767"/>
      <c r="F108" s="767"/>
      <c r="G108" s="767"/>
      <c r="H108" s="767"/>
      <c r="I108" s="242">
        <f ca="1">SUM(J108:AG108)</f>
        <v>2250</v>
      </c>
      <c r="J108" s="530">
        <f t="shared" ref="J108:AG108" si="72">SUM(J106:J107)</f>
        <v>0</v>
      </c>
      <c r="K108" s="530">
        <f t="shared" ca="1" si="72"/>
        <v>0</v>
      </c>
      <c r="L108" s="530">
        <f t="shared" ca="1" si="72"/>
        <v>0</v>
      </c>
      <c r="M108" s="530">
        <f t="shared" ca="1" si="72"/>
        <v>0</v>
      </c>
      <c r="N108" s="530">
        <f t="shared" ca="1" si="72"/>
        <v>0</v>
      </c>
      <c r="O108" s="530">
        <f t="shared" ca="1" si="72"/>
        <v>0</v>
      </c>
      <c r="P108" s="530">
        <f t="shared" ca="1" si="72"/>
        <v>0</v>
      </c>
      <c r="Q108" s="530">
        <f t="shared" ca="1" si="72"/>
        <v>0</v>
      </c>
      <c r="R108" s="530">
        <f t="shared" ca="1" si="72"/>
        <v>0</v>
      </c>
      <c r="S108" s="530">
        <f t="shared" ca="1" si="72"/>
        <v>0</v>
      </c>
      <c r="T108" s="530">
        <f t="shared" ca="1" si="72"/>
        <v>0</v>
      </c>
      <c r="U108" s="530">
        <f t="shared" ca="1" si="72"/>
        <v>0</v>
      </c>
      <c r="V108" s="530">
        <f t="shared" ca="1" si="72"/>
        <v>0</v>
      </c>
      <c r="W108" s="530">
        <f t="shared" ca="1" si="72"/>
        <v>0</v>
      </c>
      <c r="X108" s="530">
        <f t="shared" ca="1" si="72"/>
        <v>750</v>
      </c>
      <c r="Y108" s="530">
        <f t="shared" ca="1" si="72"/>
        <v>0</v>
      </c>
      <c r="Z108" s="530">
        <f t="shared" ca="1" si="72"/>
        <v>0</v>
      </c>
      <c r="AA108" s="530">
        <f t="shared" ca="1" si="72"/>
        <v>750</v>
      </c>
      <c r="AB108" s="530">
        <f t="shared" ca="1" si="72"/>
        <v>0</v>
      </c>
      <c r="AC108" s="530">
        <f t="shared" ca="1" si="72"/>
        <v>0</v>
      </c>
      <c r="AD108" s="530">
        <f t="shared" ca="1" si="72"/>
        <v>750</v>
      </c>
      <c r="AE108" s="530">
        <f t="shared" ca="1" si="72"/>
        <v>0</v>
      </c>
      <c r="AF108" s="530">
        <f t="shared" ca="1" si="72"/>
        <v>0</v>
      </c>
      <c r="AG108" s="530">
        <f t="shared" ca="1" si="72"/>
        <v>0</v>
      </c>
    </row>
    <row r="109" spans="1:33" ht="15.75" customHeight="1" outlineLevel="2">
      <c r="A109" s="894"/>
      <c r="B109" s="765"/>
      <c r="C109" s="817" t="s">
        <v>617</v>
      </c>
      <c r="D109" s="765"/>
      <c r="E109" s="765"/>
      <c r="F109" s="765"/>
      <c r="G109" s="765"/>
      <c r="H109" s="765"/>
      <c r="I109" s="765"/>
      <c r="J109" s="455"/>
      <c r="K109" s="455"/>
      <c r="L109" s="455"/>
      <c r="M109" s="455"/>
      <c r="N109" s="455"/>
      <c r="O109" s="455"/>
      <c r="P109" s="455"/>
      <c r="Q109" s="455"/>
      <c r="R109" s="455"/>
      <c r="S109" s="455"/>
      <c r="T109" s="455"/>
      <c r="U109" s="455"/>
      <c r="V109" s="455"/>
      <c r="W109" s="455"/>
      <c r="X109" s="455"/>
      <c r="Y109" s="455"/>
      <c r="Z109" s="455"/>
      <c r="AA109" s="455"/>
      <c r="AB109" s="455"/>
      <c r="AC109" s="455"/>
      <c r="AD109" s="455"/>
      <c r="AE109" s="455"/>
      <c r="AF109" s="455"/>
      <c r="AG109" s="455"/>
    </row>
    <row r="110" spans="1:33" ht="15.75" customHeight="1" outlineLevel="2">
      <c r="A110" s="894"/>
      <c r="B110" s="765"/>
      <c r="C110" s="435" t="s">
        <v>622</v>
      </c>
      <c r="D110" s="436" t="str">
        <f>Currency_Label</f>
        <v>USD</v>
      </c>
      <c r="E110" s="767"/>
      <c r="F110" s="767"/>
      <c r="G110" s="767"/>
      <c r="H110" s="767"/>
      <c r="I110" s="242">
        <f ca="1">SUM(J110:AG110)</f>
        <v>2512.2318307461082</v>
      </c>
      <c r="J110" s="437">
        <f t="shared" ref="J110:AG110" si="73">IF(J$95=0,0,J97*$E$111/(1-(1+$E$111)^-J95))</f>
        <v>0</v>
      </c>
      <c r="K110" s="437">
        <f t="shared" si="73"/>
        <v>0</v>
      </c>
      <c r="L110" s="437">
        <f t="shared" si="73"/>
        <v>0</v>
      </c>
      <c r="M110" s="437">
        <f t="shared" si="73"/>
        <v>0</v>
      </c>
      <c r="N110" s="437">
        <f t="shared" si="73"/>
        <v>0</v>
      </c>
      <c r="O110" s="437">
        <f t="shared" si="73"/>
        <v>0</v>
      </c>
      <c r="P110" s="437">
        <f t="shared" si="73"/>
        <v>0</v>
      </c>
      <c r="Q110" s="437">
        <f t="shared" si="73"/>
        <v>0</v>
      </c>
      <c r="R110" s="437">
        <f t="shared" si="73"/>
        <v>0</v>
      </c>
      <c r="S110" s="437">
        <f t="shared" si="73"/>
        <v>0</v>
      </c>
      <c r="T110" s="437">
        <f t="shared" si="73"/>
        <v>0</v>
      </c>
      <c r="U110" s="437">
        <f t="shared" si="73"/>
        <v>0</v>
      </c>
      <c r="V110" s="437">
        <f t="shared" si="73"/>
        <v>0</v>
      </c>
      <c r="W110" s="437">
        <f t="shared" si="73"/>
        <v>0</v>
      </c>
      <c r="X110" s="437">
        <f t="shared" si="73"/>
        <v>0</v>
      </c>
      <c r="Y110" s="437">
        <f t="shared" si="73"/>
        <v>0</v>
      </c>
      <c r="Z110" s="437">
        <f t="shared" si="73"/>
        <v>0</v>
      </c>
      <c r="AA110" s="437">
        <f t="shared" si="73"/>
        <v>0</v>
      </c>
      <c r="AB110" s="437">
        <f t="shared" si="73"/>
        <v>0</v>
      </c>
      <c r="AC110" s="437">
        <f t="shared" si="73"/>
        <v>0</v>
      </c>
      <c r="AD110" s="437">
        <f t="shared" ca="1" si="73"/>
        <v>2512.2318307461082</v>
      </c>
      <c r="AE110" s="437">
        <f t="shared" si="73"/>
        <v>0</v>
      </c>
      <c r="AF110" s="437">
        <f t="shared" si="73"/>
        <v>0</v>
      </c>
      <c r="AG110" s="437">
        <f t="shared" si="73"/>
        <v>0</v>
      </c>
    </row>
    <row r="111" spans="1:33" ht="15.75" customHeight="1" outlineLevel="2">
      <c r="A111" s="894"/>
      <c r="B111" s="765"/>
      <c r="C111" s="435" t="s">
        <v>578</v>
      </c>
      <c r="D111" s="436" t="str">
        <f>Currency_Label</f>
        <v>USD</v>
      </c>
      <c r="E111" s="529">
        <f>IF(Inputs!$H$112=0,VerySmallNumber,Inputs!$H$112)</f>
        <v>9.3749999999999997E-3</v>
      </c>
      <c r="F111" s="436" t="s">
        <v>618</v>
      </c>
      <c r="G111" s="767"/>
      <c r="H111" s="767"/>
      <c r="I111" s="242">
        <f ca="1">SUM(J111:AG111)</f>
        <v>750</v>
      </c>
      <c r="J111" s="437">
        <f t="shared" ref="J111:AG111" si="74">J107</f>
        <v>0</v>
      </c>
      <c r="K111" s="437">
        <f t="shared" ca="1" si="74"/>
        <v>0</v>
      </c>
      <c r="L111" s="437">
        <f t="shared" ca="1" si="74"/>
        <v>0</v>
      </c>
      <c r="M111" s="437">
        <f t="shared" ca="1" si="74"/>
        <v>0</v>
      </c>
      <c r="N111" s="437">
        <f t="shared" ca="1" si="74"/>
        <v>0</v>
      </c>
      <c r="O111" s="437">
        <f t="shared" ca="1" si="74"/>
        <v>0</v>
      </c>
      <c r="P111" s="437">
        <f t="shared" ca="1" si="74"/>
        <v>0</v>
      </c>
      <c r="Q111" s="437">
        <f t="shared" ca="1" si="74"/>
        <v>0</v>
      </c>
      <c r="R111" s="437">
        <f t="shared" ca="1" si="74"/>
        <v>0</v>
      </c>
      <c r="S111" s="437">
        <f t="shared" ca="1" si="74"/>
        <v>0</v>
      </c>
      <c r="T111" s="437">
        <f t="shared" ca="1" si="74"/>
        <v>0</v>
      </c>
      <c r="U111" s="437">
        <f t="shared" ca="1" si="74"/>
        <v>0</v>
      </c>
      <c r="V111" s="437">
        <f t="shared" ca="1" si="74"/>
        <v>0</v>
      </c>
      <c r="W111" s="437">
        <f t="shared" ca="1" si="74"/>
        <v>0</v>
      </c>
      <c r="X111" s="437">
        <f t="shared" ca="1" si="74"/>
        <v>0</v>
      </c>
      <c r="Y111" s="437">
        <f t="shared" ca="1" si="74"/>
        <v>0</v>
      </c>
      <c r="Z111" s="437">
        <f t="shared" ca="1" si="74"/>
        <v>0</v>
      </c>
      <c r="AA111" s="437">
        <f t="shared" ca="1" si="74"/>
        <v>0</v>
      </c>
      <c r="AB111" s="437">
        <f t="shared" ca="1" si="74"/>
        <v>0</v>
      </c>
      <c r="AC111" s="437">
        <f t="shared" ca="1" si="74"/>
        <v>0</v>
      </c>
      <c r="AD111" s="437">
        <f t="shared" ca="1" si="74"/>
        <v>750</v>
      </c>
      <c r="AE111" s="437">
        <f t="shared" ca="1" si="74"/>
        <v>0</v>
      </c>
      <c r="AF111" s="437">
        <f t="shared" ca="1" si="74"/>
        <v>0</v>
      </c>
      <c r="AG111" s="437">
        <f t="shared" ca="1" si="74"/>
        <v>0</v>
      </c>
    </row>
    <row r="112" spans="1:33" ht="15.75" customHeight="1" outlineLevel="2">
      <c r="A112" s="894"/>
      <c r="B112" s="765"/>
      <c r="C112" s="435" t="s">
        <v>617</v>
      </c>
      <c r="D112" s="436" t="str">
        <f>Currency_Label</f>
        <v>USD</v>
      </c>
      <c r="E112" s="767"/>
      <c r="F112" s="767"/>
      <c r="G112" s="767"/>
      <c r="H112" s="767"/>
      <c r="I112" s="242">
        <f ca="1">SUM(J112:AG112)</f>
        <v>1762.2318307461082</v>
      </c>
      <c r="J112" s="530">
        <f t="shared" ref="J112:AG112" si="75">J110-J111</f>
        <v>0</v>
      </c>
      <c r="K112" s="530">
        <f t="shared" ca="1" si="75"/>
        <v>0</v>
      </c>
      <c r="L112" s="530">
        <f t="shared" ca="1" si="75"/>
        <v>0</v>
      </c>
      <c r="M112" s="530">
        <f t="shared" ca="1" si="75"/>
        <v>0</v>
      </c>
      <c r="N112" s="530">
        <f t="shared" ca="1" si="75"/>
        <v>0</v>
      </c>
      <c r="O112" s="530">
        <f t="shared" ca="1" si="75"/>
        <v>0</v>
      </c>
      <c r="P112" s="530">
        <f t="shared" ca="1" si="75"/>
        <v>0</v>
      </c>
      <c r="Q112" s="530">
        <f t="shared" ca="1" si="75"/>
        <v>0</v>
      </c>
      <c r="R112" s="530">
        <f t="shared" ca="1" si="75"/>
        <v>0</v>
      </c>
      <c r="S112" s="530">
        <f t="shared" ca="1" si="75"/>
        <v>0</v>
      </c>
      <c r="T112" s="530">
        <f t="shared" ca="1" si="75"/>
        <v>0</v>
      </c>
      <c r="U112" s="530">
        <f t="shared" ca="1" si="75"/>
        <v>0</v>
      </c>
      <c r="V112" s="530">
        <f t="shared" ca="1" si="75"/>
        <v>0</v>
      </c>
      <c r="W112" s="530">
        <f t="shared" ca="1" si="75"/>
        <v>0</v>
      </c>
      <c r="X112" s="530">
        <f t="shared" ca="1" si="75"/>
        <v>0</v>
      </c>
      <c r="Y112" s="530">
        <f t="shared" ca="1" si="75"/>
        <v>0</v>
      </c>
      <c r="Z112" s="530">
        <f t="shared" ca="1" si="75"/>
        <v>0</v>
      </c>
      <c r="AA112" s="530">
        <f t="shared" ca="1" si="75"/>
        <v>0</v>
      </c>
      <c r="AB112" s="530">
        <f t="shared" ca="1" si="75"/>
        <v>0</v>
      </c>
      <c r="AC112" s="530">
        <f t="shared" ca="1" si="75"/>
        <v>0</v>
      </c>
      <c r="AD112" s="530">
        <f t="shared" ca="1" si="75"/>
        <v>1762.2318307461082</v>
      </c>
      <c r="AE112" s="530">
        <f t="shared" ca="1" si="75"/>
        <v>0</v>
      </c>
      <c r="AF112" s="530">
        <f t="shared" ca="1" si="75"/>
        <v>0</v>
      </c>
      <c r="AG112" s="530">
        <f t="shared" ca="1" si="75"/>
        <v>0</v>
      </c>
    </row>
    <row r="113" spans="1:33" ht="15.75" customHeight="1" outlineLevel="2">
      <c r="A113" s="894"/>
      <c r="B113" s="765"/>
      <c r="C113" s="765"/>
      <c r="D113" s="765"/>
      <c r="E113" s="765"/>
      <c r="F113" s="765"/>
      <c r="G113" s="765"/>
      <c r="H113" s="765"/>
      <c r="I113" s="765"/>
      <c r="J113" s="765"/>
      <c r="K113" s="765"/>
      <c r="L113" s="765"/>
      <c r="M113" s="765"/>
      <c r="N113" s="765"/>
      <c r="O113" s="765"/>
      <c r="P113" s="765"/>
      <c r="Q113" s="765"/>
      <c r="R113" s="765"/>
      <c r="S113" s="765"/>
      <c r="T113" s="765"/>
      <c r="U113" s="765"/>
      <c r="V113" s="765"/>
      <c r="W113" s="765"/>
      <c r="X113" s="765"/>
      <c r="Y113" s="765"/>
      <c r="Z113" s="765"/>
      <c r="AA113" s="765"/>
      <c r="AB113" s="765"/>
      <c r="AC113" s="765"/>
      <c r="AD113" s="765"/>
      <c r="AE113" s="765"/>
      <c r="AF113" s="765"/>
      <c r="AG113" s="765"/>
    </row>
    <row r="114" spans="1:33" ht="21" customHeight="1" outlineLevel="1">
      <c r="A114" s="894"/>
      <c r="B114" s="423" t="s">
        <v>35</v>
      </c>
      <c r="C114" s="423" t="str">
        <f>"Debt 2: "&amp;Inputs!$F$118</f>
        <v>Debt 2: HSBC Bank</v>
      </c>
      <c r="D114" s="734"/>
      <c r="E114" s="765"/>
      <c r="F114" s="765"/>
      <c r="G114" s="765"/>
      <c r="H114" s="765"/>
      <c r="I114" s="765"/>
      <c r="J114" s="765"/>
      <c r="K114" s="765"/>
      <c r="L114" s="765"/>
      <c r="M114" s="765"/>
      <c r="N114" s="765"/>
      <c r="O114" s="765"/>
      <c r="P114" s="765"/>
      <c r="Q114" s="765"/>
      <c r="R114" s="765"/>
      <c r="S114" s="765"/>
      <c r="T114" s="765"/>
      <c r="U114" s="765"/>
      <c r="V114" s="765"/>
      <c r="W114" s="765"/>
      <c r="X114" s="765"/>
      <c r="Y114" s="765"/>
      <c r="Z114" s="765"/>
      <c r="AA114" s="765"/>
      <c r="AB114" s="765"/>
      <c r="AC114" s="765"/>
      <c r="AD114" s="765"/>
      <c r="AE114" s="765"/>
      <c r="AF114" s="765"/>
      <c r="AG114" s="765"/>
    </row>
    <row r="115" spans="1:33" ht="15.75" customHeight="1" outlineLevel="2">
      <c r="A115" s="894"/>
      <c r="B115" s="765"/>
      <c r="C115" s="435" t="s">
        <v>140</v>
      </c>
      <c r="D115" s="436" t="str">
        <f t="shared" ref="D115:D122" si="76">Currency_Label</f>
        <v>USD</v>
      </c>
      <c r="E115" s="767"/>
      <c r="F115" s="767"/>
      <c r="G115" s="767"/>
      <c r="H115" s="767"/>
      <c r="I115" s="767"/>
      <c r="J115" s="437">
        <f t="shared" ref="J115:AG115" si="77">I118*J$6</f>
        <v>0</v>
      </c>
      <c r="K115" s="437">
        <f t="shared" si="77"/>
        <v>0</v>
      </c>
      <c r="L115" s="437">
        <f t="shared" si="77"/>
        <v>40000</v>
      </c>
      <c r="M115" s="437">
        <f t="shared" si="77"/>
        <v>40000</v>
      </c>
      <c r="N115" s="437">
        <f t="shared" si="77"/>
        <v>40000</v>
      </c>
      <c r="O115" s="437">
        <f t="shared" si="77"/>
        <v>40000</v>
      </c>
      <c r="P115" s="437">
        <f t="shared" si="77"/>
        <v>40000</v>
      </c>
      <c r="Q115" s="437">
        <f t="shared" si="77"/>
        <v>40000</v>
      </c>
      <c r="R115" s="437">
        <f t="shared" si="77"/>
        <v>40000</v>
      </c>
      <c r="S115" s="437">
        <f t="shared" si="77"/>
        <v>40000</v>
      </c>
      <c r="T115" s="437">
        <f t="shared" si="77"/>
        <v>40000</v>
      </c>
      <c r="U115" s="437">
        <f t="shared" si="77"/>
        <v>30000</v>
      </c>
      <c r="V115" s="437">
        <f t="shared" si="77"/>
        <v>30000</v>
      </c>
      <c r="W115" s="437">
        <f t="shared" si="77"/>
        <v>30000</v>
      </c>
      <c r="X115" s="437">
        <f t="shared" si="77"/>
        <v>30000</v>
      </c>
      <c r="Y115" s="437">
        <f t="shared" si="77"/>
        <v>30000</v>
      </c>
      <c r="Z115" s="437">
        <f t="shared" si="77"/>
        <v>30000</v>
      </c>
      <c r="AA115" s="437">
        <f t="shared" si="77"/>
        <v>30000</v>
      </c>
      <c r="AB115" s="437">
        <f t="shared" si="77"/>
        <v>20000</v>
      </c>
      <c r="AC115" s="437">
        <f t="shared" si="77"/>
        <v>20000</v>
      </c>
      <c r="AD115" s="437">
        <f t="shared" si="77"/>
        <v>20000</v>
      </c>
      <c r="AE115" s="437">
        <f t="shared" si="77"/>
        <v>0</v>
      </c>
      <c r="AF115" s="437">
        <f t="shared" si="77"/>
        <v>0</v>
      </c>
      <c r="AG115" s="437">
        <f t="shared" si="77"/>
        <v>0</v>
      </c>
    </row>
    <row r="116" spans="1:33" ht="15.75" customHeight="1" outlineLevel="2">
      <c r="A116" s="894"/>
      <c r="B116" s="765"/>
      <c r="C116" s="435" t="s">
        <v>616</v>
      </c>
      <c r="D116" s="436" t="str">
        <f t="shared" si="76"/>
        <v>USD</v>
      </c>
      <c r="E116" s="767"/>
      <c r="F116" s="767"/>
      <c r="G116" s="767"/>
      <c r="H116" s="767"/>
      <c r="I116" s="242">
        <f>SUM(J116:AG116)</f>
        <v>40000</v>
      </c>
      <c r="J116" s="437">
        <f t="shared" ref="J116:AG116" si="78">J49*J$6</f>
        <v>0</v>
      </c>
      <c r="K116" s="437">
        <f t="shared" si="78"/>
        <v>40000</v>
      </c>
      <c r="L116" s="437">
        <f t="shared" si="78"/>
        <v>0</v>
      </c>
      <c r="M116" s="437">
        <f t="shared" si="78"/>
        <v>0</v>
      </c>
      <c r="N116" s="437">
        <f t="shared" si="78"/>
        <v>0</v>
      </c>
      <c r="O116" s="437">
        <f t="shared" si="78"/>
        <v>0</v>
      </c>
      <c r="P116" s="437">
        <f t="shared" si="78"/>
        <v>0</v>
      </c>
      <c r="Q116" s="437">
        <f t="shared" si="78"/>
        <v>0</v>
      </c>
      <c r="R116" s="437">
        <f t="shared" si="78"/>
        <v>0</v>
      </c>
      <c r="S116" s="437">
        <f t="shared" si="78"/>
        <v>0</v>
      </c>
      <c r="T116" s="437">
        <f t="shared" si="78"/>
        <v>0</v>
      </c>
      <c r="U116" s="437">
        <f t="shared" si="78"/>
        <v>0</v>
      </c>
      <c r="V116" s="437">
        <f t="shared" si="78"/>
        <v>0</v>
      </c>
      <c r="W116" s="437">
        <f t="shared" si="78"/>
        <v>0</v>
      </c>
      <c r="X116" s="437">
        <f t="shared" si="78"/>
        <v>0</v>
      </c>
      <c r="Y116" s="437">
        <f t="shared" si="78"/>
        <v>0</v>
      </c>
      <c r="Z116" s="437">
        <f t="shared" si="78"/>
        <v>0</v>
      </c>
      <c r="AA116" s="437">
        <f t="shared" si="78"/>
        <v>0</v>
      </c>
      <c r="AB116" s="437">
        <f t="shared" si="78"/>
        <v>0</v>
      </c>
      <c r="AC116" s="437">
        <f t="shared" si="78"/>
        <v>0</v>
      </c>
      <c r="AD116" s="437">
        <f t="shared" si="78"/>
        <v>0</v>
      </c>
      <c r="AE116" s="437">
        <f t="shared" si="78"/>
        <v>0</v>
      </c>
      <c r="AF116" s="437">
        <f t="shared" si="78"/>
        <v>0</v>
      </c>
      <c r="AG116" s="437">
        <f t="shared" si="78"/>
        <v>0</v>
      </c>
    </row>
    <row r="117" spans="1:33" ht="15.75" customHeight="1" outlineLevel="2">
      <c r="A117" s="894"/>
      <c r="B117" s="765"/>
      <c r="C117" s="435" t="s">
        <v>617</v>
      </c>
      <c r="D117" s="436" t="str">
        <f t="shared" si="76"/>
        <v>USD</v>
      </c>
      <c r="E117" s="767"/>
      <c r="F117" s="767"/>
      <c r="G117" s="767"/>
      <c r="H117" s="767"/>
      <c r="I117" s="242">
        <f>SUM(J117:AG117)</f>
        <v>-20000</v>
      </c>
      <c r="J117" s="437">
        <f t="shared" ref="J117:AG117" si="79">J50*J$6</f>
        <v>0</v>
      </c>
      <c r="K117" s="437">
        <f t="shared" si="79"/>
        <v>0</v>
      </c>
      <c r="L117" s="437">
        <f t="shared" si="79"/>
        <v>0</v>
      </c>
      <c r="M117" s="437">
        <f t="shared" si="79"/>
        <v>0</v>
      </c>
      <c r="N117" s="437">
        <f t="shared" si="79"/>
        <v>0</v>
      </c>
      <c r="O117" s="437">
        <f t="shared" si="79"/>
        <v>0</v>
      </c>
      <c r="P117" s="437">
        <f t="shared" si="79"/>
        <v>0</v>
      </c>
      <c r="Q117" s="437">
        <f t="shared" si="79"/>
        <v>0</v>
      </c>
      <c r="R117" s="437">
        <f t="shared" si="79"/>
        <v>0</v>
      </c>
      <c r="S117" s="437">
        <f t="shared" si="79"/>
        <v>0</v>
      </c>
      <c r="T117" s="437">
        <f t="shared" si="79"/>
        <v>-10000</v>
      </c>
      <c r="U117" s="437">
        <f t="shared" si="79"/>
        <v>0</v>
      </c>
      <c r="V117" s="437">
        <f t="shared" si="79"/>
        <v>0</v>
      </c>
      <c r="W117" s="437">
        <f t="shared" si="79"/>
        <v>0</v>
      </c>
      <c r="X117" s="437">
        <f t="shared" si="79"/>
        <v>0</v>
      </c>
      <c r="Y117" s="437">
        <f t="shared" si="79"/>
        <v>0</v>
      </c>
      <c r="Z117" s="437">
        <f t="shared" si="79"/>
        <v>0</v>
      </c>
      <c r="AA117" s="437">
        <f t="shared" si="79"/>
        <v>-10000</v>
      </c>
      <c r="AB117" s="437">
        <f t="shared" si="79"/>
        <v>0</v>
      </c>
      <c r="AC117" s="437">
        <f t="shared" si="79"/>
        <v>0</v>
      </c>
      <c r="AD117" s="437">
        <f t="shared" si="79"/>
        <v>0</v>
      </c>
      <c r="AE117" s="437">
        <f t="shared" si="79"/>
        <v>0</v>
      </c>
      <c r="AF117" s="437">
        <f t="shared" si="79"/>
        <v>0</v>
      </c>
      <c r="AG117" s="437">
        <f t="shared" si="79"/>
        <v>0</v>
      </c>
    </row>
    <row r="118" spans="1:33" ht="15.75" customHeight="1" outlineLevel="2" thickBot="1">
      <c r="A118" s="894"/>
      <c r="B118" s="765"/>
      <c r="C118" s="435" t="s">
        <v>141</v>
      </c>
      <c r="D118" s="436" t="str">
        <f t="shared" si="76"/>
        <v>USD</v>
      </c>
      <c r="E118" s="825" t="s">
        <v>496</v>
      </c>
      <c r="F118" s="825" t="s">
        <v>497</v>
      </c>
      <c r="G118" s="767"/>
      <c r="H118" s="767"/>
      <c r="I118" s="826"/>
      <c r="J118" s="524">
        <f t="shared" ref="J118:AG118" si="80">IF(ABS(SUM(J115:J117))&lt;0.001,0,SUM(J115:J117))*J$6</f>
        <v>0</v>
      </c>
      <c r="K118" s="524">
        <f t="shared" si="80"/>
        <v>40000</v>
      </c>
      <c r="L118" s="524">
        <f t="shared" si="80"/>
        <v>40000</v>
      </c>
      <c r="M118" s="524">
        <f t="shared" si="80"/>
        <v>40000</v>
      </c>
      <c r="N118" s="524">
        <f t="shared" si="80"/>
        <v>40000</v>
      </c>
      <c r="O118" s="524">
        <f t="shared" si="80"/>
        <v>40000</v>
      </c>
      <c r="P118" s="524">
        <f t="shared" si="80"/>
        <v>40000</v>
      </c>
      <c r="Q118" s="524">
        <f t="shared" si="80"/>
        <v>40000</v>
      </c>
      <c r="R118" s="524">
        <f t="shared" si="80"/>
        <v>40000</v>
      </c>
      <c r="S118" s="524">
        <f t="shared" si="80"/>
        <v>40000</v>
      </c>
      <c r="T118" s="524">
        <f t="shared" si="80"/>
        <v>30000</v>
      </c>
      <c r="U118" s="524">
        <f t="shared" si="80"/>
        <v>30000</v>
      </c>
      <c r="V118" s="524">
        <f t="shared" si="80"/>
        <v>30000</v>
      </c>
      <c r="W118" s="524">
        <f t="shared" si="80"/>
        <v>30000</v>
      </c>
      <c r="X118" s="524">
        <f t="shared" si="80"/>
        <v>30000</v>
      </c>
      <c r="Y118" s="524">
        <f t="shared" si="80"/>
        <v>30000</v>
      </c>
      <c r="Z118" s="524">
        <f t="shared" si="80"/>
        <v>30000</v>
      </c>
      <c r="AA118" s="524">
        <f t="shared" si="80"/>
        <v>20000</v>
      </c>
      <c r="AB118" s="524">
        <f t="shared" si="80"/>
        <v>20000</v>
      </c>
      <c r="AC118" s="524">
        <f t="shared" si="80"/>
        <v>20000</v>
      </c>
      <c r="AD118" s="524">
        <f t="shared" si="80"/>
        <v>20000</v>
      </c>
      <c r="AE118" s="524">
        <f t="shared" si="80"/>
        <v>0</v>
      </c>
      <c r="AF118" s="524">
        <f t="shared" si="80"/>
        <v>0</v>
      </c>
      <c r="AG118" s="524">
        <f t="shared" si="80"/>
        <v>0</v>
      </c>
    </row>
    <row r="119" spans="1:33" ht="15.75" customHeight="1" outlineLevel="2" thickTop="1">
      <c r="A119" s="894"/>
      <c r="B119" s="827">
        <f>IF(B120=1,0,1)</f>
        <v>1</v>
      </c>
      <c r="C119" s="767" t="s">
        <v>623</v>
      </c>
      <c r="D119" s="436" t="str">
        <f t="shared" si="76"/>
        <v>USD</v>
      </c>
      <c r="E119" s="828">
        <f>Inputs!F120</f>
        <v>3.5000000000000003E-2</v>
      </c>
      <c r="F119" s="829">
        <f>E119/months_yr</f>
        <v>2.9166666666666668E-3</v>
      </c>
      <c r="G119" s="767"/>
      <c r="H119" s="767"/>
      <c r="I119" s="242">
        <f>SUM(J119:AG119)</f>
        <v>1837.4999999999998</v>
      </c>
      <c r="J119" s="437">
        <f t="shared" ref="J119:AG119" si="81">$F119*J115</f>
        <v>0</v>
      </c>
      <c r="K119" s="437">
        <f t="shared" si="81"/>
        <v>0</v>
      </c>
      <c r="L119" s="437">
        <f t="shared" si="81"/>
        <v>116.66666666666667</v>
      </c>
      <c r="M119" s="437">
        <f t="shared" si="81"/>
        <v>116.66666666666667</v>
      </c>
      <c r="N119" s="437">
        <f t="shared" si="81"/>
        <v>116.66666666666667</v>
      </c>
      <c r="O119" s="437">
        <f t="shared" si="81"/>
        <v>116.66666666666667</v>
      </c>
      <c r="P119" s="437">
        <f t="shared" si="81"/>
        <v>116.66666666666667</v>
      </c>
      <c r="Q119" s="437">
        <f t="shared" si="81"/>
        <v>116.66666666666667</v>
      </c>
      <c r="R119" s="437">
        <f t="shared" si="81"/>
        <v>116.66666666666667</v>
      </c>
      <c r="S119" s="437">
        <f t="shared" si="81"/>
        <v>116.66666666666667</v>
      </c>
      <c r="T119" s="437">
        <f t="shared" si="81"/>
        <v>116.66666666666667</v>
      </c>
      <c r="U119" s="437">
        <f t="shared" si="81"/>
        <v>87.5</v>
      </c>
      <c r="V119" s="437">
        <f t="shared" si="81"/>
        <v>87.5</v>
      </c>
      <c r="W119" s="437">
        <f t="shared" si="81"/>
        <v>87.5</v>
      </c>
      <c r="X119" s="437">
        <f t="shared" si="81"/>
        <v>87.5</v>
      </c>
      <c r="Y119" s="437">
        <f t="shared" si="81"/>
        <v>87.5</v>
      </c>
      <c r="Z119" s="437">
        <f t="shared" si="81"/>
        <v>87.5</v>
      </c>
      <c r="AA119" s="437">
        <f t="shared" si="81"/>
        <v>87.5</v>
      </c>
      <c r="AB119" s="437">
        <f t="shared" si="81"/>
        <v>58.333333333333336</v>
      </c>
      <c r="AC119" s="437">
        <f t="shared" si="81"/>
        <v>58.333333333333336</v>
      </c>
      <c r="AD119" s="437">
        <f t="shared" si="81"/>
        <v>58.333333333333336</v>
      </c>
      <c r="AE119" s="437">
        <f t="shared" si="81"/>
        <v>0</v>
      </c>
      <c r="AF119" s="437">
        <f t="shared" si="81"/>
        <v>0</v>
      </c>
      <c r="AG119" s="437">
        <f t="shared" si="81"/>
        <v>0</v>
      </c>
    </row>
    <row r="120" spans="1:33" ht="15.75" customHeight="1" outlineLevel="2">
      <c r="A120" s="894"/>
      <c r="B120" s="827">
        <f>Inputs!F119</f>
        <v>0</v>
      </c>
      <c r="C120" s="767" t="s">
        <v>624</v>
      </c>
      <c r="D120" s="436" t="str">
        <f t="shared" si="76"/>
        <v>USD</v>
      </c>
      <c r="E120" s="767"/>
      <c r="F120" s="767"/>
      <c r="G120" s="767"/>
      <c r="H120" s="767"/>
      <c r="I120" s="242">
        <f>SUM(J120:AG120)</f>
        <v>0</v>
      </c>
      <c r="J120" s="451"/>
      <c r="K120" s="451"/>
      <c r="L120" s="451"/>
      <c r="M120" s="451"/>
      <c r="N120" s="451"/>
      <c r="O120" s="451"/>
      <c r="P120" s="451"/>
      <c r="Q120" s="451"/>
      <c r="R120" s="451"/>
      <c r="S120" s="451"/>
      <c r="T120" s="451"/>
      <c r="U120" s="451"/>
      <c r="V120" s="451"/>
      <c r="W120" s="451"/>
      <c r="X120" s="451"/>
      <c r="Y120" s="451"/>
      <c r="Z120" s="451"/>
      <c r="AA120" s="451"/>
      <c r="AB120" s="451"/>
      <c r="AC120" s="451"/>
      <c r="AD120" s="451"/>
      <c r="AE120" s="451"/>
      <c r="AF120" s="451"/>
      <c r="AG120" s="451"/>
    </row>
    <row r="121" spans="1:33" ht="15.75" customHeight="1" outlineLevel="2">
      <c r="A121" s="894"/>
      <c r="B121" s="765"/>
      <c r="C121" s="767" t="s">
        <v>625</v>
      </c>
      <c r="D121" s="436" t="str">
        <f t="shared" si="76"/>
        <v>USD</v>
      </c>
      <c r="E121" s="767"/>
      <c r="F121" s="767"/>
      <c r="G121" s="767"/>
      <c r="H121" s="767"/>
      <c r="I121" s="242">
        <f>SUM(J121:AG121)</f>
        <v>1837.4999999999998</v>
      </c>
      <c r="J121" s="530">
        <f t="shared" ref="J121:AG121" si="82">SUMPRODUCT(($B119:$B120)*(J119:J120))*J$6</f>
        <v>0</v>
      </c>
      <c r="K121" s="530">
        <f t="shared" si="82"/>
        <v>0</v>
      </c>
      <c r="L121" s="530">
        <f t="shared" si="82"/>
        <v>116.66666666666667</v>
      </c>
      <c r="M121" s="530">
        <f t="shared" si="82"/>
        <v>116.66666666666667</v>
      </c>
      <c r="N121" s="530">
        <f t="shared" si="82"/>
        <v>116.66666666666667</v>
      </c>
      <c r="O121" s="530">
        <f t="shared" si="82"/>
        <v>116.66666666666667</v>
      </c>
      <c r="P121" s="530">
        <f t="shared" si="82"/>
        <v>116.66666666666667</v>
      </c>
      <c r="Q121" s="530">
        <f t="shared" si="82"/>
        <v>116.66666666666667</v>
      </c>
      <c r="R121" s="530">
        <f t="shared" si="82"/>
        <v>116.66666666666667</v>
      </c>
      <c r="S121" s="530">
        <f t="shared" si="82"/>
        <v>116.66666666666667</v>
      </c>
      <c r="T121" s="530">
        <f t="shared" si="82"/>
        <v>116.66666666666667</v>
      </c>
      <c r="U121" s="530">
        <f t="shared" si="82"/>
        <v>87.5</v>
      </c>
      <c r="V121" s="530">
        <f t="shared" si="82"/>
        <v>87.5</v>
      </c>
      <c r="W121" s="530">
        <f t="shared" si="82"/>
        <v>87.5</v>
      </c>
      <c r="X121" s="530">
        <f t="shared" si="82"/>
        <v>87.5</v>
      </c>
      <c r="Y121" s="530">
        <f t="shared" si="82"/>
        <v>87.5</v>
      </c>
      <c r="Z121" s="530">
        <f t="shared" si="82"/>
        <v>87.5</v>
      </c>
      <c r="AA121" s="530">
        <f t="shared" si="82"/>
        <v>87.5</v>
      </c>
      <c r="AB121" s="530">
        <f t="shared" si="82"/>
        <v>58.333333333333336</v>
      </c>
      <c r="AC121" s="530">
        <f t="shared" si="82"/>
        <v>58.333333333333336</v>
      </c>
      <c r="AD121" s="530">
        <f t="shared" si="82"/>
        <v>58.333333333333336</v>
      </c>
      <c r="AE121" s="530">
        <f t="shared" si="82"/>
        <v>0</v>
      </c>
      <c r="AF121" s="530">
        <f t="shared" si="82"/>
        <v>0</v>
      </c>
      <c r="AG121" s="530">
        <f t="shared" si="82"/>
        <v>0</v>
      </c>
    </row>
    <row r="122" spans="1:33" s="203" customFormat="1" ht="15.75" customHeight="1" outlineLevel="2">
      <c r="A122" s="894"/>
      <c r="B122" s="512"/>
      <c r="C122" s="257" t="str">
        <f>"Financing Fees "&amp;C114</f>
        <v>Financing Fees Debt 2: HSBC Bank</v>
      </c>
      <c r="D122" s="436" t="str">
        <f t="shared" si="76"/>
        <v>USD</v>
      </c>
      <c r="E122" s="767"/>
      <c r="F122" s="767"/>
      <c r="G122" s="767"/>
      <c r="H122" s="767"/>
      <c r="I122" s="242">
        <f>SUMPRODUCT((J$6:AG$6),(J122:AG122))</f>
        <v>950</v>
      </c>
      <c r="J122" s="451"/>
      <c r="K122" s="451">
        <v>950</v>
      </c>
      <c r="L122" s="451"/>
      <c r="M122" s="451"/>
      <c r="N122" s="451"/>
      <c r="O122" s="451"/>
      <c r="P122" s="451"/>
      <c r="Q122" s="451"/>
      <c r="R122" s="451"/>
      <c r="S122" s="451"/>
      <c r="T122" s="451"/>
      <c r="U122" s="451"/>
      <c r="V122" s="451"/>
      <c r="W122" s="451"/>
      <c r="X122" s="451"/>
      <c r="Y122" s="451"/>
      <c r="Z122" s="451"/>
      <c r="AA122" s="451"/>
      <c r="AB122" s="451"/>
      <c r="AC122" s="451"/>
      <c r="AD122" s="451"/>
      <c r="AE122" s="451"/>
      <c r="AF122" s="451"/>
      <c r="AG122" s="451"/>
    </row>
    <row r="123" spans="1:33" ht="15.75" customHeight="1" outlineLevel="2">
      <c r="A123" s="894"/>
      <c r="B123" s="765"/>
      <c r="C123" s="765"/>
      <c r="D123" s="765"/>
      <c r="E123" s="765"/>
      <c r="F123" s="765"/>
      <c r="G123" s="765"/>
      <c r="H123" s="765"/>
      <c r="I123" s="765"/>
      <c r="J123" s="765"/>
      <c r="K123" s="765"/>
      <c r="L123" s="765"/>
      <c r="M123" s="765"/>
      <c r="N123" s="765"/>
      <c r="O123" s="765"/>
      <c r="P123" s="765"/>
      <c r="Q123" s="765"/>
      <c r="R123" s="765"/>
      <c r="S123" s="765"/>
      <c r="T123" s="765"/>
      <c r="U123" s="765"/>
      <c r="V123" s="765"/>
      <c r="W123" s="765"/>
      <c r="X123" s="765"/>
      <c r="Y123" s="765"/>
      <c r="Z123" s="765"/>
      <c r="AA123" s="765"/>
      <c r="AB123" s="765"/>
      <c r="AC123" s="765"/>
      <c r="AD123" s="765"/>
      <c r="AE123" s="765"/>
      <c r="AF123" s="765"/>
      <c r="AG123" s="765"/>
    </row>
    <row r="124" spans="1:33" ht="21" customHeight="1" outlineLevel="1">
      <c r="A124" s="894"/>
      <c r="B124" s="423" t="s">
        <v>37</v>
      </c>
      <c r="C124" s="423" t="str">
        <f>"Debt 3: "&amp;Inputs!$F$123</f>
        <v>Debt 3: UBS</v>
      </c>
      <c r="D124" s="734"/>
      <c r="E124" s="765"/>
      <c r="F124" s="765"/>
      <c r="G124" s="765"/>
      <c r="H124" s="765"/>
      <c r="I124" s="765"/>
      <c r="J124" s="765"/>
      <c r="K124" s="765"/>
      <c r="L124" s="765"/>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row>
    <row r="125" spans="1:33" ht="15.75" customHeight="1" outlineLevel="2">
      <c r="A125" s="894"/>
      <c r="B125" s="765"/>
      <c r="C125" s="435" t="s">
        <v>140</v>
      </c>
      <c r="D125" s="436" t="str">
        <f t="shared" ref="D125:D132" si="83">Currency_Label</f>
        <v>USD</v>
      </c>
      <c r="E125" s="767"/>
      <c r="F125" s="767"/>
      <c r="G125" s="767"/>
      <c r="H125" s="767"/>
      <c r="I125" s="767"/>
      <c r="J125" s="437">
        <f t="shared" ref="J125:AG125" si="84">I128*J$6</f>
        <v>0</v>
      </c>
      <c r="K125" s="437">
        <f t="shared" si="84"/>
        <v>0</v>
      </c>
      <c r="L125" s="437">
        <f t="shared" si="84"/>
        <v>60000</v>
      </c>
      <c r="M125" s="437">
        <f t="shared" si="84"/>
        <v>60000</v>
      </c>
      <c r="N125" s="437">
        <f t="shared" si="84"/>
        <v>60000</v>
      </c>
      <c r="O125" s="437">
        <f t="shared" si="84"/>
        <v>60000</v>
      </c>
      <c r="P125" s="437">
        <f t="shared" si="84"/>
        <v>60000</v>
      </c>
      <c r="Q125" s="437">
        <f t="shared" si="84"/>
        <v>60000</v>
      </c>
      <c r="R125" s="437">
        <f t="shared" si="84"/>
        <v>60000</v>
      </c>
      <c r="S125" s="437">
        <f t="shared" si="84"/>
        <v>60000</v>
      </c>
      <c r="T125" s="437">
        <f t="shared" si="84"/>
        <v>60000</v>
      </c>
      <c r="U125" s="437">
        <f t="shared" si="84"/>
        <v>60000</v>
      </c>
      <c r="V125" s="437">
        <f t="shared" si="84"/>
        <v>60000</v>
      </c>
      <c r="W125" s="437">
        <f t="shared" si="84"/>
        <v>60000</v>
      </c>
      <c r="X125" s="437">
        <f t="shared" si="84"/>
        <v>60000</v>
      </c>
      <c r="Y125" s="437">
        <f t="shared" si="84"/>
        <v>50000</v>
      </c>
      <c r="Z125" s="437">
        <f t="shared" si="84"/>
        <v>50000</v>
      </c>
      <c r="AA125" s="437">
        <f t="shared" si="84"/>
        <v>50000</v>
      </c>
      <c r="AB125" s="437">
        <f t="shared" si="84"/>
        <v>50000</v>
      </c>
      <c r="AC125" s="437">
        <f t="shared" si="84"/>
        <v>50000</v>
      </c>
      <c r="AD125" s="437">
        <f t="shared" si="84"/>
        <v>50000</v>
      </c>
      <c r="AE125" s="437">
        <f t="shared" si="84"/>
        <v>0</v>
      </c>
      <c r="AF125" s="437">
        <f t="shared" si="84"/>
        <v>0</v>
      </c>
      <c r="AG125" s="437">
        <f t="shared" si="84"/>
        <v>0</v>
      </c>
    </row>
    <row r="126" spans="1:33" ht="15.75" customHeight="1" outlineLevel="2">
      <c r="A126" s="894"/>
      <c r="B126" s="765"/>
      <c r="C126" s="435" t="s">
        <v>616</v>
      </c>
      <c r="D126" s="436" t="str">
        <f t="shared" si="83"/>
        <v>USD</v>
      </c>
      <c r="E126" s="767"/>
      <c r="F126" s="767"/>
      <c r="G126" s="767"/>
      <c r="H126" s="767"/>
      <c r="I126" s="242">
        <f>SUM(J126:AG126)</f>
        <v>60000</v>
      </c>
      <c r="J126" s="437">
        <f t="shared" ref="J126:AG126" si="85">J54*J$6</f>
        <v>0</v>
      </c>
      <c r="K126" s="437">
        <f t="shared" si="85"/>
        <v>60000</v>
      </c>
      <c r="L126" s="437">
        <f t="shared" si="85"/>
        <v>0</v>
      </c>
      <c r="M126" s="437">
        <f t="shared" si="85"/>
        <v>0</v>
      </c>
      <c r="N126" s="437">
        <f t="shared" si="85"/>
        <v>0</v>
      </c>
      <c r="O126" s="437">
        <f t="shared" si="85"/>
        <v>0</v>
      </c>
      <c r="P126" s="437">
        <f t="shared" si="85"/>
        <v>0</v>
      </c>
      <c r="Q126" s="437">
        <f t="shared" si="85"/>
        <v>0</v>
      </c>
      <c r="R126" s="437">
        <f t="shared" si="85"/>
        <v>0</v>
      </c>
      <c r="S126" s="437">
        <f t="shared" si="85"/>
        <v>0</v>
      </c>
      <c r="T126" s="437">
        <f t="shared" si="85"/>
        <v>0</v>
      </c>
      <c r="U126" s="437">
        <f t="shared" si="85"/>
        <v>0</v>
      </c>
      <c r="V126" s="437">
        <f t="shared" si="85"/>
        <v>0</v>
      </c>
      <c r="W126" s="437">
        <f t="shared" si="85"/>
        <v>0</v>
      </c>
      <c r="X126" s="437">
        <f t="shared" si="85"/>
        <v>0</v>
      </c>
      <c r="Y126" s="437">
        <f t="shared" si="85"/>
        <v>0</v>
      </c>
      <c r="Z126" s="437">
        <f t="shared" si="85"/>
        <v>0</v>
      </c>
      <c r="AA126" s="437">
        <f t="shared" si="85"/>
        <v>0</v>
      </c>
      <c r="AB126" s="437">
        <f t="shared" si="85"/>
        <v>0</v>
      </c>
      <c r="AC126" s="437">
        <f t="shared" si="85"/>
        <v>0</v>
      </c>
      <c r="AD126" s="437">
        <f t="shared" si="85"/>
        <v>0</v>
      </c>
      <c r="AE126" s="437">
        <f t="shared" si="85"/>
        <v>0</v>
      </c>
      <c r="AF126" s="437">
        <f t="shared" si="85"/>
        <v>0</v>
      </c>
      <c r="AG126" s="437">
        <f t="shared" si="85"/>
        <v>0</v>
      </c>
    </row>
    <row r="127" spans="1:33" ht="15.75" customHeight="1" outlineLevel="2">
      <c r="A127" s="894"/>
      <c r="B127" s="765"/>
      <c r="C127" s="435" t="s">
        <v>617</v>
      </c>
      <c r="D127" s="436" t="str">
        <f t="shared" si="83"/>
        <v>USD</v>
      </c>
      <c r="E127" s="767"/>
      <c r="F127" s="767"/>
      <c r="G127" s="767"/>
      <c r="H127" s="767"/>
      <c r="I127" s="242">
        <f>SUM(J127:AG127)</f>
        <v>-10000</v>
      </c>
      <c r="J127" s="437">
        <f t="shared" ref="J127:AG127" si="86">J55*J$6</f>
        <v>0</v>
      </c>
      <c r="K127" s="437">
        <f t="shared" si="86"/>
        <v>0</v>
      </c>
      <c r="L127" s="437">
        <f t="shared" si="86"/>
        <v>0</v>
      </c>
      <c r="M127" s="437">
        <f t="shared" si="86"/>
        <v>0</v>
      </c>
      <c r="N127" s="437">
        <f t="shared" si="86"/>
        <v>0</v>
      </c>
      <c r="O127" s="437">
        <f t="shared" si="86"/>
        <v>0</v>
      </c>
      <c r="P127" s="437">
        <f t="shared" si="86"/>
        <v>0</v>
      </c>
      <c r="Q127" s="437">
        <f t="shared" si="86"/>
        <v>0</v>
      </c>
      <c r="R127" s="437">
        <f t="shared" si="86"/>
        <v>0</v>
      </c>
      <c r="S127" s="437">
        <f t="shared" si="86"/>
        <v>0</v>
      </c>
      <c r="T127" s="437">
        <f t="shared" si="86"/>
        <v>0</v>
      </c>
      <c r="U127" s="437">
        <f t="shared" si="86"/>
        <v>0</v>
      </c>
      <c r="V127" s="437">
        <f t="shared" si="86"/>
        <v>0</v>
      </c>
      <c r="W127" s="437">
        <f t="shared" si="86"/>
        <v>0</v>
      </c>
      <c r="X127" s="437">
        <f t="shared" si="86"/>
        <v>-10000</v>
      </c>
      <c r="Y127" s="437">
        <f t="shared" si="86"/>
        <v>0</v>
      </c>
      <c r="Z127" s="437">
        <f t="shared" si="86"/>
        <v>0</v>
      </c>
      <c r="AA127" s="437">
        <f t="shared" si="86"/>
        <v>0</v>
      </c>
      <c r="AB127" s="437">
        <f t="shared" si="86"/>
        <v>0</v>
      </c>
      <c r="AC127" s="437">
        <f t="shared" si="86"/>
        <v>0</v>
      </c>
      <c r="AD127" s="437">
        <f t="shared" si="86"/>
        <v>0</v>
      </c>
      <c r="AE127" s="437">
        <f t="shared" si="86"/>
        <v>0</v>
      </c>
      <c r="AF127" s="437">
        <f t="shared" si="86"/>
        <v>0</v>
      </c>
      <c r="AG127" s="437">
        <f t="shared" si="86"/>
        <v>0</v>
      </c>
    </row>
    <row r="128" spans="1:33" ht="15.75" customHeight="1" outlineLevel="2" thickBot="1">
      <c r="A128" s="894"/>
      <c r="B128" s="765"/>
      <c r="C128" s="435" t="s">
        <v>141</v>
      </c>
      <c r="D128" s="436" t="str">
        <f t="shared" si="83"/>
        <v>USD</v>
      </c>
      <c r="E128" s="825" t="s">
        <v>496</v>
      </c>
      <c r="F128" s="825" t="s">
        <v>497</v>
      </c>
      <c r="G128" s="767"/>
      <c r="H128" s="767"/>
      <c r="I128" s="826"/>
      <c r="J128" s="524">
        <f t="shared" ref="J128:AG128" si="87">IF(ABS(SUM(J125:J127))&lt;0.001,0,SUM(J125:J127))*J$6</f>
        <v>0</v>
      </c>
      <c r="K128" s="524">
        <f t="shared" si="87"/>
        <v>60000</v>
      </c>
      <c r="L128" s="524">
        <f t="shared" si="87"/>
        <v>60000</v>
      </c>
      <c r="M128" s="524">
        <f t="shared" si="87"/>
        <v>60000</v>
      </c>
      <c r="N128" s="524">
        <f t="shared" si="87"/>
        <v>60000</v>
      </c>
      <c r="O128" s="524">
        <f t="shared" si="87"/>
        <v>60000</v>
      </c>
      <c r="P128" s="524">
        <f t="shared" si="87"/>
        <v>60000</v>
      </c>
      <c r="Q128" s="524">
        <f t="shared" si="87"/>
        <v>60000</v>
      </c>
      <c r="R128" s="524">
        <f t="shared" si="87"/>
        <v>60000</v>
      </c>
      <c r="S128" s="524">
        <f t="shared" si="87"/>
        <v>60000</v>
      </c>
      <c r="T128" s="524">
        <f t="shared" si="87"/>
        <v>60000</v>
      </c>
      <c r="U128" s="524">
        <f t="shared" si="87"/>
        <v>60000</v>
      </c>
      <c r="V128" s="524">
        <f t="shared" si="87"/>
        <v>60000</v>
      </c>
      <c r="W128" s="524">
        <f t="shared" si="87"/>
        <v>60000</v>
      </c>
      <c r="X128" s="524">
        <f t="shared" si="87"/>
        <v>50000</v>
      </c>
      <c r="Y128" s="524">
        <f t="shared" si="87"/>
        <v>50000</v>
      </c>
      <c r="Z128" s="524">
        <f t="shared" si="87"/>
        <v>50000</v>
      </c>
      <c r="AA128" s="524">
        <f t="shared" si="87"/>
        <v>50000</v>
      </c>
      <c r="AB128" s="524">
        <f t="shared" si="87"/>
        <v>50000</v>
      </c>
      <c r="AC128" s="524">
        <f t="shared" si="87"/>
        <v>50000</v>
      </c>
      <c r="AD128" s="524">
        <f t="shared" si="87"/>
        <v>50000</v>
      </c>
      <c r="AE128" s="524">
        <f t="shared" si="87"/>
        <v>0</v>
      </c>
      <c r="AF128" s="524">
        <f t="shared" si="87"/>
        <v>0</v>
      </c>
      <c r="AG128" s="524">
        <f t="shared" si="87"/>
        <v>0</v>
      </c>
    </row>
    <row r="129" spans="1:33" ht="15.75" customHeight="1" outlineLevel="2" thickTop="1">
      <c r="A129" s="894"/>
      <c r="B129" s="827">
        <f>IF(B130=1,0,1)</f>
        <v>1</v>
      </c>
      <c r="C129" s="767" t="s">
        <v>623</v>
      </c>
      <c r="D129" s="436" t="str">
        <f t="shared" si="83"/>
        <v>USD</v>
      </c>
      <c r="E129" s="828">
        <f>Inputs!F125</f>
        <v>0.05</v>
      </c>
      <c r="F129" s="829">
        <f>E129/months_yr</f>
        <v>4.1666666666666666E-3</v>
      </c>
      <c r="G129" s="767"/>
      <c r="H129" s="767"/>
      <c r="I129" s="242">
        <f>SUM(J129:AG129)</f>
        <v>4500</v>
      </c>
      <c r="J129" s="437">
        <f t="shared" ref="J129:AG129" si="88">$F129*J125</f>
        <v>0</v>
      </c>
      <c r="K129" s="437">
        <f t="shared" si="88"/>
        <v>0</v>
      </c>
      <c r="L129" s="437">
        <f t="shared" si="88"/>
        <v>250</v>
      </c>
      <c r="M129" s="437">
        <f t="shared" si="88"/>
        <v>250</v>
      </c>
      <c r="N129" s="437">
        <f t="shared" si="88"/>
        <v>250</v>
      </c>
      <c r="O129" s="437">
        <f t="shared" si="88"/>
        <v>250</v>
      </c>
      <c r="P129" s="437">
        <f t="shared" si="88"/>
        <v>250</v>
      </c>
      <c r="Q129" s="437">
        <f t="shared" si="88"/>
        <v>250</v>
      </c>
      <c r="R129" s="437">
        <f t="shared" si="88"/>
        <v>250</v>
      </c>
      <c r="S129" s="437">
        <f t="shared" si="88"/>
        <v>250</v>
      </c>
      <c r="T129" s="437">
        <f t="shared" si="88"/>
        <v>250</v>
      </c>
      <c r="U129" s="437">
        <f t="shared" si="88"/>
        <v>250</v>
      </c>
      <c r="V129" s="437">
        <f t="shared" si="88"/>
        <v>250</v>
      </c>
      <c r="W129" s="437">
        <f t="shared" si="88"/>
        <v>250</v>
      </c>
      <c r="X129" s="437">
        <f t="shared" si="88"/>
        <v>250</v>
      </c>
      <c r="Y129" s="437">
        <f t="shared" si="88"/>
        <v>208.33333333333334</v>
      </c>
      <c r="Z129" s="437">
        <f t="shared" si="88"/>
        <v>208.33333333333334</v>
      </c>
      <c r="AA129" s="437">
        <f t="shared" si="88"/>
        <v>208.33333333333334</v>
      </c>
      <c r="AB129" s="437">
        <f t="shared" si="88"/>
        <v>208.33333333333334</v>
      </c>
      <c r="AC129" s="437">
        <f t="shared" si="88"/>
        <v>208.33333333333334</v>
      </c>
      <c r="AD129" s="437">
        <f t="shared" si="88"/>
        <v>208.33333333333334</v>
      </c>
      <c r="AE129" s="437">
        <f t="shared" si="88"/>
        <v>0</v>
      </c>
      <c r="AF129" s="437">
        <f t="shared" si="88"/>
        <v>0</v>
      </c>
      <c r="AG129" s="437">
        <f t="shared" si="88"/>
        <v>0</v>
      </c>
    </row>
    <row r="130" spans="1:33" ht="15.75" customHeight="1" outlineLevel="2">
      <c r="A130" s="894"/>
      <c r="B130" s="827">
        <f>Inputs!F124</f>
        <v>0</v>
      </c>
      <c r="C130" s="767" t="s">
        <v>624</v>
      </c>
      <c r="D130" s="436" t="str">
        <f t="shared" si="83"/>
        <v>USD</v>
      </c>
      <c r="E130" s="767"/>
      <c r="F130" s="767"/>
      <c r="G130" s="767"/>
      <c r="H130" s="767"/>
      <c r="I130" s="242">
        <f>SUM(J130:AG130)</f>
        <v>0</v>
      </c>
      <c r="J130" s="451"/>
      <c r="K130" s="451"/>
      <c r="L130" s="451"/>
      <c r="M130" s="451"/>
      <c r="N130" s="451"/>
      <c r="O130" s="451"/>
      <c r="P130" s="451"/>
      <c r="Q130" s="451"/>
      <c r="R130" s="451"/>
      <c r="S130" s="451"/>
      <c r="T130" s="451"/>
      <c r="U130" s="451"/>
      <c r="V130" s="451"/>
      <c r="W130" s="451"/>
      <c r="X130" s="451"/>
      <c r="Y130" s="451"/>
      <c r="Z130" s="451"/>
      <c r="AA130" s="451"/>
      <c r="AB130" s="451"/>
      <c r="AC130" s="451"/>
      <c r="AD130" s="451"/>
      <c r="AE130" s="451"/>
      <c r="AF130" s="451"/>
      <c r="AG130" s="451"/>
    </row>
    <row r="131" spans="1:33" ht="15.75" customHeight="1" outlineLevel="2">
      <c r="A131" s="894"/>
      <c r="B131" s="765"/>
      <c r="C131" s="767" t="s">
        <v>625</v>
      </c>
      <c r="D131" s="436" t="str">
        <f t="shared" si="83"/>
        <v>USD</v>
      </c>
      <c r="E131" s="767"/>
      <c r="F131" s="767"/>
      <c r="G131" s="767"/>
      <c r="H131" s="767"/>
      <c r="I131" s="242">
        <f>SUM(J131:AG131)</f>
        <v>4500</v>
      </c>
      <c r="J131" s="530">
        <f t="shared" ref="J131:AG131" si="89">SUMPRODUCT(($B129:$B130)*(J129:J130))*J$6</f>
        <v>0</v>
      </c>
      <c r="K131" s="530">
        <f t="shared" si="89"/>
        <v>0</v>
      </c>
      <c r="L131" s="530">
        <f t="shared" si="89"/>
        <v>250</v>
      </c>
      <c r="M131" s="530">
        <f t="shared" si="89"/>
        <v>250</v>
      </c>
      <c r="N131" s="530">
        <f t="shared" si="89"/>
        <v>250</v>
      </c>
      <c r="O131" s="530">
        <f t="shared" si="89"/>
        <v>250</v>
      </c>
      <c r="P131" s="530">
        <f t="shared" si="89"/>
        <v>250</v>
      </c>
      <c r="Q131" s="530">
        <f t="shared" si="89"/>
        <v>250</v>
      </c>
      <c r="R131" s="530">
        <f t="shared" si="89"/>
        <v>250</v>
      </c>
      <c r="S131" s="530">
        <f t="shared" si="89"/>
        <v>250</v>
      </c>
      <c r="T131" s="530">
        <f t="shared" si="89"/>
        <v>250</v>
      </c>
      <c r="U131" s="530">
        <f t="shared" si="89"/>
        <v>250</v>
      </c>
      <c r="V131" s="530">
        <f t="shared" si="89"/>
        <v>250</v>
      </c>
      <c r="W131" s="530">
        <f t="shared" si="89"/>
        <v>250</v>
      </c>
      <c r="X131" s="530">
        <f t="shared" si="89"/>
        <v>250</v>
      </c>
      <c r="Y131" s="530">
        <f t="shared" si="89"/>
        <v>208.33333333333334</v>
      </c>
      <c r="Z131" s="530">
        <f t="shared" si="89"/>
        <v>208.33333333333334</v>
      </c>
      <c r="AA131" s="530">
        <f t="shared" si="89"/>
        <v>208.33333333333334</v>
      </c>
      <c r="AB131" s="530">
        <f t="shared" si="89"/>
        <v>208.33333333333334</v>
      </c>
      <c r="AC131" s="530">
        <f t="shared" si="89"/>
        <v>208.33333333333334</v>
      </c>
      <c r="AD131" s="530">
        <f t="shared" si="89"/>
        <v>208.33333333333334</v>
      </c>
      <c r="AE131" s="530">
        <f t="shared" si="89"/>
        <v>0</v>
      </c>
      <c r="AF131" s="530">
        <f t="shared" si="89"/>
        <v>0</v>
      </c>
      <c r="AG131" s="530">
        <f t="shared" si="89"/>
        <v>0</v>
      </c>
    </row>
    <row r="132" spans="1:33" s="203" customFormat="1" ht="15.75" customHeight="1" outlineLevel="2">
      <c r="A132" s="894"/>
      <c r="B132" s="512"/>
      <c r="C132" s="257" t="str">
        <f>"Financing Fees "&amp;C124</f>
        <v>Financing Fees Debt 3: UBS</v>
      </c>
      <c r="D132" s="436" t="str">
        <f t="shared" si="83"/>
        <v>USD</v>
      </c>
      <c r="E132" s="767"/>
      <c r="F132" s="767"/>
      <c r="G132" s="767"/>
      <c r="H132" s="767"/>
      <c r="I132" s="242">
        <f>SUMPRODUCT((J$6:AG$6),(J132:AG132))</f>
        <v>1500</v>
      </c>
      <c r="J132" s="451"/>
      <c r="K132" s="451">
        <v>1500</v>
      </c>
      <c r="L132" s="451"/>
      <c r="M132" s="451"/>
      <c r="N132" s="451"/>
      <c r="O132" s="451"/>
      <c r="P132" s="451"/>
      <c r="Q132" s="451"/>
      <c r="R132" s="451"/>
      <c r="S132" s="451"/>
      <c r="T132" s="451"/>
      <c r="U132" s="451"/>
      <c r="V132" s="451"/>
      <c r="W132" s="451"/>
      <c r="X132" s="451"/>
      <c r="Y132" s="451"/>
      <c r="Z132" s="451"/>
      <c r="AA132" s="451"/>
      <c r="AB132" s="451"/>
      <c r="AC132" s="451"/>
      <c r="AD132" s="451"/>
      <c r="AE132" s="451"/>
      <c r="AF132" s="451"/>
      <c r="AG132" s="451"/>
    </row>
    <row r="133" spans="1:33" ht="15.75" customHeight="1" outlineLevel="2">
      <c r="A133" s="894"/>
      <c r="B133" s="765"/>
      <c r="C133" s="765"/>
      <c r="D133" s="765"/>
      <c r="E133" s="765"/>
      <c r="F133" s="765"/>
      <c r="G133" s="765"/>
      <c r="H133" s="765"/>
      <c r="I133" s="765"/>
      <c r="J133" s="765"/>
      <c r="K133" s="765"/>
      <c r="L133" s="765"/>
      <c r="M133" s="765"/>
      <c r="N133" s="765"/>
      <c r="O133" s="765"/>
      <c r="P133" s="765"/>
      <c r="Q133" s="765"/>
      <c r="R133" s="765"/>
      <c r="S133" s="765"/>
      <c r="T133" s="765"/>
      <c r="U133" s="765"/>
      <c r="V133" s="765"/>
      <c r="W133" s="765"/>
      <c r="X133" s="765"/>
      <c r="Y133" s="765"/>
      <c r="Z133" s="765"/>
      <c r="AA133" s="765"/>
      <c r="AB133" s="765"/>
      <c r="AC133" s="765"/>
      <c r="AD133" s="765"/>
      <c r="AE133" s="765"/>
      <c r="AF133" s="765"/>
      <c r="AG133" s="765"/>
    </row>
    <row r="134" spans="1:33" ht="21" customHeight="1" outlineLevel="1">
      <c r="A134" s="894"/>
      <c r="B134" s="423" t="s">
        <v>45</v>
      </c>
      <c r="C134" s="423" t="str">
        <f>"Debt 4: "&amp;Inputs!$F$128</f>
        <v>Debt 4: Shareholder Loan</v>
      </c>
      <c r="D134" s="734"/>
      <c r="E134" s="765"/>
      <c r="F134" s="765"/>
      <c r="G134" s="765"/>
      <c r="H134" s="765"/>
      <c r="I134" s="765"/>
      <c r="J134" s="765"/>
      <c r="K134" s="765"/>
      <c r="L134" s="765"/>
      <c r="M134" s="765"/>
      <c r="N134" s="765"/>
      <c r="O134" s="765"/>
      <c r="P134" s="765"/>
      <c r="Q134" s="765"/>
      <c r="R134" s="765"/>
      <c r="S134" s="765"/>
      <c r="T134" s="765"/>
      <c r="U134" s="765"/>
      <c r="V134" s="765"/>
      <c r="W134" s="765"/>
      <c r="X134" s="765"/>
      <c r="Y134" s="765"/>
      <c r="Z134" s="765"/>
      <c r="AA134" s="765"/>
      <c r="AB134" s="765"/>
      <c r="AC134" s="765"/>
      <c r="AD134" s="765"/>
      <c r="AE134" s="765"/>
      <c r="AF134" s="765"/>
      <c r="AG134" s="765"/>
    </row>
    <row r="135" spans="1:33" ht="15.75" customHeight="1" outlineLevel="2">
      <c r="A135" s="894"/>
      <c r="B135" s="765"/>
      <c r="C135" s="435" t="s">
        <v>140</v>
      </c>
      <c r="D135" s="436" t="str">
        <f t="shared" ref="D135:D142" si="90">Currency_Label</f>
        <v>USD</v>
      </c>
      <c r="E135" s="767"/>
      <c r="F135" s="767"/>
      <c r="G135" s="767"/>
      <c r="H135" s="767"/>
      <c r="I135" s="767"/>
      <c r="J135" s="437">
        <f t="shared" ref="J135:AG135" si="91">I138*J$6</f>
        <v>0</v>
      </c>
      <c r="K135" s="437">
        <f t="shared" si="91"/>
        <v>0</v>
      </c>
      <c r="L135" s="437">
        <f t="shared" si="91"/>
        <v>7500</v>
      </c>
      <c r="M135" s="437">
        <f t="shared" si="91"/>
        <v>7500</v>
      </c>
      <c r="N135" s="437">
        <f t="shared" si="91"/>
        <v>7500</v>
      </c>
      <c r="O135" s="437">
        <f t="shared" si="91"/>
        <v>7500</v>
      </c>
      <c r="P135" s="437">
        <f t="shared" si="91"/>
        <v>7500</v>
      </c>
      <c r="Q135" s="437">
        <f t="shared" si="91"/>
        <v>7500</v>
      </c>
      <c r="R135" s="437">
        <f t="shared" si="91"/>
        <v>7500</v>
      </c>
      <c r="S135" s="437">
        <f t="shared" si="91"/>
        <v>7500</v>
      </c>
      <c r="T135" s="437">
        <f t="shared" si="91"/>
        <v>7500</v>
      </c>
      <c r="U135" s="437">
        <f t="shared" si="91"/>
        <v>7500</v>
      </c>
      <c r="V135" s="437">
        <f t="shared" si="91"/>
        <v>7500</v>
      </c>
      <c r="W135" s="437">
        <f t="shared" si="91"/>
        <v>7500</v>
      </c>
      <c r="X135" s="437">
        <f t="shared" si="91"/>
        <v>7500</v>
      </c>
      <c r="Y135" s="437">
        <f t="shared" si="91"/>
        <v>7500</v>
      </c>
      <c r="Z135" s="437">
        <f t="shared" si="91"/>
        <v>0</v>
      </c>
      <c r="AA135" s="437">
        <f t="shared" si="91"/>
        <v>0</v>
      </c>
      <c r="AB135" s="437">
        <f t="shared" si="91"/>
        <v>0</v>
      </c>
      <c r="AC135" s="437">
        <f t="shared" si="91"/>
        <v>0</v>
      </c>
      <c r="AD135" s="437">
        <f t="shared" si="91"/>
        <v>0</v>
      </c>
      <c r="AE135" s="437">
        <f t="shared" si="91"/>
        <v>0</v>
      </c>
      <c r="AF135" s="437">
        <f t="shared" si="91"/>
        <v>0</v>
      </c>
      <c r="AG135" s="437">
        <f t="shared" si="91"/>
        <v>0</v>
      </c>
    </row>
    <row r="136" spans="1:33" ht="15.75" customHeight="1" outlineLevel="2">
      <c r="A136" s="894"/>
      <c r="B136" s="765"/>
      <c r="C136" s="435" t="s">
        <v>616</v>
      </c>
      <c r="D136" s="436" t="str">
        <f t="shared" si="90"/>
        <v>USD</v>
      </c>
      <c r="E136" s="767"/>
      <c r="F136" s="767"/>
      <c r="G136" s="767"/>
      <c r="H136" s="767"/>
      <c r="I136" s="242">
        <f>SUM(J136:AG136)</f>
        <v>7500</v>
      </c>
      <c r="J136" s="437">
        <f t="shared" ref="J136:AG136" si="92">J59*J$6</f>
        <v>0</v>
      </c>
      <c r="K136" s="437">
        <f t="shared" si="92"/>
        <v>7500</v>
      </c>
      <c r="L136" s="437">
        <f t="shared" si="92"/>
        <v>0</v>
      </c>
      <c r="M136" s="437">
        <f t="shared" si="92"/>
        <v>0</v>
      </c>
      <c r="N136" s="437">
        <f t="shared" si="92"/>
        <v>0</v>
      </c>
      <c r="O136" s="437">
        <f t="shared" si="92"/>
        <v>0</v>
      </c>
      <c r="P136" s="437">
        <f t="shared" si="92"/>
        <v>0</v>
      </c>
      <c r="Q136" s="437">
        <f t="shared" si="92"/>
        <v>0</v>
      </c>
      <c r="R136" s="437">
        <f t="shared" si="92"/>
        <v>0</v>
      </c>
      <c r="S136" s="437">
        <f t="shared" si="92"/>
        <v>0</v>
      </c>
      <c r="T136" s="437">
        <f t="shared" si="92"/>
        <v>0</v>
      </c>
      <c r="U136" s="437">
        <f t="shared" si="92"/>
        <v>0</v>
      </c>
      <c r="V136" s="437">
        <f t="shared" si="92"/>
        <v>0</v>
      </c>
      <c r="W136" s="437">
        <f t="shared" si="92"/>
        <v>0</v>
      </c>
      <c r="X136" s="437">
        <f t="shared" si="92"/>
        <v>0</v>
      </c>
      <c r="Y136" s="437">
        <f t="shared" si="92"/>
        <v>0</v>
      </c>
      <c r="Z136" s="437">
        <f t="shared" si="92"/>
        <v>0</v>
      </c>
      <c r="AA136" s="437">
        <f t="shared" si="92"/>
        <v>0</v>
      </c>
      <c r="AB136" s="437">
        <f t="shared" si="92"/>
        <v>0</v>
      </c>
      <c r="AC136" s="437">
        <f t="shared" si="92"/>
        <v>0</v>
      </c>
      <c r="AD136" s="437">
        <f t="shared" si="92"/>
        <v>0</v>
      </c>
      <c r="AE136" s="437">
        <f t="shared" si="92"/>
        <v>0</v>
      </c>
      <c r="AF136" s="437">
        <f t="shared" si="92"/>
        <v>0</v>
      </c>
      <c r="AG136" s="437">
        <f t="shared" si="92"/>
        <v>0</v>
      </c>
    </row>
    <row r="137" spans="1:33" ht="15.75" customHeight="1" outlineLevel="2">
      <c r="A137" s="894"/>
      <c r="B137" s="765"/>
      <c r="C137" s="435" t="s">
        <v>617</v>
      </c>
      <c r="D137" s="436" t="str">
        <f t="shared" si="90"/>
        <v>USD</v>
      </c>
      <c r="E137" s="767"/>
      <c r="F137" s="767"/>
      <c r="G137" s="767"/>
      <c r="H137" s="767"/>
      <c r="I137" s="242">
        <f>SUM(J137:AG137)</f>
        <v>-7500</v>
      </c>
      <c r="J137" s="437">
        <f t="shared" ref="J137:AG137" si="93">J60*J$6</f>
        <v>0</v>
      </c>
      <c r="K137" s="437">
        <f t="shared" si="93"/>
        <v>0</v>
      </c>
      <c r="L137" s="437">
        <f t="shared" si="93"/>
        <v>0</v>
      </c>
      <c r="M137" s="437">
        <f t="shared" si="93"/>
        <v>0</v>
      </c>
      <c r="N137" s="437">
        <f t="shared" si="93"/>
        <v>0</v>
      </c>
      <c r="O137" s="437">
        <f t="shared" si="93"/>
        <v>0</v>
      </c>
      <c r="P137" s="437">
        <f t="shared" si="93"/>
        <v>0</v>
      </c>
      <c r="Q137" s="437">
        <f t="shared" si="93"/>
        <v>0</v>
      </c>
      <c r="R137" s="437">
        <f t="shared" si="93"/>
        <v>0</v>
      </c>
      <c r="S137" s="437">
        <f t="shared" si="93"/>
        <v>0</v>
      </c>
      <c r="T137" s="437">
        <f t="shared" si="93"/>
        <v>0</v>
      </c>
      <c r="U137" s="437">
        <f t="shared" si="93"/>
        <v>0</v>
      </c>
      <c r="V137" s="437">
        <f t="shared" si="93"/>
        <v>0</v>
      </c>
      <c r="W137" s="437">
        <f t="shared" si="93"/>
        <v>0</v>
      </c>
      <c r="X137" s="437">
        <f t="shared" si="93"/>
        <v>0</v>
      </c>
      <c r="Y137" s="437">
        <f t="shared" si="93"/>
        <v>-7500</v>
      </c>
      <c r="Z137" s="437">
        <f t="shared" si="93"/>
        <v>0</v>
      </c>
      <c r="AA137" s="437">
        <f t="shared" si="93"/>
        <v>0</v>
      </c>
      <c r="AB137" s="437">
        <f t="shared" si="93"/>
        <v>0</v>
      </c>
      <c r="AC137" s="437">
        <f t="shared" si="93"/>
        <v>0</v>
      </c>
      <c r="AD137" s="437">
        <f t="shared" si="93"/>
        <v>0</v>
      </c>
      <c r="AE137" s="437">
        <f t="shared" si="93"/>
        <v>0</v>
      </c>
      <c r="AF137" s="437">
        <f t="shared" si="93"/>
        <v>0</v>
      </c>
      <c r="AG137" s="437">
        <f t="shared" si="93"/>
        <v>0</v>
      </c>
    </row>
    <row r="138" spans="1:33" ht="15.75" customHeight="1" outlineLevel="2" thickBot="1">
      <c r="A138" s="894"/>
      <c r="B138" s="765"/>
      <c r="C138" s="435" t="s">
        <v>141</v>
      </c>
      <c r="D138" s="436" t="str">
        <f t="shared" si="90"/>
        <v>USD</v>
      </c>
      <c r="E138" s="825" t="s">
        <v>496</v>
      </c>
      <c r="F138" s="825" t="s">
        <v>497</v>
      </c>
      <c r="G138" s="767"/>
      <c r="H138" s="767"/>
      <c r="I138" s="826"/>
      <c r="J138" s="524">
        <f t="shared" ref="J138:AG138" si="94">IF(ABS(SUM(J135:J137))&lt;0.001,0,SUM(J135:J137))*J$6</f>
        <v>0</v>
      </c>
      <c r="K138" s="524">
        <f t="shared" si="94"/>
        <v>7500</v>
      </c>
      <c r="L138" s="524">
        <f t="shared" si="94"/>
        <v>7500</v>
      </c>
      <c r="M138" s="524">
        <f t="shared" si="94"/>
        <v>7500</v>
      </c>
      <c r="N138" s="524">
        <f t="shared" si="94"/>
        <v>7500</v>
      </c>
      <c r="O138" s="524">
        <f t="shared" si="94"/>
        <v>7500</v>
      </c>
      <c r="P138" s="524">
        <f t="shared" si="94"/>
        <v>7500</v>
      </c>
      <c r="Q138" s="524">
        <f t="shared" si="94"/>
        <v>7500</v>
      </c>
      <c r="R138" s="524">
        <f t="shared" si="94"/>
        <v>7500</v>
      </c>
      <c r="S138" s="524">
        <f t="shared" si="94"/>
        <v>7500</v>
      </c>
      <c r="T138" s="524">
        <f t="shared" si="94"/>
        <v>7500</v>
      </c>
      <c r="U138" s="524">
        <f t="shared" si="94"/>
        <v>7500</v>
      </c>
      <c r="V138" s="524">
        <f t="shared" si="94"/>
        <v>7500</v>
      </c>
      <c r="W138" s="524">
        <f t="shared" si="94"/>
        <v>7500</v>
      </c>
      <c r="X138" s="524">
        <f t="shared" si="94"/>
        <v>7500</v>
      </c>
      <c r="Y138" s="524">
        <f t="shared" si="94"/>
        <v>0</v>
      </c>
      <c r="Z138" s="524">
        <f t="shared" si="94"/>
        <v>0</v>
      </c>
      <c r="AA138" s="524">
        <f t="shared" si="94"/>
        <v>0</v>
      </c>
      <c r="AB138" s="524">
        <f t="shared" si="94"/>
        <v>0</v>
      </c>
      <c r="AC138" s="524">
        <f t="shared" si="94"/>
        <v>0</v>
      </c>
      <c r="AD138" s="524">
        <f t="shared" si="94"/>
        <v>0</v>
      </c>
      <c r="AE138" s="524">
        <f t="shared" si="94"/>
        <v>0</v>
      </c>
      <c r="AF138" s="524">
        <f t="shared" si="94"/>
        <v>0</v>
      </c>
      <c r="AG138" s="524">
        <f t="shared" si="94"/>
        <v>0</v>
      </c>
    </row>
    <row r="139" spans="1:33" ht="15.75" customHeight="1" outlineLevel="2" thickTop="1">
      <c r="A139" s="894"/>
      <c r="B139" s="827">
        <f>IF(B140=1,0,1)</f>
        <v>1</v>
      </c>
      <c r="C139" s="767" t="s">
        <v>623</v>
      </c>
      <c r="D139" s="436" t="str">
        <f t="shared" si="90"/>
        <v>USD</v>
      </c>
      <c r="E139" s="828">
        <f>Inputs!F130</f>
        <v>0.01</v>
      </c>
      <c r="F139" s="829">
        <f>E139/months_yr</f>
        <v>8.3333333333333339E-4</v>
      </c>
      <c r="G139" s="767"/>
      <c r="H139" s="767"/>
      <c r="I139" s="242">
        <f>SUM(J139:AG139)</f>
        <v>87.5</v>
      </c>
      <c r="J139" s="437">
        <f t="shared" ref="J139:AG139" si="95">$F139*J135</f>
        <v>0</v>
      </c>
      <c r="K139" s="437">
        <f t="shared" si="95"/>
        <v>0</v>
      </c>
      <c r="L139" s="437">
        <f t="shared" si="95"/>
        <v>6.25</v>
      </c>
      <c r="M139" s="437">
        <f t="shared" si="95"/>
        <v>6.25</v>
      </c>
      <c r="N139" s="437">
        <f t="shared" si="95"/>
        <v>6.25</v>
      </c>
      <c r="O139" s="437">
        <f t="shared" si="95"/>
        <v>6.25</v>
      </c>
      <c r="P139" s="437">
        <f t="shared" si="95"/>
        <v>6.25</v>
      </c>
      <c r="Q139" s="437">
        <f t="shared" si="95"/>
        <v>6.25</v>
      </c>
      <c r="R139" s="437">
        <f t="shared" si="95"/>
        <v>6.25</v>
      </c>
      <c r="S139" s="437">
        <f t="shared" si="95"/>
        <v>6.25</v>
      </c>
      <c r="T139" s="437">
        <f t="shared" si="95"/>
        <v>6.25</v>
      </c>
      <c r="U139" s="437">
        <f t="shared" si="95"/>
        <v>6.25</v>
      </c>
      <c r="V139" s="437">
        <f t="shared" si="95"/>
        <v>6.25</v>
      </c>
      <c r="W139" s="437">
        <f t="shared" si="95"/>
        <v>6.25</v>
      </c>
      <c r="X139" s="437">
        <f t="shared" si="95"/>
        <v>6.25</v>
      </c>
      <c r="Y139" s="437">
        <f t="shared" si="95"/>
        <v>6.25</v>
      </c>
      <c r="Z139" s="437">
        <f t="shared" si="95"/>
        <v>0</v>
      </c>
      <c r="AA139" s="437">
        <f t="shared" si="95"/>
        <v>0</v>
      </c>
      <c r="AB139" s="437">
        <f t="shared" si="95"/>
        <v>0</v>
      </c>
      <c r="AC139" s="437">
        <f t="shared" si="95"/>
        <v>0</v>
      </c>
      <c r="AD139" s="437">
        <f t="shared" si="95"/>
        <v>0</v>
      </c>
      <c r="AE139" s="437">
        <f t="shared" si="95"/>
        <v>0</v>
      </c>
      <c r="AF139" s="437">
        <f t="shared" si="95"/>
        <v>0</v>
      </c>
      <c r="AG139" s="437">
        <f t="shared" si="95"/>
        <v>0</v>
      </c>
    </row>
    <row r="140" spans="1:33" ht="15.75" customHeight="1" outlineLevel="2">
      <c r="A140" s="894"/>
      <c r="B140" s="827">
        <f>Inputs!F129</f>
        <v>0</v>
      </c>
      <c r="C140" s="767" t="s">
        <v>624</v>
      </c>
      <c r="D140" s="436" t="str">
        <f t="shared" si="90"/>
        <v>USD</v>
      </c>
      <c r="E140" s="767"/>
      <c r="F140" s="767"/>
      <c r="G140" s="767"/>
      <c r="H140" s="767"/>
      <c r="I140" s="242">
        <f>SUM(J140:AG140)</f>
        <v>0</v>
      </c>
      <c r="J140" s="451"/>
      <c r="K140" s="451"/>
      <c r="L140" s="451"/>
      <c r="M140" s="451"/>
      <c r="N140" s="451"/>
      <c r="O140" s="451"/>
      <c r="P140" s="451"/>
      <c r="Q140" s="451"/>
      <c r="R140" s="451"/>
      <c r="S140" s="451"/>
      <c r="T140" s="451"/>
      <c r="U140" s="451"/>
      <c r="V140" s="451"/>
      <c r="W140" s="451"/>
      <c r="X140" s="451"/>
      <c r="Y140" s="451"/>
      <c r="Z140" s="451"/>
      <c r="AA140" s="451"/>
      <c r="AB140" s="451"/>
      <c r="AC140" s="451"/>
      <c r="AD140" s="451"/>
      <c r="AE140" s="451"/>
      <c r="AF140" s="451"/>
      <c r="AG140" s="451"/>
    </row>
    <row r="141" spans="1:33" ht="15.75" customHeight="1" outlineLevel="2">
      <c r="A141" s="894"/>
      <c r="B141" s="765"/>
      <c r="C141" s="767" t="s">
        <v>625</v>
      </c>
      <c r="D141" s="436" t="str">
        <f t="shared" si="90"/>
        <v>USD</v>
      </c>
      <c r="E141" s="767"/>
      <c r="F141" s="767"/>
      <c r="G141" s="767"/>
      <c r="H141" s="767"/>
      <c r="I141" s="242">
        <f>SUM(J141:AG141)</f>
        <v>87.5</v>
      </c>
      <c r="J141" s="530">
        <f t="shared" ref="J141:AG141" si="96">SUMPRODUCT(($B139:$B140)*(J139:J140))*J$6</f>
        <v>0</v>
      </c>
      <c r="K141" s="530">
        <f t="shared" si="96"/>
        <v>0</v>
      </c>
      <c r="L141" s="530">
        <f t="shared" si="96"/>
        <v>6.25</v>
      </c>
      <c r="M141" s="530">
        <f t="shared" si="96"/>
        <v>6.25</v>
      </c>
      <c r="N141" s="530">
        <f t="shared" si="96"/>
        <v>6.25</v>
      </c>
      <c r="O141" s="530">
        <f t="shared" si="96"/>
        <v>6.25</v>
      </c>
      <c r="P141" s="530">
        <f t="shared" si="96"/>
        <v>6.25</v>
      </c>
      <c r="Q141" s="530">
        <f t="shared" si="96"/>
        <v>6.25</v>
      </c>
      <c r="R141" s="530">
        <f t="shared" si="96"/>
        <v>6.25</v>
      </c>
      <c r="S141" s="530">
        <f t="shared" si="96"/>
        <v>6.25</v>
      </c>
      <c r="T141" s="530">
        <f t="shared" si="96"/>
        <v>6.25</v>
      </c>
      <c r="U141" s="530">
        <f t="shared" si="96"/>
        <v>6.25</v>
      </c>
      <c r="V141" s="530">
        <f t="shared" si="96"/>
        <v>6.25</v>
      </c>
      <c r="W141" s="530">
        <f t="shared" si="96"/>
        <v>6.25</v>
      </c>
      <c r="X141" s="530">
        <f t="shared" si="96"/>
        <v>6.25</v>
      </c>
      <c r="Y141" s="530">
        <f t="shared" si="96"/>
        <v>6.25</v>
      </c>
      <c r="Z141" s="530">
        <f t="shared" si="96"/>
        <v>0</v>
      </c>
      <c r="AA141" s="530">
        <f t="shared" si="96"/>
        <v>0</v>
      </c>
      <c r="AB141" s="530">
        <f t="shared" si="96"/>
        <v>0</v>
      </c>
      <c r="AC141" s="530">
        <f t="shared" si="96"/>
        <v>0</v>
      </c>
      <c r="AD141" s="530">
        <f t="shared" si="96"/>
        <v>0</v>
      </c>
      <c r="AE141" s="530">
        <f t="shared" si="96"/>
        <v>0</v>
      </c>
      <c r="AF141" s="530">
        <f t="shared" si="96"/>
        <v>0</v>
      </c>
      <c r="AG141" s="530">
        <f t="shared" si="96"/>
        <v>0</v>
      </c>
    </row>
    <row r="142" spans="1:33" s="203" customFormat="1" ht="15.75" customHeight="1" outlineLevel="2">
      <c r="A142" s="894"/>
      <c r="B142" s="512"/>
      <c r="C142" s="257" t="str">
        <f>"Financing Fees "&amp;C134</f>
        <v>Financing Fees Debt 4: Shareholder Loan</v>
      </c>
      <c r="D142" s="436" t="str">
        <f t="shared" si="90"/>
        <v>USD</v>
      </c>
      <c r="E142" s="767"/>
      <c r="F142" s="767"/>
      <c r="G142" s="767"/>
      <c r="H142" s="767"/>
      <c r="I142" s="242">
        <f>SUMPRODUCT((J$6:AG$6),(J142:AG142))</f>
        <v>0</v>
      </c>
      <c r="J142" s="451"/>
      <c r="K142" s="451"/>
      <c r="L142" s="451"/>
      <c r="M142" s="451"/>
      <c r="N142" s="451"/>
      <c r="O142" s="451"/>
      <c r="P142" s="451"/>
      <c r="Q142" s="451"/>
      <c r="R142" s="451"/>
      <c r="S142" s="451"/>
      <c r="T142" s="451"/>
      <c r="U142" s="451"/>
      <c r="V142" s="451"/>
      <c r="W142" s="451"/>
      <c r="X142" s="451"/>
      <c r="Y142" s="451"/>
      <c r="Z142" s="451"/>
      <c r="AA142" s="451"/>
      <c r="AB142" s="451"/>
      <c r="AC142" s="451"/>
      <c r="AD142" s="451"/>
      <c r="AE142" s="451"/>
      <c r="AF142" s="451"/>
      <c r="AG142" s="451"/>
    </row>
    <row r="143" spans="1:33" ht="15.75" customHeight="1" outlineLevel="2">
      <c r="A143" s="894"/>
      <c r="B143" s="765"/>
      <c r="C143" s="765"/>
      <c r="D143" s="765"/>
      <c r="E143" s="765"/>
      <c r="F143" s="765"/>
      <c r="G143" s="765"/>
      <c r="H143" s="765"/>
      <c r="I143" s="765"/>
      <c r="J143" s="765"/>
      <c r="K143" s="765"/>
      <c r="L143" s="765"/>
      <c r="M143" s="765"/>
      <c r="N143" s="765"/>
      <c r="O143" s="765"/>
      <c r="P143" s="765"/>
      <c r="Q143" s="765"/>
      <c r="R143" s="765"/>
      <c r="S143" s="765"/>
      <c r="T143" s="765"/>
      <c r="U143" s="765"/>
      <c r="V143" s="765"/>
      <c r="W143" s="765"/>
      <c r="X143" s="765"/>
      <c r="Y143" s="765"/>
      <c r="Z143" s="765"/>
      <c r="AA143" s="765"/>
      <c r="AB143" s="765"/>
      <c r="AC143" s="765"/>
      <c r="AD143" s="765"/>
      <c r="AE143" s="765"/>
      <c r="AF143" s="765"/>
      <c r="AG143" s="765"/>
    </row>
    <row r="144" spans="1:33" s="203" customFormat="1" ht="18" customHeight="1" outlineLevel="1">
      <c r="A144" s="894"/>
      <c r="B144" s="423" t="s">
        <v>38</v>
      </c>
      <c r="C144" s="423" t="s">
        <v>394</v>
      </c>
      <c r="D144" s="734"/>
      <c r="E144" s="765"/>
      <c r="F144" s="765"/>
      <c r="G144" s="765"/>
      <c r="H144" s="765"/>
      <c r="I144" s="765"/>
      <c r="J144" s="765"/>
      <c r="K144" s="765"/>
      <c r="L144" s="765"/>
      <c r="M144" s="765"/>
      <c r="N144" s="765"/>
      <c r="O144" s="765"/>
      <c r="P144" s="765"/>
      <c r="Q144" s="765"/>
      <c r="R144" s="765"/>
      <c r="S144" s="765"/>
      <c r="T144" s="765"/>
      <c r="U144" s="765"/>
      <c r="V144" s="765"/>
      <c r="W144" s="765"/>
      <c r="X144" s="765"/>
      <c r="Y144" s="765"/>
      <c r="Z144" s="765"/>
      <c r="AA144" s="765"/>
      <c r="AB144" s="765"/>
      <c r="AC144" s="765"/>
      <c r="AD144" s="765"/>
      <c r="AE144" s="765"/>
      <c r="AF144" s="765"/>
      <c r="AG144" s="765"/>
    </row>
    <row r="145" spans="1:33" s="203" customFormat="1" ht="15.75" customHeight="1" outlineLevel="2">
      <c r="A145" s="894"/>
      <c r="B145" s="765"/>
      <c r="C145" s="435" t="s">
        <v>140</v>
      </c>
      <c r="D145" s="436" t="str">
        <f>Currency_Label</f>
        <v>USD</v>
      </c>
      <c r="E145" s="767"/>
      <c r="F145" s="767"/>
      <c r="G145" s="767"/>
      <c r="H145" s="767"/>
      <c r="I145" s="767"/>
      <c r="J145" s="437">
        <f t="shared" ref="J145:AG145" si="97">I147*J$6</f>
        <v>222000</v>
      </c>
      <c r="K145" s="437">
        <f t="shared" si="97"/>
        <v>222000</v>
      </c>
      <c r="L145" s="437">
        <f t="shared" si="97"/>
        <v>222000</v>
      </c>
      <c r="M145" s="437">
        <f t="shared" si="97"/>
        <v>217000</v>
      </c>
      <c r="N145" s="437">
        <f t="shared" si="97"/>
        <v>217000</v>
      </c>
      <c r="O145" s="437">
        <f t="shared" si="97"/>
        <v>217000</v>
      </c>
      <c r="P145" s="437">
        <f t="shared" si="97"/>
        <v>212000</v>
      </c>
      <c r="Q145" s="437">
        <f t="shared" si="97"/>
        <v>212000</v>
      </c>
      <c r="R145" s="437">
        <f t="shared" si="97"/>
        <v>212000</v>
      </c>
      <c r="S145" s="437">
        <f t="shared" si="97"/>
        <v>207000</v>
      </c>
      <c r="T145" s="437">
        <f t="shared" si="97"/>
        <v>207000</v>
      </c>
      <c r="U145" s="437">
        <f t="shared" si="97"/>
        <v>207000</v>
      </c>
      <c r="V145" s="437">
        <f t="shared" si="97"/>
        <v>202000</v>
      </c>
      <c r="W145" s="437">
        <f t="shared" si="97"/>
        <v>202000</v>
      </c>
      <c r="X145" s="437">
        <f t="shared" si="97"/>
        <v>202000</v>
      </c>
      <c r="Y145" s="437">
        <f t="shared" si="97"/>
        <v>197000</v>
      </c>
      <c r="Z145" s="437">
        <f t="shared" si="97"/>
        <v>197000</v>
      </c>
      <c r="AA145" s="437">
        <f t="shared" si="97"/>
        <v>197000</v>
      </c>
      <c r="AB145" s="437">
        <f t="shared" si="97"/>
        <v>192000</v>
      </c>
      <c r="AC145" s="437">
        <f t="shared" si="97"/>
        <v>192000</v>
      </c>
      <c r="AD145" s="437">
        <f t="shared" si="97"/>
        <v>192000</v>
      </c>
      <c r="AE145" s="437">
        <f t="shared" si="97"/>
        <v>0</v>
      </c>
      <c r="AF145" s="437">
        <f t="shared" si="97"/>
        <v>0</v>
      </c>
      <c r="AG145" s="437">
        <f t="shared" si="97"/>
        <v>0</v>
      </c>
    </row>
    <row r="146" spans="1:33" s="203" customFormat="1" ht="15.75" customHeight="1" outlineLevel="2">
      <c r="A146" s="894"/>
      <c r="B146" s="765"/>
      <c r="C146" s="435" t="s">
        <v>617</v>
      </c>
      <c r="D146" s="436" t="str">
        <f>Currency_Label</f>
        <v>USD</v>
      </c>
      <c r="E146" s="767"/>
      <c r="F146" s="767"/>
      <c r="G146" s="767"/>
      <c r="H146" s="811" t="str">
        <f>IF(SUM(I146:I147)&lt;0,"Repayment exceeds facility amount ! ","")</f>
        <v/>
      </c>
      <c r="I146" s="242">
        <f>SUMPRODUCT((J$6:AG$6),(J146:AG146))</f>
        <v>-35000</v>
      </c>
      <c r="J146" s="451"/>
      <c r="K146" s="451"/>
      <c r="L146" s="451">
        <v>-5000</v>
      </c>
      <c r="M146" s="451"/>
      <c r="N146" s="451"/>
      <c r="O146" s="451">
        <v>-5000</v>
      </c>
      <c r="P146" s="451"/>
      <c r="Q146" s="451"/>
      <c r="R146" s="451">
        <v>-5000</v>
      </c>
      <c r="S146" s="451"/>
      <c r="T146" s="451"/>
      <c r="U146" s="451">
        <v>-5000</v>
      </c>
      <c r="V146" s="451"/>
      <c r="W146" s="451"/>
      <c r="X146" s="451">
        <v>-5000</v>
      </c>
      <c r="Y146" s="451"/>
      <c r="Z146" s="451"/>
      <c r="AA146" s="451">
        <v>-5000</v>
      </c>
      <c r="AB146" s="451"/>
      <c r="AC146" s="451"/>
      <c r="AD146" s="451">
        <v>-5000</v>
      </c>
      <c r="AE146" s="451"/>
      <c r="AF146" s="451"/>
      <c r="AG146" s="451">
        <v>-5000</v>
      </c>
    </row>
    <row r="147" spans="1:33" s="203" customFormat="1" ht="15.75" customHeight="1" outlineLevel="2" thickBot="1">
      <c r="A147" s="894"/>
      <c r="B147" s="765"/>
      <c r="C147" s="435" t="s">
        <v>141</v>
      </c>
      <c r="D147" s="436" t="str">
        <f>Currency_Label</f>
        <v>USD</v>
      </c>
      <c r="E147" s="767"/>
      <c r="F147" s="767"/>
      <c r="G147" s="767"/>
      <c r="H147" s="767"/>
      <c r="I147" s="438">
        <f>Inputs!F242</f>
        <v>222000</v>
      </c>
      <c r="J147" s="524">
        <f t="shared" ref="J147:AG147" si="98">IF(ABS(SUM(J145:J146))&lt;0.001,0,SUM(J145:J146))*J$6</f>
        <v>222000</v>
      </c>
      <c r="K147" s="524">
        <f t="shared" si="98"/>
        <v>222000</v>
      </c>
      <c r="L147" s="524">
        <f t="shared" si="98"/>
        <v>217000</v>
      </c>
      <c r="M147" s="524">
        <f t="shared" si="98"/>
        <v>217000</v>
      </c>
      <c r="N147" s="524">
        <f t="shared" si="98"/>
        <v>217000</v>
      </c>
      <c r="O147" s="524">
        <f t="shared" si="98"/>
        <v>212000</v>
      </c>
      <c r="P147" s="524">
        <f t="shared" si="98"/>
        <v>212000</v>
      </c>
      <c r="Q147" s="524">
        <f t="shared" si="98"/>
        <v>212000</v>
      </c>
      <c r="R147" s="524">
        <f t="shared" si="98"/>
        <v>207000</v>
      </c>
      <c r="S147" s="524">
        <f t="shared" si="98"/>
        <v>207000</v>
      </c>
      <c r="T147" s="524">
        <f t="shared" si="98"/>
        <v>207000</v>
      </c>
      <c r="U147" s="524">
        <f t="shared" si="98"/>
        <v>202000</v>
      </c>
      <c r="V147" s="524">
        <f t="shared" si="98"/>
        <v>202000</v>
      </c>
      <c r="W147" s="524">
        <f t="shared" si="98"/>
        <v>202000</v>
      </c>
      <c r="X147" s="524">
        <f t="shared" si="98"/>
        <v>197000</v>
      </c>
      <c r="Y147" s="524">
        <f t="shared" si="98"/>
        <v>197000</v>
      </c>
      <c r="Z147" s="524">
        <f t="shared" si="98"/>
        <v>197000</v>
      </c>
      <c r="AA147" s="524">
        <f t="shared" si="98"/>
        <v>192000</v>
      </c>
      <c r="AB147" s="524">
        <f t="shared" si="98"/>
        <v>192000</v>
      </c>
      <c r="AC147" s="524">
        <f t="shared" si="98"/>
        <v>192000</v>
      </c>
      <c r="AD147" s="524">
        <f t="shared" si="98"/>
        <v>187000</v>
      </c>
      <c r="AE147" s="524">
        <f t="shared" si="98"/>
        <v>0</v>
      </c>
      <c r="AF147" s="524">
        <f t="shared" si="98"/>
        <v>0</v>
      </c>
      <c r="AG147" s="524">
        <f t="shared" si="98"/>
        <v>0</v>
      </c>
    </row>
    <row r="148" spans="1:33" s="203" customFormat="1" ht="11.25" customHeight="1" outlineLevel="2" thickTop="1">
      <c r="A148" s="894"/>
      <c r="B148" s="765"/>
      <c r="C148" s="765"/>
      <c r="D148" s="765"/>
      <c r="E148" s="765"/>
      <c r="F148" s="765"/>
      <c r="G148" s="765"/>
      <c r="H148" s="765"/>
      <c r="I148" s="765"/>
      <c r="J148" s="765"/>
      <c r="K148" s="765"/>
      <c r="L148" s="765"/>
      <c r="M148" s="765"/>
      <c r="N148" s="765"/>
      <c r="O148" s="765"/>
      <c r="P148" s="765"/>
      <c r="Q148" s="765"/>
      <c r="R148" s="765"/>
      <c r="S148" s="765"/>
      <c r="T148" s="765"/>
      <c r="U148" s="765"/>
      <c r="V148" s="765"/>
      <c r="W148" s="765"/>
      <c r="X148" s="765"/>
      <c r="Y148" s="765"/>
      <c r="Z148" s="765"/>
      <c r="AA148" s="765"/>
      <c r="AB148" s="765"/>
      <c r="AC148" s="765"/>
      <c r="AD148" s="765"/>
      <c r="AE148" s="765"/>
      <c r="AF148" s="765"/>
      <c r="AG148" s="765"/>
    </row>
    <row r="149" spans="1:33" s="203" customFormat="1" ht="15.75" customHeight="1" outlineLevel="2">
      <c r="A149" s="894"/>
      <c r="B149" s="765"/>
      <c r="C149" s="435" t="s">
        <v>624</v>
      </c>
      <c r="D149" s="436" t="str">
        <f>Currency_Label</f>
        <v>USD</v>
      </c>
      <c r="E149" s="767"/>
      <c r="F149" s="767"/>
      <c r="G149" s="767"/>
      <c r="H149" s="767"/>
      <c r="I149" s="242">
        <f>SUMPRODUCT((J$6:AG$6),(J149:AG149))</f>
        <v>-16301.25</v>
      </c>
      <c r="J149" s="451">
        <f>-4.5%*J145/12</f>
        <v>-832.5</v>
      </c>
      <c r="K149" s="451">
        <f t="shared" ref="K149:AG149" si="99">-4.5%*K145/12</f>
        <v>-832.5</v>
      </c>
      <c r="L149" s="451">
        <f t="shared" si="99"/>
        <v>-832.5</v>
      </c>
      <c r="M149" s="451">
        <f t="shared" si="99"/>
        <v>-813.75</v>
      </c>
      <c r="N149" s="451">
        <f t="shared" si="99"/>
        <v>-813.75</v>
      </c>
      <c r="O149" s="451">
        <f t="shared" si="99"/>
        <v>-813.75</v>
      </c>
      <c r="P149" s="451">
        <f t="shared" si="99"/>
        <v>-795</v>
      </c>
      <c r="Q149" s="451">
        <f t="shared" si="99"/>
        <v>-795</v>
      </c>
      <c r="R149" s="451">
        <f t="shared" si="99"/>
        <v>-795</v>
      </c>
      <c r="S149" s="451">
        <f t="shared" si="99"/>
        <v>-776.25</v>
      </c>
      <c r="T149" s="451">
        <f t="shared" si="99"/>
        <v>-776.25</v>
      </c>
      <c r="U149" s="451">
        <f t="shared" si="99"/>
        <v>-776.25</v>
      </c>
      <c r="V149" s="451">
        <f t="shared" si="99"/>
        <v>-757.5</v>
      </c>
      <c r="W149" s="451">
        <f t="shared" si="99"/>
        <v>-757.5</v>
      </c>
      <c r="X149" s="451">
        <f t="shared" si="99"/>
        <v>-757.5</v>
      </c>
      <c r="Y149" s="451">
        <f t="shared" si="99"/>
        <v>-738.75</v>
      </c>
      <c r="Z149" s="451">
        <f t="shared" si="99"/>
        <v>-738.75</v>
      </c>
      <c r="AA149" s="451">
        <f t="shared" si="99"/>
        <v>-738.75</v>
      </c>
      <c r="AB149" s="451">
        <f t="shared" si="99"/>
        <v>-720</v>
      </c>
      <c r="AC149" s="451">
        <f t="shared" si="99"/>
        <v>-720</v>
      </c>
      <c r="AD149" s="451">
        <f t="shared" si="99"/>
        <v>-720</v>
      </c>
      <c r="AE149" s="451">
        <f t="shared" si="99"/>
        <v>0</v>
      </c>
      <c r="AF149" s="451">
        <f t="shared" si="99"/>
        <v>0</v>
      </c>
      <c r="AG149" s="451">
        <f t="shared" si="99"/>
        <v>0</v>
      </c>
    </row>
    <row r="150" spans="1:33" s="203" customFormat="1" ht="15.75" customHeight="1" outlineLevel="2">
      <c r="A150" s="894"/>
      <c r="B150" s="765"/>
      <c r="C150" s="765"/>
      <c r="D150" s="765"/>
      <c r="E150" s="765"/>
      <c r="F150" s="765"/>
      <c r="G150" s="765"/>
      <c r="H150" s="765"/>
      <c r="I150" s="765"/>
      <c r="J150" s="765"/>
      <c r="K150" s="765"/>
      <c r="L150" s="765"/>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row>
    <row r="151" spans="1:33" s="203" customFormat="1" ht="15.75" customHeight="1" outlineLevel="2">
      <c r="A151" s="894"/>
      <c r="B151" s="765"/>
      <c r="C151" s="765"/>
      <c r="D151" s="765"/>
      <c r="E151" s="765"/>
      <c r="F151" s="765"/>
      <c r="G151" s="765"/>
      <c r="H151" s="765"/>
      <c r="I151" s="765"/>
      <c r="J151" s="765"/>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row>
    <row r="152" spans="1:33" ht="15.75" customHeight="1" outlineLevel="2">
      <c r="A152" s="894"/>
      <c r="B152" s="765"/>
      <c r="C152" s="257" t="s">
        <v>627</v>
      </c>
      <c r="D152" s="436" t="str">
        <f>Currency_Label</f>
        <v>USD</v>
      </c>
      <c r="E152" s="767"/>
      <c r="F152" s="767"/>
      <c r="G152" s="767"/>
      <c r="H152" s="767"/>
      <c r="I152" s="242">
        <f ca="1">SUMPRODUCT((J$6:AG$6),(J152:AG152))</f>
        <v>-101142.06013616275</v>
      </c>
      <c r="J152" s="530">
        <f t="shared" ref="J152:AG152" ca="1" si="100">(J50+J55+J60+J68+J99+J146)*J6</f>
        <v>0</v>
      </c>
      <c r="K152" s="530">
        <f t="shared" ca="1" si="100"/>
        <v>0</v>
      </c>
      <c r="L152" s="530">
        <f t="shared" ca="1" si="100"/>
        <v>-24834.168162220823</v>
      </c>
      <c r="M152" s="530">
        <f t="shared" ca="1" si="100"/>
        <v>-7045.6601431958152</v>
      </c>
      <c r="N152" s="530">
        <f t="shared" ca="1" si="100"/>
        <v>0</v>
      </c>
      <c r="O152" s="530">
        <f t="shared" ca="1" si="100"/>
        <v>-5000</v>
      </c>
      <c r="P152" s="530">
        <f t="shared" ca="1" si="100"/>
        <v>0</v>
      </c>
      <c r="Q152" s="530">
        <f t="shared" ca="1" si="100"/>
        <v>0</v>
      </c>
      <c r="R152" s="530">
        <f t="shared" ca="1" si="100"/>
        <v>-5000</v>
      </c>
      <c r="S152" s="530">
        <f t="shared" ca="1" si="100"/>
        <v>0</v>
      </c>
      <c r="T152" s="530">
        <f t="shared" ca="1" si="100"/>
        <v>-10000</v>
      </c>
      <c r="U152" s="530">
        <f t="shared" ca="1" si="100"/>
        <v>-5000</v>
      </c>
      <c r="V152" s="530">
        <f t="shared" ca="1" si="100"/>
        <v>0</v>
      </c>
      <c r="W152" s="530">
        <f t="shared" ca="1" si="100"/>
        <v>0</v>
      </c>
      <c r="X152" s="530">
        <f t="shared" ca="1" si="100"/>
        <v>-15000</v>
      </c>
      <c r="Y152" s="530">
        <f t="shared" ca="1" si="100"/>
        <v>-7500</v>
      </c>
      <c r="Z152" s="530">
        <f t="shared" ca="1" si="100"/>
        <v>0</v>
      </c>
      <c r="AA152" s="530">
        <f t="shared" ca="1" si="100"/>
        <v>-15000</v>
      </c>
      <c r="AB152" s="530">
        <f t="shared" ca="1" si="100"/>
        <v>0</v>
      </c>
      <c r="AC152" s="530">
        <f t="shared" ca="1" si="100"/>
        <v>0</v>
      </c>
      <c r="AD152" s="530">
        <f t="shared" ca="1" si="100"/>
        <v>-6762.2318307461082</v>
      </c>
      <c r="AE152" s="530">
        <f t="shared" ca="1" si="100"/>
        <v>0</v>
      </c>
      <c r="AF152" s="530">
        <f t="shared" ca="1" si="100"/>
        <v>0</v>
      </c>
      <c r="AG152" s="530">
        <f t="shared" ca="1" si="100"/>
        <v>0</v>
      </c>
    </row>
    <row r="153" spans="1:33" outlineLevel="1">
      <c r="A153" s="894"/>
      <c r="B153" s="765"/>
      <c r="C153" s="765"/>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row>
    <row r="154" spans="1:33" ht="22.5" customHeight="1">
      <c r="A154" s="894"/>
      <c r="B154" s="287"/>
      <c r="C154" s="287"/>
      <c r="D154" s="287"/>
      <c r="E154" s="287"/>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E154" s="287"/>
      <c r="AF154" s="287"/>
      <c r="AG154" s="287"/>
    </row>
    <row r="155" spans="1:33" s="241" customFormat="1" ht="18.75" customHeight="1">
      <c r="A155" s="894"/>
    </row>
    <row r="156" spans="1:33" s="241" customFormat="1" ht="18.75" customHeight="1">
      <c r="A156" s="894"/>
    </row>
    <row r="157" spans="1:33" s="241" customFormat="1" ht="18.75" customHeight="1"/>
    <row r="158" spans="1:33" s="241" customFormat="1" ht="18.75" customHeight="1"/>
    <row r="159" spans="1:33" s="241" customFormat="1" ht="18.75" customHeight="1"/>
    <row r="160" spans="1:33" s="241" customFormat="1" ht="18.75" customHeight="1"/>
    <row r="161" s="241" customFormat="1" ht="18.75" customHeight="1"/>
    <row r="162" s="241" customFormat="1" ht="18.75" customHeight="1"/>
    <row r="163" s="894" customFormat="1" ht="18.75" customHeight="1"/>
    <row r="164" s="894" customFormat="1" ht="18.75" customHeight="1"/>
    <row r="165" s="894" customFormat="1" ht="18.75" customHeight="1"/>
    <row r="166" s="894" customFormat="1" ht="18.75" customHeight="1"/>
    <row r="167" s="241" customFormat="1" ht="18.75" customHeight="1"/>
    <row r="168" s="241" customFormat="1" ht="18.75" customHeight="1"/>
    <row r="169" s="241" customFormat="1" ht="18.75" customHeight="1"/>
    <row r="170" s="241" customFormat="1" ht="18.75" customHeight="1"/>
    <row r="171" s="241" customFormat="1" ht="18.75" customHeight="1"/>
    <row r="172" s="241" customFormat="1" ht="18.75" customHeight="1"/>
    <row r="173" s="241" customFormat="1" ht="18.75" customHeight="1"/>
    <row r="174" s="241" customFormat="1" ht="18.75" customHeight="1"/>
    <row r="175" s="241" customFormat="1" ht="18.75" customHeight="1"/>
    <row r="176" s="241" customFormat="1" ht="18.75" customHeight="1"/>
    <row r="177" s="241" customFormat="1" ht="18.75" customHeight="1"/>
    <row r="178" s="241" customFormat="1" ht="18.75" customHeight="1"/>
    <row r="179" s="241" customFormat="1" ht="18.75" customHeight="1"/>
    <row r="180" s="241" customFormat="1" ht="18.75" customHeight="1"/>
    <row r="181" s="241" customFormat="1" ht="18.75" customHeight="1"/>
    <row r="182" s="241" customFormat="1" ht="18.75" customHeight="1"/>
    <row r="183" s="241" customFormat="1" ht="18.75" customHeight="1"/>
  </sheetData>
  <sheetProtection password="F66A" sheet="1"/>
  <conditionalFormatting sqref="J89:AG89 J77:AG77 T94:AG94">
    <cfRule type="cellIs" dxfId="184" priority="506" stopIfTrue="1" operator="equal">
      <formula>1</formula>
    </cfRule>
  </conditionalFormatting>
  <conditionalFormatting sqref="E45">
    <cfRule type="cellIs" dxfId="183" priority="503" stopIfTrue="1" operator="equal">
      <formula>0</formula>
    </cfRule>
  </conditionalFormatting>
  <conditionalFormatting sqref="J90:AG90 J92:AG93">
    <cfRule type="cellIs" dxfId="182" priority="469" stopIfTrue="1" operator="equal">
      <formula>1</formula>
    </cfRule>
  </conditionalFormatting>
  <conditionalFormatting sqref="K90:L90">
    <cfRule type="cellIs" dxfId="181" priority="466" stopIfTrue="1" operator="equal">
      <formula>1</formula>
    </cfRule>
  </conditionalFormatting>
  <conditionalFormatting sqref="S94">
    <cfRule type="cellIs" dxfId="180" priority="457" stopIfTrue="1" operator="equal">
      <formula>1</formula>
    </cfRule>
  </conditionalFormatting>
  <conditionalFormatting sqref="J94:R94">
    <cfRule type="cellIs" dxfId="179" priority="455" stopIfTrue="1" operator="equal">
      <formula>1</formula>
    </cfRule>
  </conditionalFormatting>
  <conditionalFormatting sqref="B120">
    <cfRule type="cellIs" dxfId="178" priority="428" stopIfTrue="1" operator="notEqual">
      <formula>1</formula>
    </cfRule>
  </conditionalFormatting>
  <conditionalFormatting sqref="K77">
    <cfRule type="cellIs" dxfId="177" priority="427" stopIfTrue="1" operator="equal">
      <formula>1</formula>
    </cfRule>
  </conditionalFormatting>
  <conditionalFormatting sqref="L77">
    <cfRule type="cellIs" dxfId="176" priority="426" stopIfTrue="1" operator="equal">
      <formula>1</formula>
    </cfRule>
  </conditionalFormatting>
  <conditionalFormatting sqref="J78:AG78">
    <cfRule type="cellIs" dxfId="175" priority="359" operator="notEqual">
      <formula>0</formula>
    </cfRule>
  </conditionalFormatting>
  <conditionalFormatting sqref="J120:AG120">
    <cfRule type="expression" dxfId="174" priority="342" stopIfTrue="1">
      <formula>J$6=0</formula>
    </cfRule>
    <cfRule type="expression" dxfId="173" priority="363" stopIfTrue="1">
      <formula>$B$119=1</formula>
    </cfRule>
  </conditionalFormatting>
  <conditionalFormatting sqref="J49:AG50 J54:AG55 J59:AG60 J122:AG122 J132:AG132 J142:AG142 J146:AG146 J149:AG149 J75:AG75">
    <cfRule type="expression" dxfId="172" priority="311" stopIfTrue="1">
      <formula>J$6=0</formula>
    </cfRule>
  </conditionalFormatting>
  <conditionalFormatting sqref="B119">
    <cfRule type="cellIs" dxfId="171" priority="285" stopIfTrue="1" operator="notEqual">
      <formula>1</formula>
    </cfRule>
  </conditionalFormatting>
  <conditionalFormatting sqref="B130">
    <cfRule type="cellIs" dxfId="170" priority="284" stopIfTrue="1" operator="notEqual">
      <formula>1</formula>
    </cfRule>
  </conditionalFormatting>
  <conditionalFormatting sqref="B129">
    <cfRule type="cellIs" dxfId="169" priority="283" stopIfTrue="1" operator="notEqual">
      <formula>1</formula>
    </cfRule>
  </conditionalFormatting>
  <conditionalFormatting sqref="B140">
    <cfRule type="cellIs" dxfId="168" priority="282" stopIfTrue="1" operator="notEqual">
      <formula>1</formula>
    </cfRule>
  </conditionalFormatting>
  <conditionalFormatting sqref="B139">
    <cfRule type="cellIs" dxfId="167" priority="281" stopIfTrue="1" operator="notEqual">
      <formula>1</formula>
    </cfRule>
  </conditionalFormatting>
  <conditionalFormatting sqref="K50">
    <cfRule type="expression" dxfId="166" priority="200" stopIfTrue="1">
      <formula>K$6=0</formula>
    </cfRule>
  </conditionalFormatting>
  <conditionalFormatting sqref="K50">
    <cfRule type="expression" dxfId="165" priority="199" stopIfTrue="1">
      <formula>K$6=0</formula>
    </cfRule>
  </conditionalFormatting>
  <conditionalFormatting sqref="L50:AC50">
    <cfRule type="expression" dxfId="164" priority="198" stopIfTrue="1">
      <formula>L$6=0</formula>
    </cfRule>
  </conditionalFormatting>
  <conditionalFormatting sqref="L50:AC50">
    <cfRule type="expression" dxfId="163" priority="197" stopIfTrue="1">
      <formula>L$6=0</formula>
    </cfRule>
  </conditionalFormatting>
  <conditionalFormatting sqref="K50">
    <cfRule type="expression" dxfId="162" priority="212" stopIfTrue="1">
      <formula>K$6=0</formula>
    </cfRule>
  </conditionalFormatting>
  <conditionalFormatting sqref="K50">
    <cfRule type="expression" dxfId="161" priority="211" stopIfTrue="1">
      <formula>K$6=0</formula>
    </cfRule>
  </conditionalFormatting>
  <conditionalFormatting sqref="L50:AC50">
    <cfRule type="expression" dxfId="160" priority="210" stopIfTrue="1">
      <formula>L$6=0</formula>
    </cfRule>
  </conditionalFormatting>
  <conditionalFormatting sqref="L50:AC50">
    <cfRule type="expression" dxfId="159" priority="209" stopIfTrue="1">
      <formula>L$6=0</formula>
    </cfRule>
  </conditionalFormatting>
  <conditionalFormatting sqref="K49">
    <cfRule type="expression" dxfId="158" priority="204" stopIfTrue="1">
      <formula>K$6=0</formula>
    </cfRule>
  </conditionalFormatting>
  <conditionalFormatting sqref="K49">
    <cfRule type="expression" dxfId="157" priority="203" stopIfTrue="1">
      <formula>K$6=0</formula>
    </cfRule>
  </conditionalFormatting>
  <conditionalFormatting sqref="L49:AC49">
    <cfRule type="expression" dxfId="156" priority="202" stopIfTrue="1">
      <formula>L$6=0</formula>
    </cfRule>
  </conditionalFormatting>
  <conditionalFormatting sqref="L49:AC49">
    <cfRule type="expression" dxfId="155" priority="201" stopIfTrue="1">
      <formula>L$6=0</formula>
    </cfRule>
  </conditionalFormatting>
  <conditionalFormatting sqref="K49">
    <cfRule type="expression" dxfId="154" priority="216" stopIfTrue="1">
      <formula>K$6=0</formula>
    </cfRule>
  </conditionalFormatting>
  <conditionalFormatting sqref="K49">
    <cfRule type="expression" dxfId="153" priority="215" stopIfTrue="1">
      <formula>K$6=0</formula>
    </cfRule>
  </conditionalFormatting>
  <conditionalFormatting sqref="L49:AC49">
    <cfRule type="expression" dxfId="152" priority="214" stopIfTrue="1">
      <formula>L$6=0</formula>
    </cfRule>
  </conditionalFormatting>
  <conditionalFormatting sqref="L49:AC49">
    <cfRule type="expression" dxfId="151" priority="213" stopIfTrue="1">
      <formula>L$6=0</formula>
    </cfRule>
  </conditionalFormatting>
  <conditionalFormatting sqref="F42">
    <cfRule type="cellIs" dxfId="150" priority="240" operator="equal">
      <formula>0</formula>
    </cfRule>
  </conditionalFormatting>
  <conditionalFormatting sqref="K146">
    <cfRule type="expression" dxfId="149" priority="147" stopIfTrue="1">
      <formula>K$6=0</formula>
    </cfRule>
  </conditionalFormatting>
  <conditionalFormatting sqref="D3">
    <cfRule type="cellIs" dxfId="148" priority="144" operator="notEqual">
      <formula>0</formula>
    </cfRule>
  </conditionalFormatting>
  <conditionalFormatting sqref="I77">
    <cfRule type="cellIs" dxfId="147" priority="128" operator="notEqual">
      <formula>0</formula>
    </cfRule>
  </conditionalFormatting>
  <conditionalFormatting sqref="I78">
    <cfRule type="cellIs" dxfId="146" priority="127" operator="notEqual">
      <formula>0</formula>
    </cfRule>
  </conditionalFormatting>
  <conditionalFormatting sqref="K55">
    <cfRule type="expression" dxfId="145" priority="104" stopIfTrue="1">
      <formula>K$6=0</formula>
    </cfRule>
  </conditionalFormatting>
  <conditionalFormatting sqref="K55">
    <cfRule type="expression" dxfId="144" priority="103" stopIfTrue="1">
      <formula>K$6=0</formula>
    </cfRule>
  </conditionalFormatting>
  <conditionalFormatting sqref="L55:AC55">
    <cfRule type="expression" dxfId="143" priority="102" stopIfTrue="1">
      <formula>L$6=0</formula>
    </cfRule>
  </conditionalFormatting>
  <conditionalFormatting sqref="L55:AC55">
    <cfRule type="expression" dxfId="142" priority="101" stopIfTrue="1">
      <formula>L$6=0</formula>
    </cfRule>
  </conditionalFormatting>
  <conditionalFormatting sqref="K55">
    <cfRule type="expression" dxfId="141" priority="116" stopIfTrue="1">
      <formula>K$6=0</formula>
    </cfRule>
  </conditionalFormatting>
  <conditionalFormatting sqref="K55">
    <cfRule type="expression" dxfId="140" priority="115" stopIfTrue="1">
      <formula>K$6=0</formula>
    </cfRule>
  </conditionalFormatting>
  <conditionalFormatting sqref="L55:AC55">
    <cfRule type="expression" dxfId="139" priority="114" stopIfTrue="1">
      <formula>L$6=0</formula>
    </cfRule>
  </conditionalFormatting>
  <conditionalFormatting sqref="L55:AC55">
    <cfRule type="expression" dxfId="138" priority="113" stopIfTrue="1">
      <formula>L$6=0</formula>
    </cfRule>
  </conditionalFormatting>
  <conditionalFormatting sqref="K54">
    <cfRule type="expression" dxfId="137" priority="108" stopIfTrue="1">
      <formula>K$6=0</formula>
    </cfRule>
  </conditionalFormatting>
  <conditionalFormatting sqref="K54">
    <cfRule type="expression" dxfId="136" priority="107" stopIfTrue="1">
      <formula>K$6=0</formula>
    </cfRule>
  </conditionalFormatting>
  <conditionalFormatting sqref="L54:AC54">
    <cfRule type="expression" dxfId="135" priority="106" stopIfTrue="1">
      <formula>L$6=0</formula>
    </cfRule>
  </conditionalFormatting>
  <conditionalFormatting sqref="L54:AC54">
    <cfRule type="expression" dxfId="134" priority="105" stopIfTrue="1">
      <formula>L$6=0</formula>
    </cfRule>
  </conditionalFormatting>
  <conditionalFormatting sqref="K54">
    <cfRule type="expression" dxfId="133" priority="120" stopIfTrue="1">
      <formula>K$6=0</formula>
    </cfRule>
  </conditionalFormatting>
  <conditionalFormatting sqref="K54">
    <cfRule type="expression" dxfId="132" priority="119" stopIfTrue="1">
      <formula>K$6=0</formula>
    </cfRule>
  </conditionalFormatting>
  <conditionalFormatting sqref="L54:AC54">
    <cfRule type="expression" dxfId="131" priority="118" stopIfTrue="1">
      <formula>L$6=0</formula>
    </cfRule>
  </conditionalFormatting>
  <conditionalFormatting sqref="L54:AC54">
    <cfRule type="expression" dxfId="130" priority="117" stopIfTrue="1">
      <formula>L$6=0</formula>
    </cfRule>
  </conditionalFormatting>
  <conditionalFormatting sqref="K60">
    <cfRule type="expression" dxfId="129" priority="78" stopIfTrue="1">
      <formula>K$6=0</formula>
    </cfRule>
  </conditionalFormatting>
  <conditionalFormatting sqref="K60">
    <cfRule type="expression" dxfId="128" priority="77" stopIfTrue="1">
      <formula>K$6=0</formula>
    </cfRule>
  </conditionalFormatting>
  <conditionalFormatting sqref="L60:AC60">
    <cfRule type="expression" dxfId="127" priority="76" stopIfTrue="1">
      <formula>L$6=0</formula>
    </cfRule>
  </conditionalFormatting>
  <conditionalFormatting sqref="L60:AC60">
    <cfRule type="expression" dxfId="126" priority="75" stopIfTrue="1">
      <formula>L$6=0</formula>
    </cfRule>
  </conditionalFormatting>
  <conditionalFormatting sqref="K60">
    <cfRule type="expression" dxfId="125" priority="90" stopIfTrue="1">
      <formula>K$6=0</formula>
    </cfRule>
  </conditionalFormatting>
  <conditionalFormatting sqref="K60">
    <cfRule type="expression" dxfId="124" priority="89" stopIfTrue="1">
      <formula>K$6=0</formula>
    </cfRule>
  </conditionalFormatting>
  <conditionalFormatting sqref="L60:AC60">
    <cfRule type="expression" dxfId="123" priority="88" stopIfTrue="1">
      <formula>L$6=0</formula>
    </cfRule>
  </conditionalFormatting>
  <conditionalFormatting sqref="L60:AC60">
    <cfRule type="expression" dxfId="122" priority="87" stopIfTrue="1">
      <formula>L$6=0</formula>
    </cfRule>
  </conditionalFormatting>
  <conditionalFormatting sqref="K59">
    <cfRule type="expression" dxfId="121" priority="82" stopIfTrue="1">
      <formula>K$6=0</formula>
    </cfRule>
  </conditionalFormatting>
  <conditionalFormatting sqref="K59">
    <cfRule type="expression" dxfId="120" priority="81" stopIfTrue="1">
      <formula>K$6=0</formula>
    </cfRule>
  </conditionalFormatting>
  <conditionalFormatting sqref="L59:AC59">
    <cfRule type="expression" dxfId="119" priority="80" stopIfTrue="1">
      <formula>L$6=0</formula>
    </cfRule>
  </conditionalFormatting>
  <conditionalFormatting sqref="L59:AC59">
    <cfRule type="expression" dxfId="118" priority="79" stopIfTrue="1">
      <formula>L$6=0</formula>
    </cfRule>
  </conditionalFormatting>
  <conditionalFormatting sqref="K59">
    <cfRule type="expression" dxfId="117" priority="94" stopIfTrue="1">
      <formula>K$6=0</formula>
    </cfRule>
  </conditionalFormatting>
  <conditionalFormatting sqref="K59">
    <cfRule type="expression" dxfId="116" priority="93" stopIfTrue="1">
      <formula>K$6=0</formula>
    </cfRule>
  </conditionalFormatting>
  <conditionalFormatting sqref="L59:AC59">
    <cfRule type="expression" dxfId="115" priority="92" stopIfTrue="1">
      <formula>L$6=0</formula>
    </cfRule>
  </conditionalFormatting>
  <conditionalFormatting sqref="L59:AC59">
    <cfRule type="expression" dxfId="114" priority="91" stopIfTrue="1">
      <formula>L$6=0</formula>
    </cfRule>
  </conditionalFormatting>
  <conditionalFormatting sqref="K122">
    <cfRule type="expression" dxfId="113" priority="64" stopIfTrue="1">
      <formula>K$6=0</formula>
    </cfRule>
  </conditionalFormatting>
  <conditionalFormatting sqref="K122">
    <cfRule type="expression" dxfId="112" priority="63" stopIfTrue="1">
      <formula>K$6=0</formula>
    </cfRule>
  </conditionalFormatting>
  <conditionalFormatting sqref="L122:AC122">
    <cfRule type="expression" dxfId="111" priority="62" stopIfTrue="1">
      <formula>L$6=0</formula>
    </cfRule>
  </conditionalFormatting>
  <conditionalFormatting sqref="L122:AC122">
    <cfRule type="expression" dxfId="110" priority="61" stopIfTrue="1">
      <formula>L$6=0</formula>
    </cfRule>
  </conditionalFormatting>
  <conditionalFormatting sqref="K122">
    <cfRule type="expression" dxfId="109" priority="70" stopIfTrue="1">
      <formula>K$6=0</formula>
    </cfRule>
  </conditionalFormatting>
  <conditionalFormatting sqref="K122">
    <cfRule type="expression" dxfId="108" priority="69" stopIfTrue="1">
      <formula>K$6=0</formula>
    </cfRule>
  </conditionalFormatting>
  <conditionalFormatting sqref="L122:AC122">
    <cfRule type="expression" dxfId="107" priority="68" stopIfTrue="1">
      <formula>L$6=0</formula>
    </cfRule>
  </conditionalFormatting>
  <conditionalFormatting sqref="L122:AC122">
    <cfRule type="expression" dxfId="106" priority="67" stopIfTrue="1">
      <formula>L$6=0</formula>
    </cfRule>
  </conditionalFormatting>
  <conditionalFormatting sqref="K132">
    <cfRule type="expression" dxfId="105" priority="51" stopIfTrue="1">
      <formula>K$6=0</formula>
    </cfRule>
  </conditionalFormatting>
  <conditionalFormatting sqref="K132">
    <cfRule type="expression" dxfId="104" priority="50" stopIfTrue="1">
      <formula>K$6=0</formula>
    </cfRule>
  </conditionalFormatting>
  <conditionalFormatting sqref="L132:AC132">
    <cfRule type="expression" dxfId="103" priority="49" stopIfTrue="1">
      <formula>L$6=0</formula>
    </cfRule>
  </conditionalFormatting>
  <conditionalFormatting sqref="L132:AC132">
    <cfRule type="expression" dxfId="102" priority="48" stopIfTrue="1">
      <formula>L$6=0</formula>
    </cfRule>
  </conditionalFormatting>
  <conditionalFormatting sqref="K132">
    <cfRule type="expression" dxfId="101" priority="57" stopIfTrue="1">
      <formula>K$6=0</formula>
    </cfRule>
  </conditionalFormatting>
  <conditionalFormatting sqref="K132">
    <cfRule type="expression" dxfId="100" priority="56" stopIfTrue="1">
      <formula>K$6=0</formula>
    </cfRule>
  </conditionalFormatting>
  <conditionalFormatting sqref="L132:AC132">
    <cfRule type="expression" dxfId="99" priority="55" stopIfTrue="1">
      <formula>L$6=0</formula>
    </cfRule>
  </conditionalFormatting>
  <conditionalFormatting sqref="L132:AC132">
    <cfRule type="expression" dxfId="98" priority="54" stopIfTrue="1">
      <formula>L$6=0</formula>
    </cfRule>
  </conditionalFormatting>
  <conditionalFormatting sqref="K142">
    <cfRule type="expression" dxfId="97" priority="38" stopIfTrue="1">
      <formula>K$6=0</formula>
    </cfRule>
  </conditionalFormatting>
  <conditionalFormatting sqref="K142">
    <cfRule type="expression" dxfId="96" priority="37" stopIfTrue="1">
      <formula>K$6=0</formula>
    </cfRule>
  </conditionalFormatting>
  <conditionalFormatting sqref="L142:AC142">
    <cfRule type="expression" dxfId="95" priority="36" stopIfTrue="1">
      <formula>L$6=0</formula>
    </cfRule>
  </conditionalFormatting>
  <conditionalFormatting sqref="L142:AC142">
    <cfRule type="expression" dxfId="94" priority="35" stopIfTrue="1">
      <formula>L$6=0</formula>
    </cfRule>
  </conditionalFormatting>
  <conditionalFormatting sqref="K142">
    <cfRule type="expression" dxfId="93" priority="44" stopIfTrue="1">
      <formula>K$6=0</formula>
    </cfRule>
  </conditionalFormatting>
  <conditionalFormatting sqref="K142">
    <cfRule type="expression" dxfId="92" priority="43" stopIfTrue="1">
      <formula>K$6=0</formula>
    </cfRule>
  </conditionalFormatting>
  <conditionalFormatting sqref="L142:AC142">
    <cfRule type="expression" dxfId="91" priority="42" stopIfTrue="1">
      <formula>L$6=0</formula>
    </cfRule>
  </conditionalFormatting>
  <conditionalFormatting sqref="L142:AC142">
    <cfRule type="expression" dxfId="90" priority="41" stopIfTrue="1">
      <formula>L$6=0</formula>
    </cfRule>
  </conditionalFormatting>
  <conditionalFormatting sqref="J130:AG130">
    <cfRule type="expression" dxfId="89" priority="32" stopIfTrue="1">
      <formula>J$6=0</formula>
    </cfRule>
    <cfRule type="expression" dxfId="88" priority="33" stopIfTrue="1">
      <formula>$B$129=1</formula>
    </cfRule>
  </conditionalFormatting>
  <conditionalFormatting sqref="J140:AG140">
    <cfRule type="expression" dxfId="87" priority="30" stopIfTrue="1">
      <formula>J$6=0</formula>
    </cfRule>
    <cfRule type="expression" dxfId="86" priority="31" stopIfTrue="1">
      <formula>$B$139=1</formula>
    </cfRule>
  </conditionalFormatting>
  <conditionalFormatting sqref="F87">
    <cfRule type="cellIs" dxfId="85" priority="27" stopIfTrue="1" operator="equal">
      <formula>0</formula>
    </cfRule>
  </conditionalFormatting>
  <conditionalFormatting sqref="K75">
    <cfRule type="expression" dxfId="84" priority="18" stopIfTrue="1">
      <formula>K$6=0</formula>
    </cfRule>
  </conditionalFormatting>
  <conditionalFormatting sqref="K75">
    <cfRule type="expression" dxfId="83" priority="17" stopIfTrue="1">
      <formula>K$6=0</formula>
    </cfRule>
  </conditionalFormatting>
  <conditionalFormatting sqref="L75:AC75">
    <cfRule type="expression" dxfId="82" priority="16" stopIfTrue="1">
      <formula>L$6=0</formula>
    </cfRule>
  </conditionalFormatting>
  <conditionalFormatting sqref="L75:AC75">
    <cfRule type="expression" dxfId="81" priority="15" stopIfTrue="1">
      <formula>L$6=0</formula>
    </cfRule>
  </conditionalFormatting>
  <conditionalFormatting sqref="K75">
    <cfRule type="expression" dxfId="80" priority="24" stopIfTrue="1">
      <formula>K$6=0</formula>
    </cfRule>
  </conditionalFormatting>
  <conditionalFormatting sqref="K75">
    <cfRule type="expression" dxfId="79" priority="23" stopIfTrue="1">
      <formula>K$6=0</formula>
    </cfRule>
  </conditionalFormatting>
  <conditionalFormatting sqref="L75:AC75">
    <cfRule type="expression" dxfId="78" priority="22" stopIfTrue="1">
      <formula>L$6=0</formula>
    </cfRule>
  </conditionalFormatting>
  <conditionalFormatting sqref="L75:AC75">
    <cfRule type="expression" dxfId="77" priority="21" stopIfTrue="1">
      <formula>L$6=0</formula>
    </cfRule>
  </conditionalFormatting>
  <conditionalFormatting sqref="W146">
    <cfRule type="expression" dxfId="76" priority="13" stopIfTrue="1">
      <formula>W$6=0</formula>
    </cfRule>
  </conditionalFormatting>
  <conditionalFormatting sqref="K6:L6">
    <cfRule type="cellIs" dxfId="75" priority="9" stopIfTrue="1" operator="equal">
      <formula>1</formula>
    </cfRule>
  </conditionalFormatting>
  <conditionalFormatting sqref="J4">
    <cfRule type="expression" dxfId="74" priority="8" stopIfTrue="1">
      <formula>J$6=1</formula>
    </cfRule>
  </conditionalFormatting>
  <conditionalFormatting sqref="M6:Q6">
    <cfRule type="cellIs" dxfId="73" priority="7" stopIfTrue="1" operator="equal">
      <formula>1</formula>
    </cfRule>
  </conditionalFormatting>
  <conditionalFormatting sqref="J5">
    <cfRule type="expression" dxfId="72" priority="6" stopIfTrue="1">
      <formula>J$6=1</formula>
    </cfRule>
  </conditionalFormatting>
  <conditionalFormatting sqref="R6:AG6">
    <cfRule type="cellIs" dxfId="71" priority="5" stopIfTrue="1" operator="equal">
      <formula>1</formula>
    </cfRule>
  </conditionalFormatting>
  <conditionalFormatting sqref="J6:AG6">
    <cfRule type="cellIs" dxfId="70" priority="4" stopIfTrue="1" operator="equal">
      <formula>1</formula>
    </cfRule>
  </conditionalFormatting>
  <conditionalFormatting sqref="K4:AG4">
    <cfRule type="expression" dxfId="69" priority="3" stopIfTrue="1">
      <formula>K$6=1</formula>
    </cfRule>
  </conditionalFormatting>
  <conditionalFormatting sqref="L5:AG5">
    <cfRule type="expression" dxfId="68" priority="2" stopIfTrue="1">
      <formula>L$6=1</formula>
    </cfRule>
  </conditionalFormatting>
  <conditionalFormatting sqref="K5:AG5">
    <cfRule type="expression" dxfId="67" priority="1" stopIfTrue="1">
      <formula>K$6=1</formula>
    </cfRule>
  </conditionalFormatting>
  <dataValidations disablePrompts="1" count="2">
    <dataValidation type="decimal" operator="greaterThanOrEqual" allowBlank="1" showInputMessage="1" showErrorMessage="1" errorTitle="Inputs" error="Positive numbers/inputs only !" sqref="J140:AG140 J130:AG130 J120:AG120 J142:AG142 J132:AG132 J122:AG122 J59:AG59 J54:AG54 J49:AG49">
      <formula1>0</formula1>
    </dataValidation>
    <dataValidation type="decimal" operator="lessThanOrEqual" allowBlank="1" showInputMessage="1" showErrorMessage="1" errorTitle="Inputs" error="Negative numbers/inputs only !" sqref="J149:AG149 J146:AG146 J75:AG75 J60:AG60 J55:AG55 J50:AG50">
      <formula1>0</formula1>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IFS">
    <tabColor theme="1"/>
    <pageSetUpPr autoPageBreaks="0"/>
  </sheetPr>
  <dimension ref="A1:NE213"/>
  <sheetViews>
    <sheetView showGridLines="0" zoomScaleNormal="100"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1"/>
  <cols>
    <col min="1" max="1" width="3" style="117" customWidth="1"/>
    <col min="2" max="2" width="4.140625" style="117" customWidth="1"/>
    <col min="3" max="3" width="51.7109375" style="117" customWidth="1"/>
    <col min="4" max="4" width="13" style="117" customWidth="1"/>
    <col min="5" max="5" width="12.28515625" style="117" customWidth="1"/>
    <col min="6" max="6" width="9.140625" style="117" customWidth="1"/>
    <col min="7" max="7" width="14.5703125" style="117" customWidth="1"/>
    <col min="8" max="8" width="9.85546875" style="117" customWidth="1"/>
    <col min="9" max="9" width="13" style="117" customWidth="1"/>
    <col min="10" max="33" width="11.42578125" style="117" customWidth="1"/>
    <col min="34" max="369" width="0" style="117" hidden="1" customWidth="1"/>
    <col min="370" max="16384" width="11.42578125" style="117" hidden="1"/>
  </cols>
  <sheetData>
    <row r="1" spans="1:33" ht="20.25">
      <c r="A1" s="41" t="s">
        <v>348</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33" ht="15">
      <c r="A2" s="128"/>
      <c r="B2" s="128"/>
      <c r="C2" s="273" t="str">
        <f>Timing!C2</f>
        <v>Model: 5 Year Forecast</v>
      </c>
      <c r="D2" s="273"/>
      <c r="E2" s="443" t="s">
        <v>148</v>
      </c>
      <c r="F2" s="128"/>
      <c r="G2" s="128"/>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row>
    <row r="3" spans="1:33" ht="20.25">
      <c r="A3" s="128"/>
      <c r="B3" s="128"/>
      <c r="C3" s="273" t="str">
        <f>Timing!C3</f>
        <v>Model Integrity:</v>
      </c>
      <c r="D3" s="685">
        <f ca="1">Timing!D3</f>
        <v>0</v>
      </c>
      <c r="E3" s="443" t="s">
        <v>149</v>
      </c>
      <c r="F3" s="128"/>
      <c r="G3" s="285"/>
      <c r="H3" s="287"/>
      <c r="I3" s="287"/>
      <c r="J3" s="287"/>
      <c r="K3" s="287"/>
      <c r="L3" s="287"/>
      <c r="M3" s="241"/>
      <c r="N3" s="286"/>
      <c r="O3" s="241"/>
      <c r="P3" s="286"/>
      <c r="Q3" s="241"/>
      <c r="R3" s="286"/>
      <c r="S3" s="241"/>
      <c r="T3" s="286"/>
      <c r="U3" s="241"/>
      <c r="V3" s="286"/>
      <c r="W3" s="241"/>
      <c r="X3" s="286"/>
      <c r="Y3" s="241"/>
      <c r="Z3" s="286"/>
      <c r="AA3" s="241"/>
      <c r="AB3" s="286"/>
      <c r="AC3" s="241"/>
      <c r="AD3" s="286"/>
      <c r="AE3" s="241"/>
      <c r="AF3" s="286"/>
      <c r="AG3" s="241"/>
    </row>
    <row r="4" spans="1:33">
      <c r="A4" s="128"/>
      <c r="B4" s="280"/>
      <c r="C4" s="681" t="str">
        <f>Timing!C4</f>
        <v>Period Start</v>
      </c>
      <c r="D4" s="283"/>
      <c r="E4" s="283"/>
      <c r="F4" s="283"/>
      <c r="G4" s="284"/>
      <c r="H4" s="282"/>
      <c r="I4" s="682"/>
      <c r="J4" s="655">
        <f>Timing!J4</f>
        <v>43525</v>
      </c>
      <c r="K4" s="655">
        <f>Timing!K4</f>
        <v>43556</v>
      </c>
      <c r="L4" s="655">
        <f>Timing!L4</f>
        <v>43586</v>
      </c>
      <c r="M4" s="655">
        <f>Timing!M4</f>
        <v>43617</v>
      </c>
      <c r="N4" s="655">
        <f>Timing!N4</f>
        <v>43647</v>
      </c>
      <c r="O4" s="655">
        <f>Timing!O4</f>
        <v>43678</v>
      </c>
      <c r="P4" s="655">
        <f>Timing!P4</f>
        <v>43709</v>
      </c>
      <c r="Q4" s="655">
        <f>Timing!Q4</f>
        <v>43739</v>
      </c>
      <c r="R4" s="655">
        <f>Timing!R4</f>
        <v>43770</v>
      </c>
      <c r="S4" s="655">
        <f>Timing!S4</f>
        <v>43800</v>
      </c>
      <c r="T4" s="655">
        <f>Timing!T4</f>
        <v>43831</v>
      </c>
      <c r="U4" s="655">
        <f>Timing!U4</f>
        <v>43862</v>
      </c>
      <c r="V4" s="655">
        <f>Timing!V4</f>
        <v>43891</v>
      </c>
      <c r="W4" s="655">
        <f>Timing!W4</f>
        <v>43922</v>
      </c>
      <c r="X4" s="655">
        <f>Timing!X4</f>
        <v>43952</v>
      </c>
      <c r="Y4" s="655">
        <f>Timing!Y4</f>
        <v>43983</v>
      </c>
      <c r="Z4" s="655">
        <f>Timing!Z4</f>
        <v>44013</v>
      </c>
      <c r="AA4" s="655">
        <f>Timing!AA4</f>
        <v>44044</v>
      </c>
      <c r="AB4" s="655">
        <f>Timing!AB4</f>
        <v>44075</v>
      </c>
      <c r="AC4" s="655">
        <f>Timing!AC4</f>
        <v>44105</v>
      </c>
      <c r="AD4" s="655">
        <f>Timing!AD4</f>
        <v>44136</v>
      </c>
      <c r="AE4" s="655">
        <f>Timing!AE4</f>
        <v>44166</v>
      </c>
      <c r="AF4" s="655">
        <f>Timing!AF4</f>
        <v>44197</v>
      </c>
      <c r="AG4" s="655">
        <f>Timing!AG4</f>
        <v>44228</v>
      </c>
    </row>
    <row r="5" spans="1:33">
      <c r="A5" s="128"/>
      <c r="B5" s="128"/>
      <c r="C5" s="681" t="str">
        <f>Timing!C5</f>
        <v>Period End</v>
      </c>
      <c r="D5" s="65" t="str">
        <f>Timing!D5</f>
        <v>Start</v>
      </c>
      <c r="E5" s="11" t="str">
        <f>Timing!E5</f>
        <v>End</v>
      </c>
      <c r="F5" s="283"/>
      <c r="G5" s="284"/>
      <c r="H5" s="282"/>
      <c r="I5" s="654">
        <f>Timing!I5</f>
        <v>43524</v>
      </c>
      <c r="J5" s="656">
        <f>Timing!J5</f>
        <v>43555</v>
      </c>
      <c r="K5" s="656">
        <f>Timing!K5</f>
        <v>43585</v>
      </c>
      <c r="L5" s="656">
        <f>Timing!L5</f>
        <v>43616</v>
      </c>
      <c r="M5" s="656">
        <f>Timing!M5</f>
        <v>43646</v>
      </c>
      <c r="N5" s="656">
        <f>Timing!N5</f>
        <v>43677</v>
      </c>
      <c r="O5" s="656">
        <f>Timing!O5</f>
        <v>43708</v>
      </c>
      <c r="P5" s="656">
        <f>Timing!P5</f>
        <v>43738</v>
      </c>
      <c r="Q5" s="656">
        <f>Timing!Q5</f>
        <v>43769</v>
      </c>
      <c r="R5" s="656">
        <f>Timing!R5</f>
        <v>43799</v>
      </c>
      <c r="S5" s="656">
        <f>Timing!S5</f>
        <v>43830</v>
      </c>
      <c r="T5" s="656">
        <f>Timing!T5</f>
        <v>43861</v>
      </c>
      <c r="U5" s="656">
        <f>Timing!U5</f>
        <v>43890</v>
      </c>
      <c r="V5" s="656">
        <f>Timing!V5</f>
        <v>43921</v>
      </c>
      <c r="W5" s="656">
        <f>Timing!W5</f>
        <v>43951</v>
      </c>
      <c r="X5" s="656">
        <f>Timing!X5</f>
        <v>43982</v>
      </c>
      <c r="Y5" s="656">
        <f>Timing!Y5</f>
        <v>44012</v>
      </c>
      <c r="Z5" s="656">
        <f>Timing!Z5</f>
        <v>44043</v>
      </c>
      <c r="AA5" s="656">
        <f>Timing!AA5</f>
        <v>44074</v>
      </c>
      <c r="AB5" s="656">
        <f>Timing!AB5</f>
        <v>44104</v>
      </c>
      <c r="AC5" s="656">
        <f>Timing!AC5</f>
        <v>44135</v>
      </c>
      <c r="AD5" s="656">
        <f>Timing!AD5</f>
        <v>44165</v>
      </c>
      <c r="AE5" s="656">
        <f>Timing!AE5</f>
        <v>44196</v>
      </c>
      <c r="AF5" s="656">
        <f>Timing!AF5</f>
        <v>44227</v>
      </c>
      <c r="AG5" s="656">
        <f>Timing!AG5</f>
        <v>44255</v>
      </c>
    </row>
    <row r="6" spans="1:33">
      <c r="A6" s="281"/>
      <c r="B6" s="281"/>
      <c r="C6" s="282" t="str">
        <f>Timing!C6</f>
        <v>Model Life</v>
      </c>
      <c r="D6" s="654">
        <f>Timing!D6</f>
        <v>43525</v>
      </c>
      <c r="E6" s="654">
        <f>Timing!E6</f>
        <v>44165</v>
      </c>
      <c r="F6" s="282"/>
      <c r="G6" s="683"/>
      <c r="H6" s="684"/>
      <c r="I6" s="686">
        <f>Timing!I6</f>
        <v>21</v>
      </c>
      <c r="J6" s="660">
        <f>Timing!J6</f>
        <v>1</v>
      </c>
      <c r="K6" s="660">
        <f>Timing!K6</f>
        <v>1</v>
      </c>
      <c r="L6" s="660">
        <f>Timing!L6</f>
        <v>1</v>
      </c>
      <c r="M6" s="660">
        <f>Timing!M6</f>
        <v>1</v>
      </c>
      <c r="N6" s="660">
        <f>Timing!N6</f>
        <v>1</v>
      </c>
      <c r="O6" s="660">
        <f>Timing!O6</f>
        <v>1</v>
      </c>
      <c r="P6" s="660">
        <f>Timing!P6</f>
        <v>1</v>
      </c>
      <c r="Q6" s="660">
        <f>Timing!Q6</f>
        <v>1</v>
      </c>
      <c r="R6" s="660">
        <f>Timing!R6</f>
        <v>1</v>
      </c>
      <c r="S6" s="660">
        <f>Timing!S6</f>
        <v>1</v>
      </c>
      <c r="T6" s="660">
        <f>Timing!T6</f>
        <v>1</v>
      </c>
      <c r="U6" s="660">
        <f>Timing!U6</f>
        <v>1</v>
      </c>
      <c r="V6" s="660">
        <f>Timing!V6</f>
        <v>1</v>
      </c>
      <c r="W6" s="660">
        <f>Timing!W6</f>
        <v>1</v>
      </c>
      <c r="X6" s="660">
        <f>Timing!X6</f>
        <v>1</v>
      </c>
      <c r="Y6" s="660">
        <f>Timing!Y6</f>
        <v>1</v>
      </c>
      <c r="Z6" s="660">
        <f>Timing!Z6</f>
        <v>1</v>
      </c>
      <c r="AA6" s="660">
        <f>Timing!AA6</f>
        <v>1</v>
      </c>
      <c r="AB6" s="660">
        <f>Timing!AB6</f>
        <v>1</v>
      </c>
      <c r="AC6" s="660">
        <f>Timing!AC6</f>
        <v>1</v>
      </c>
      <c r="AD6" s="660">
        <f>Timing!AD6</f>
        <v>1</v>
      </c>
      <c r="AE6" s="660">
        <f>Timing!AE6</f>
        <v>0</v>
      </c>
      <c r="AF6" s="660">
        <f>Timing!AF6</f>
        <v>0</v>
      </c>
      <c r="AG6" s="660">
        <f>Timing!AG6</f>
        <v>0</v>
      </c>
    </row>
    <row r="7" spans="1:33">
      <c r="A7" s="894"/>
      <c r="B7" s="241"/>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8" spans="1:33" s="203" customFormat="1">
      <c r="A8" s="894"/>
      <c r="B8" s="241"/>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row>
    <row r="9" spans="1:33" ht="24" thickBot="1">
      <c r="A9" s="323"/>
      <c r="B9" s="323"/>
      <c r="C9" s="323" t="str">
        <f>CHOOSE(language,"Profit and Loss Statement","Income Statement")</f>
        <v>Income Statement</v>
      </c>
      <c r="D9" s="335" t="str">
        <f>"(all figures in " &amp;Currency_Label &amp;")"</f>
        <v>(all figures in USD)</v>
      </c>
      <c r="E9" s="323"/>
      <c r="F9" s="323"/>
      <c r="G9" s="323"/>
      <c r="H9" s="323"/>
      <c r="I9" s="323"/>
      <c r="J9" s="323"/>
      <c r="K9" s="323"/>
      <c r="L9" s="323"/>
      <c r="M9" s="323"/>
      <c r="N9" s="323"/>
      <c r="O9" s="323"/>
      <c r="P9" s="323"/>
      <c r="Q9" s="323"/>
      <c r="R9" s="323"/>
      <c r="S9" s="323"/>
      <c r="T9" s="323"/>
      <c r="U9" s="323"/>
      <c r="V9" s="323"/>
      <c r="W9" s="323"/>
      <c r="X9" s="323"/>
      <c r="Y9" s="323"/>
      <c r="Z9" s="323"/>
      <c r="AA9" s="323"/>
      <c r="AB9" s="323"/>
      <c r="AC9" s="323"/>
      <c r="AD9" s="323"/>
      <c r="AE9" s="323"/>
      <c r="AF9" s="323"/>
      <c r="AG9" s="323"/>
    </row>
    <row r="10" spans="1:33" ht="17.25" customHeight="1" outlineLevel="1">
      <c r="A10" s="128"/>
      <c r="B10" s="128"/>
      <c r="C10" s="241"/>
      <c r="D10" s="336"/>
      <c r="E10" s="128"/>
      <c r="F10" s="128"/>
      <c r="G10" s="128"/>
      <c r="H10" s="128"/>
      <c r="I10" s="128"/>
      <c r="J10" s="716">
        <f t="shared" ref="J10:AG10" si="0">J$4</f>
        <v>43525</v>
      </c>
      <c r="K10" s="716">
        <f t="shared" si="0"/>
        <v>43556</v>
      </c>
      <c r="L10" s="716">
        <f t="shared" si="0"/>
        <v>43586</v>
      </c>
      <c r="M10" s="716">
        <f t="shared" si="0"/>
        <v>43617</v>
      </c>
      <c r="N10" s="716">
        <f t="shared" si="0"/>
        <v>43647</v>
      </c>
      <c r="O10" s="716">
        <f t="shared" si="0"/>
        <v>43678</v>
      </c>
      <c r="P10" s="716">
        <f t="shared" si="0"/>
        <v>43709</v>
      </c>
      <c r="Q10" s="716">
        <f t="shared" si="0"/>
        <v>43739</v>
      </c>
      <c r="R10" s="716">
        <f t="shared" si="0"/>
        <v>43770</v>
      </c>
      <c r="S10" s="716">
        <f t="shared" si="0"/>
        <v>43800</v>
      </c>
      <c r="T10" s="716">
        <f t="shared" si="0"/>
        <v>43831</v>
      </c>
      <c r="U10" s="716">
        <f t="shared" si="0"/>
        <v>43862</v>
      </c>
      <c r="V10" s="716">
        <f t="shared" si="0"/>
        <v>43891</v>
      </c>
      <c r="W10" s="716">
        <f t="shared" si="0"/>
        <v>43922</v>
      </c>
      <c r="X10" s="716">
        <f t="shared" si="0"/>
        <v>43952</v>
      </c>
      <c r="Y10" s="716">
        <f t="shared" si="0"/>
        <v>43983</v>
      </c>
      <c r="Z10" s="716">
        <f t="shared" si="0"/>
        <v>44013</v>
      </c>
      <c r="AA10" s="716">
        <f t="shared" si="0"/>
        <v>44044</v>
      </c>
      <c r="AB10" s="716">
        <f t="shared" si="0"/>
        <v>44075</v>
      </c>
      <c r="AC10" s="716">
        <f t="shared" si="0"/>
        <v>44105</v>
      </c>
      <c r="AD10" s="716">
        <f t="shared" si="0"/>
        <v>44136</v>
      </c>
      <c r="AE10" s="716">
        <f t="shared" si="0"/>
        <v>44166</v>
      </c>
      <c r="AF10" s="716">
        <f t="shared" si="0"/>
        <v>44197</v>
      </c>
      <c r="AG10" s="716">
        <f t="shared" si="0"/>
        <v>44228</v>
      </c>
    </row>
    <row r="11" spans="1:33" ht="17.25" customHeight="1" outlineLevel="1">
      <c r="A11" s="894"/>
      <c r="B11" s="287"/>
      <c r="C11" s="273" t="str">
        <f>CHOOSE(language,"Turnover","Revenue")</f>
        <v>Revenue</v>
      </c>
      <c r="D11" s="287"/>
      <c r="E11" s="287"/>
      <c r="F11" s="287"/>
      <c r="G11" s="287"/>
      <c r="H11" s="287"/>
      <c r="I11" s="287"/>
      <c r="J11" s="287"/>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row>
    <row r="12" spans="1:33" s="649" customFormat="1" ht="17.25" customHeight="1" outlineLevel="1">
      <c r="A12" s="894"/>
      <c r="B12" s="287"/>
      <c r="C12" s="24" t="str">
        <f>"  -  " &amp;Product_01</f>
        <v xml:space="preserve">  -  Desktops</v>
      </c>
      <c r="I12" s="71">
        <f t="shared" ref="I12:I22" si="1">SUM(J12:AG12)</f>
        <v>798600</v>
      </c>
      <c r="J12" s="144">
        <f>Sales!J70*J$6</f>
        <v>38500</v>
      </c>
      <c r="K12" s="144">
        <f>Sales!K70*K$6</f>
        <v>40700</v>
      </c>
      <c r="L12" s="144">
        <f>Sales!L70*L$6</f>
        <v>40700</v>
      </c>
      <c r="M12" s="144">
        <f>Sales!M70*M$6</f>
        <v>40700</v>
      </c>
      <c r="N12" s="144">
        <f>Sales!N70*N$6</f>
        <v>40700</v>
      </c>
      <c r="O12" s="144">
        <f>Sales!O70*O$6</f>
        <v>40700</v>
      </c>
      <c r="P12" s="144">
        <f>Sales!P70*P$6</f>
        <v>40700</v>
      </c>
      <c r="Q12" s="144">
        <f>Sales!Q70*Q$6</f>
        <v>36300</v>
      </c>
      <c r="R12" s="144">
        <f>Sales!R70*R$6</f>
        <v>36300</v>
      </c>
      <c r="S12" s="144">
        <f>Sales!S70*S$6</f>
        <v>36300</v>
      </c>
      <c r="T12" s="144">
        <f>Sales!T70*T$6</f>
        <v>36300</v>
      </c>
      <c r="U12" s="144">
        <f>Sales!U70*U$6</f>
        <v>36300</v>
      </c>
      <c r="V12" s="144">
        <f>Sales!V70*V$6</f>
        <v>36300</v>
      </c>
      <c r="W12" s="144">
        <f>Sales!W70*W$6</f>
        <v>36300</v>
      </c>
      <c r="X12" s="144">
        <f>Sales!X70*X$6</f>
        <v>36300</v>
      </c>
      <c r="Y12" s="144">
        <f>Sales!Y70*Y$6</f>
        <v>36300</v>
      </c>
      <c r="Z12" s="144">
        <f>Sales!Z70*Z$6</f>
        <v>36300</v>
      </c>
      <c r="AA12" s="144">
        <f>Sales!AA70*AA$6</f>
        <v>36300</v>
      </c>
      <c r="AB12" s="144">
        <f>Sales!AB70*AB$6</f>
        <v>36300</v>
      </c>
      <c r="AC12" s="144">
        <f>Sales!AC70*AC$6</f>
        <v>36300</v>
      </c>
      <c r="AD12" s="144">
        <f>Sales!AD70*AD$6</f>
        <v>44000</v>
      </c>
      <c r="AE12" s="144">
        <f>Sales!AE70*AE$6</f>
        <v>0</v>
      </c>
      <c r="AF12" s="144">
        <f>Sales!AF70*AF$6</f>
        <v>0</v>
      </c>
      <c r="AG12" s="144">
        <f>Sales!AG70*AG$6</f>
        <v>0</v>
      </c>
    </row>
    <row r="13" spans="1:33" s="649" customFormat="1" ht="17.25" customHeight="1" outlineLevel="1">
      <c r="A13" s="894"/>
      <c r="B13" s="287"/>
      <c r="C13" s="24" t="str">
        <f>"  -  " &amp;Product_02</f>
        <v xml:space="preserve">  -  Workstations</v>
      </c>
      <c r="I13" s="71">
        <f t="shared" si="1"/>
        <v>529000</v>
      </c>
      <c r="J13" s="144">
        <f>Sales!J71*J$6</f>
        <v>18400</v>
      </c>
      <c r="K13" s="144">
        <f>Sales!K71*K$6</f>
        <v>23000</v>
      </c>
      <c r="L13" s="144">
        <f>Sales!L71*L$6</f>
        <v>23000</v>
      </c>
      <c r="M13" s="144">
        <f>Sales!M71*M$6</f>
        <v>23000</v>
      </c>
      <c r="N13" s="144">
        <f>Sales!N71*N$6</f>
        <v>23000</v>
      </c>
      <c r="O13" s="144">
        <f>Sales!O71*O$6</f>
        <v>23000</v>
      </c>
      <c r="P13" s="144">
        <f>Sales!P71*P$6</f>
        <v>23000</v>
      </c>
      <c r="Q13" s="144">
        <f>Sales!Q71*Q$6</f>
        <v>23000</v>
      </c>
      <c r="R13" s="144">
        <f>Sales!R71*R$6</f>
        <v>23000</v>
      </c>
      <c r="S13" s="144">
        <f>Sales!S71*S$6</f>
        <v>27600</v>
      </c>
      <c r="T13" s="144">
        <f>Sales!T71*T$6</f>
        <v>27600</v>
      </c>
      <c r="U13" s="144">
        <f>Sales!U71*U$6</f>
        <v>27600</v>
      </c>
      <c r="V13" s="144">
        <f>Sales!V71*V$6</f>
        <v>27600</v>
      </c>
      <c r="W13" s="144">
        <f>Sales!W71*W$6</f>
        <v>27600</v>
      </c>
      <c r="X13" s="144">
        <f>Sales!X71*X$6</f>
        <v>27600</v>
      </c>
      <c r="Y13" s="144">
        <f>Sales!Y71*Y$6</f>
        <v>27600</v>
      </c>
      <c r="Z13" s="144">
        <f>Sales!Z71*Z$6</f>
        <v>27600</v>
      </c>
      <c r="AA13" s="144">
        <f>Sales!AA71*AA$6</f>
        <v>27600</v>
      </c>
      <c r="AB13" s="144">
        <f>Sales!AB71*AB$6</f>
        <v>27600</v>
      </c>
      <c r="AC13" s="144">
        <f>Sales!AC71*AC$6</f>
        <v>25300</v>
      </c>
      <c r="AD13" s="144">
        <f>Sales!AD71*AD$6</f>
        <v>25300</v>
      </c>
      <c r="AE13" s="144">
        <f>Sales!AE71*AE$6</f>
        <v>0</v>
      </c>
      <c r="AF13" s="144">
        <f>Sales!AF71*AF$6</f>
        <v>0</v>
      </c>
      <c r="AG13" s="144">
        <f>Sales!AG71*AG$6</f>
        <v>0</v>
      </c>
    </row>
    <row r="14" spans="1:33" s="649" customFormat="1" ht="17.25" customHeight="1" outlineLevel="1">
      <c r="A14" s="894"/>
      <c r="B14" s="287"/>
      <c r="C14" s="24" t="str">
        <f>"  -  " &amp;Product_03</f>
        <v xml:space="preserve">  -  Notebooks</v>
      </c>
      <c r="I14" s="71">
        <f t="shared" si="1"/>
        <v>303460</v>
      </c>
      <c r="J14" s="144">
        <f>Sales!J72*J$6</f>
        <v>13400</v>
      </c>
      <c r="K14" s="144">
        <f>Sales!K72*K$6</f>
        <v>13400</v>
      </c>
      <c r="L14" s="144">
        <f>Sales!L72*L$6</f>
        <v>13400</v>
      </c>
      <c r="M14" s="144">
        <f>Sales!M72*M$6</f>
        <v>13400</v>
      </c>
      <c r="N14" s="144">
        <f>Sales!N72*N$6</f>
        <v>13400</v>
      </c>
      <c r="O14" s="144">
        <f>Sales!O72*O$6</f>
        <v>13400</v>
      </c>
      <c r="P14" s="144">
        <f>Sales!P72*P$6</f>
        <v>13400</v>
      </c>
      <c r="Q14" s="144">
        <f>Sales!Q72*Q$6</f>
        <v>14740</v>
      </c>
      <c r="R14" s="144">
        <f>Sales!R72*R$6</f>
        <v>14740</v>
      </c>
      <c r="S14" s="144">
        <f>Sales!S72*S$6</f>
        <v>14740</v>
      </c>
      <c r="T14" s="144">
        <f>Sales!T72*T$6</f>
        <v>14740</v>
      </c>
      <c r="U14" s="144">
        <f>Sales!U72*U$6</f>
        <v>14740</v>
      </c>
      <c r="V14" s="144">
        <f>Sales!V72*V$6</f>
        <v>14740</v>
      </c>
      <c r="W14" s="144">
        <f>Sales!W72*W$6</f>
        <v>14740</v>
      </c>
      <c r="X14" s="144">
        <f>Sales!X72*X$6</f>
        <v>14740</v>
      </c>
      <c r="Y14" s="144">
        <f>Sales!Y72*Y$6</f>
        <v>14740</v>
      </c>
      <c r="Z14" s="144">
        <f>Sales!Z72*Z$6</f>
        <v>15400</v>
      </c>
      <c r="AA14" s="144">
        <f>Sales!AA72*AA$6</f>
        <v>15400</v>
      </c>
      <c r="AB14" s="144">
        <f>Sales!AB72*AB$6</f>
        <v>15400</v>
      </c>
      <c r="AC14" s="144">
        <f>Sales!AC72*AC$6</f>
        <v>15400</v>
      </c>
      <c r="AD14" s="144">
        <f>Sales!AD72*AD$6</f>
        <v>15400</v>
      </c>
      <c r="AE14" s="144">
        <f>Sales!AE72*AE$6</f>
        <v>0</v>
      </c>
      <c r="AF14" s="144">
        <f>Sales!AF72*AF$6</f>
        <v>0</v>
      </c>
      <c r="AG14" s="144">
        <f>Sales!AG72*AG$6</f>
        <v>0</v>
      </c>
    </row>
    <row r="15" spans="1:33" s="649" customFormat="1" ht="17.25" customHeight="1" outlineLevel="1">
      <c r="A15" s="894"/>
      <c r="B15" s="287"/>
      <c r="C15" s="24" t="str">
        <f>"  -  " &amp;Product_04</f>
        <v xml:space="preserve">  -  Software Products</v>
      </c>
      <c r="I15" s="71">
        <f t="shared" si="1"/>
        <v>176100</v>
      </c>
      <c r="J15" s="144">
        <f>Sales!J73*J$6</f>
        <v>8250</v>
      </c>
      <c r="K15" s="144">
        <f>Sales!K73*K$6</f>
        <v>8550</v>
      </c>
      <c r="L15" s="144">
        <f>Sales!L73*L$6</f>
        <v>8550</v>
      </c>
      <c r="M15" s="144">
        <f>Sales!M73*M$6</f>
        <v>8550</v>
      </c>
      <c r="N15" s="144">
        <f>Sales!N73*N$6</f>
        <v>8550</v>
      </c>
      <c r="O15" s="144">
        <f>Sales!O73*O$6</f>
        <v>8550</v>
      </c>
      <c r="P15" s="144">
        <f>Sales!P73*P$6</f>
        <v>8550</v>
      </c>
      <c r="Q15" s="144">
        <f>Sales!Q73*Q$6</f>
        <v>8250</v>
      </c>
      <c r="R15" s="144">
        <f>Sales!R73*R$6</f>
        <v>8250</v>
      </c>
      <c r="S15" s="144">
        <f>Sales!S73*S$6</f>
        <v>8250</v>
      </c>
      <c r="T15" s="144">
        <f>Sales!T73*T$6</f>
        <v>8250</v>
      </c>
      <c r="U15" s="144">
        <f>Sales!U73*U$6</f>
        <v>8250</v>
      </c>
      <c r="V15" s="144">
        <f>Sales!V73*V$6</f>
        <v>8250</v>
      </c>
      <c r="W15" s="144">
        <f>Sales!W73*W$6</f>
        <v>8250</v>
      </c>
      <c r="X15" s="144">
        <f>Sales!X73*X$6</f>
        <v>8250</v>
      </c>
      <c r="Y15" s="144">
        <f>Sales!Y73*Y$6</f>
        <v>8250</v>
      </c>
      <c r="Z15" s="144">
        <f>Sales!Z73*Z$6</f>
        <v>8250</v>
      </c>
      <c r="AA15" s="144">
        <f>Sales!AA73*AA$6</f>
        <v>8250</v>
      </c>
      <c r="AB15" s="144">
        <f>Sales!AB73*AB$6</f>
        <v>8250</v>
      </c>
      <c r="AC15" s="144">
        <f>Sales!AC73*AC$6</f>
        <v>8250</v>
      </c>
      <c r="AD15" s="144">
        <f>Sales!AD73*AD$6</f>
        <v>9300</v>
      </c>
      <c r="AE15" s="144">
        <f>Sales!AE73*AE$6</f>
        <v>0</v>
      </c>
      <c r="AF15" s="144">
        <f>Sales!AF73*AF$6</f>
        <v>0</v>
      </c>
      <c r="AG15" s="144">
        <f>Sales!AG73*AG$6</f>
        <v>0</v>
      </c>
    </row>
    <row r="16" spans="1:33" s="649" customFormat="1" ht="17.25" customHeight="1" outlineLevel="1">
      <c r="A16" s="894"/>
      <c r="B16" s="287"/>
      <c r="C16" s="24" t="str">
        <f>"  -  " &amp;Product_05</f>
        <v xml:space="preserve">  -  Net work infrastructure solutions</v>
      </c>
      <c r="I16" s="71">
        <f t="shared" si="1"/>
        <v>104412.51506598486</v>
      </c>
      <c r="J16" s="144">
        <f>Sales!J74*J$6</f>
        <v>4500</v>
      </c>
      <c r="K16" s="144">
        <f>Sales!K74*K$6</f>
        <v>4500</v>
      </c>
      <c r="L16" s="144">
        <f>Sales!L74*L$6</f>
        <v>4500</v>
      </c>
      <c r="M16" s="144">
        <f>Sales!M74*M$6</f>
        <v>4500</v>
      </c>
      <c r="N16" s="144">
        <f>Sales!N74*N$6</f>
        <v>4500</v>
      </c>
      <c r="O16" s="144">
        <f>Sales!O74*O$6</f>
        <v>4500</v>
      </c>
      <c r="P16" s="144">
        <f>Sales!P74*P$6</f>
        <v>4500</v>
      </c>
      <c r="Q16" s="144">
        <f>Sales!Q74*Q$6</f>
        <v>4500</v>
      </c>
      <c r="R16" s="144">
        <f>Sales!R74*R$6</f>
        <v>5000</v>
      </c>
      <c r="S16" s="144">
        <f>Sales!S74*S$6</f>
        <v>5000</v>
      </c>
      <c r="T16" s="144">
        <f>Sales!T74*T$6</f>
        <v>5050</v>
      </c>
      <c r="U16" s="144">
        <f>Sales!U74*U$6</f>
        <v>5100.5</v>
      </c>
      <c r="V16" s="144">
        <f>Sales!V74*V$6</f>
        <v>5151.5050000000001</v>
      </c>
      <c r="W16" s="144">
        <f>Sales!W74*W$6</f>
        <v>5203.0200500000001</v>
      </c>
      <c r="X16" s="144">
        <f>Sales!X74*X$6</f>
        <v>5255.0502505000004</v>
      </c>
      <c r="Y16" s="144">
        <f>Sales!Y74*Y$6</f>
        <v>5307.6007530050001</v>
      </c>
      <c r="Z16" s="144">
        <f>Sales!Z74*Z$6</f>
        <v>5360.6767605350506</v>
      </c>
      <c r="AA16" s="144">
        <f>Sales!AA74*AA$6</f>
        <v>5414.2835281404014</v>
      </c>
      <c r="AB16" s="144">
        <f>Sales!AB74*AB$6</f>
        <v>5468.426363421805</v>
      </c>
      <c r="AC16" s="144">
        <f>Sales!AC74*AC$6</f>
        <v>5523.1106270560231</v>
      </c>
      <c r="AD16" s="144">
        <f>Sales!AD74*AD$6</f>
        <v>5578.3417333265834</v>
      </c>
      <c r="AE16" s="144">
        <f>Sales!AE74*AE$6</f>
        <v>0</v>
      </c>
      <c r="AF16" s="144">
        <f>Sales!AF74*AF$6</f>
        <v>0</v>
      </c>
      <c r="AG16" s="144">
        <f>Sales!AG74*AG$6</f>
        <v>0</v>
      </c>
    </row>
    <row r="17" spans="1:33" s="649" customFormat="1" ht="17.25" customHeight="1" outlineLevel="1">
      <c r="A17" s="894"/>
      <c r="B17" s="287"/>
      <c r="C17" s="24" t="str">
        <f>"  -  " &amp;Product_06</f>
        <v xml:space="preserve">  -  Repair Services</v>
      </c>
      <c r="I17" s="71">
        <f t="shared" si="1"/>
        <v>281112</v>
      </c>
      <c r="J17" s="144">
        <f>Sales!J75*J$6</f>
        <v>13992</v>
      </c>
      <c r="K17" s="144">
        <f>Sales!K75*K$6</f>
        <v>13992</v>
      </c>
      <c r="L17" s="144">
        <f>Sales!L75*L$6</f>
        <v>13992</v>
      </c>
      <c r="M17" s="144">
        <f>Sales!M75*M$6</f>
        <v>13992</v>
      </c>
      <c r="N17" s="144">
        <f>Sales!N75*N$6</f>
        <v>13992</v>
      </c>
      <c r="O17" s="144">
        <f>Sales!O75*O$6</f>
        <v>13992</v>
      </c>
      <c r="P17" s="144">
        <f>Sales!P75*P$6</f>
        <v>13992</v>
      </c>
      <c r="Q17" s="144">
        <f>Sales!Q75*Q$6</f>
        <v>13992</v>
      </c>
      <c r="R17" s="144">
        <f>Sales!R75*R$6</f>
        <v>13992</v>
      </c>
      <c r="S17" s="144">
        <f>Sales!S75*S$6</f>
        <v>13992</v>
      </c>
      <c r="T17" s="144">
        <f>Sales!T75*T$6</f>
        <v>13992</v>
      </c>
      <c r="U17" s="144">
        <f>Sales!U75*U$6</f>
        <v>12720</v>
      </c>
      <c r="V17" s="144">
        <f>Sales!V75*V$6</f>
        <v>12720</v>
      </c>
      <c r="W17" s="144">
        <f>Sales!W75*W$6</f>
        <v>12720</v>
      </c>
      <c r="X17" s="144">
        <f>Sales!X75*X$6</f>
        <v>12720</v>
      </c>
      <c r="Y17" s="144">
        <f>Sales!Y75*Y$6</f>
        <v>12720</v>
      </c>
      <c r="Z17" s="144">
        <f>Sales!Z75*Z$6</f>
        <v>12720</v>
      </c>
      <c r="AA17" s="144">
        <f>Sales!AA75*AA$6</f>
        <v>12720</v>
      </c>
      <c r="AB17" s="144">
        <f>Sales!AB75*AB$6</f>
        <v>12720</v>
      </c>
      <c r="AC17" s="144">
        <f>Sales!AC75*AC$6</f>
        <v>12720</v>
      </c>
      <c r="AD17" s="144">
        <f>Sales!AD75*AD$6</f>
        <v>12720</v>
      </c>
      <c r="AE17" s="144">
        <f>Sales!AE75*AE$6</f>
        <v>0</v>
      </c>
      <c r="AF17" s="144">
        <f>Sales!AF75*AF$6</f>
        <v>0</v>
      </c>
      <c r="AG17" s="144">
        <f>Sales!AG75*AG$6</f>
        <v>0</v>
      </c>
    </row>
    <row r="18" spans="1:33" s="649" customFormat="1" ht="17.25" customHeight="1" outlineLevel="1">
      <c r="A18" s="894"/>
      <c r="B18" s="287"/>
      <c r="C18" s="24" t="str">
        <f>"  -  " &amp;Product_07</f>
        <v xml:space="preserve">  -  Integration Services</v>
      </c>
      <c r="I18" s="71">
        <f t="shared" si="1"/>
        <v>404000</v>
      </c>
      <c r="J18" s="144">
        <f>Sales!J76*J$6</f>
        <v>18000</v>
      </c>
      <c r="K18" s="144">
        <f>Sales!K76*K$6</f>
        <v>18000</v>
      </c>
      <c r="L18" s="144">
        <f>Sales!L76*L$6</f>
        <v>18000</v>
      </c>
      <c r="M18" s="144">
        <f>Sales!M76*M$6</f>
        <v>18000</v>
      </c>
      <c r="N18" s="144">
        <f>Sales!N76*N$6</f>
        <v>18000</v>
      </c>
      <c r="O18" s="144">
        <f>Sales!O76*O$6</f>
        <v>18000</v>
      </c>
      <c r="P18" s="144">
        <f>Sales!P76*P$6</f>
        <v>18000</v>
      </c>
      <c r="Q18" s="144">
        <f>Sales!Q76*Q$6</f>
        <v>18000</v>
      </c>
      <c r="R18" s="144">
        <f>Sales!R76*R$6</f>
        <v>20000</v>
      </c>
      <c r="S18" s="144">
        <f>Sales!S76*S$6</f>
        <v>20000</v>
      </c>
      <c r="T18" s="144">
        <f>Sales!T76*T$6</f>
        <v>20000</v>
      </c>
      <c r="U18" s="144">
        <f>Sales!U76*U$6</f>
        <v>20000</v>
      </c>
      <c r="V18" s="144">
        <f>Sales!V76*V$6</f>
        <v>20000</v>
      </c>
      <c r="W18" s="144">
        <f>Sales!W76*W$6</f>
        <v>20000</v>
      </c>
      <c r="X18" s="144">
        <f>Sales!X76*X$6</f>
        <v>20000</v>
      </c>
      <c r="Y18" s="144">
        <f>Sales!Y76*Y$6</f>
        <v>20000</v>
      </c>
      <c r="Z18" s="144">
        <f>Sales!Z76*Z$6</f>
        <v>20000</v>
      </c>
      <c r="AA18" s="144">
        <f>Sales!AA76*AA$6</f>
        <v>20000</v>
      </c>
      <c r="AB18" s="144">
        <f>Sales!AB76*AB$6</f>
        <v>20000</v>
      </c>
      <c r="AC18" s="144">
        <f>Sales!AC76*AC$6</f>
        <v>20000</v>
      </c>
      <c r="AD18" s="144">
        <f>Sales!AD76*AD$6</f>
        <v>20000</v>
      </c>
      <c r="AE18" s="144">
        <f>Sales!AE76*AE$6</f>
        <v>0</v>
      </c>
      <c r="AF18" s="144">
        <f>Sales!AF76*AF$6</f>
        <v>0</v>
      </c>
      <c r="AG18" s="144">
        <f>Sales!AG76*AG$6</f>
        <v>0</v>
      </c>
    </row>
    <row r="19" spans="1:33" s="649" customFormat="1" ht="17.25" customHeight="1" outlineLevel="1">
      <c r="A19" s="894"/>
      <c r="B19" s="287"/>
      <c r="C19" s="24" t="str">
        <f>"  -  " &amp;Product_08</f>
        <v xml:space="preserve">  -  Consulting Services</v>
      </c>
      <c r="I19" s="71">
        <f t="shared" si="1"/>
        <v>440498.92292858503</v>
      </c>
      <c r="J19" s="144">
        <f>Sales!J77*J$6</f>
        <v>18955</v>
      </c>
      <c r="K19" s="144">
        <f>Sales!K77*K$6</f>
        <v>19144.55</v>
      </c>
      <c r="L19" s="144">
        <f>Sales!L77*L$6</f>
        <v>19335.995500000001</v>
      </c>
      <c r="M19" s="144">
        <f>Sales!M77*M$6</f>
        <v>19529.355455000001</v>
      </c>
      <c r="N19" s="144">
        <f>Sales!N77*N$6</f>
        <v>19724.649009550001</v>
      </c>
      <c r="O19" s="144">
        <f>Sales!O77*O$6</f>
        <v>19921.895499645503</v>
      </c>
      <c r="P19" s="144">
        <f>Sales!P77*P$6</f>
        <v>20121.11445464196</v>
      </c>
      <c r="Q19" s="144">
        <f>Sales!Q77*Q$6</f>
        <v>20322.325599188382</v>
      </c>
      <c r="R19" s="144">
        <f>Sales!R77*R$6</f>
        <v>20525.548855180266</v>
      </c>
      <c r="S19" s="144">
        <f>Sales!S77*S$6</f>
        <v>20730.80434373207</v>
      </c>
      <c r="T19" s="144">
        <f>Sales!T77*T$6</f>
        <v>20938.112387169393</v>
      </c>
      <c r="U19" s="144">
        <f>Sales!U77*U$6</f>
        <v>21147.493511041088</v>
      </c>
      <c r="V19" s="144">
        <f>Sales!V77*V$6</f>
        <v>21358.968446151499</v>
      </c>
      <c r="W19" s="144">
        <f>Sales!W77*W$6</f>
        <v>21572.558130613015</v>
      </c>
      <c r="X19" s="144">
        <f>Sales!X77*X$6</f>
        <v>21788.283711919146</v>
      </c>
      <c r="Y19" s="144">
        <f>Sales!Y77*Y$6</f>
        <v>22006.166549038338</v>
      </c>
      <c r="Z19" s="144">
        <f>Sales!Z77*Z$6</f>
        <v>22226.228214528721</v>
      </c>
      <c r="AA19" s="144">
        <f>Sales!AA77*AA$6</f>
        <v>22448.490496674007</v>
      </c>
      <c r="AB19" s="144">
        <f>Sales!AB77*AB$6</f>
        <v>22672.975401640746</v>
      </c>
      <c r="AC19" s="144">
        <f>Sales!AC77*AC$6</f>
        <v>22899.705155657153</v>
      </c>
      <c r="AD19" s="144">
        <f>Sales!AD77*AD$6</f>
        <v>23128.702207213726</v>
      </c>
      <c r="AE19" s="144">
        <f>Sales!AE77*AE$6</f>
        <v>0</v>
      </c>
      <c r="AF19" s="144">
        <f>Sales!AF77*AF$6</f>
        <v>0</v>
      </c>
      <c r="AG19" s="144">
        <f>Sales!AG77*AG$6</f>
        <v>0</v>
      </c>
    </row>
    <row r="20" spans="1:33" s="649" customFormat="1" ht="17.25" customHeight="1" outlineLevel="1">
      <c r="A20" s="894"/>
      <c r="B20" s="287"/>
      <c r="C20" s="24" t="str">
        <f>"  -  " &amp;Product_09</f>
        <v xml:space="preserve">  -  Spare Parts</v>
      </c>
      <c r="I20" s="71">
        <f t="shared" si="1"/>
        <v>199650</v>
      </c>
      <c r="J20" s="144">
        <f>Sales!J78*J$6</f>
        <v>9625</v>
      </c>
      <c r="K20" s="144">
        <f>Sales!K78*K$6</f>
        <v>10175</v>
      </c>
      <c r="L20" s="144">
        <f>Sales!L78*L$6</f>
        <v>10175</v>
      </c>
      <c r="M20" s="144">
        <f>Sales!M78*M$6</f>
        <v>10175</v>
      </c>
      <c r="N20" s="144">
        <f>Sales!N78*N$6</f>
        <v>10175</v>
      </c>
      <c r="O20" s="144">
        <f>Sales!O78*O$6</f>
        <v>10175</v>
      </c>
      <c r="P20" s="144">
        <f>Sales!P78*P$6</f>
        <v>10175</v>
      </c>
      <c r="Q20" s="144">
        <f>Sales!Q78*Q$6</f>
        <v>9075</v>
      </c>
      <c r="R20" s="144">
        <f>Sales!R78*R$6</f>
        <v>9075</v>
      </c>
      <c r="S20" s="144">
        <f>Sales!S78*S$6</f>
        <v>9075</v>
      </c>
      <c r="T20" s="144">
        <f>Sales!T78*T$6</f>
        <v>9075</v>
      </c>
      <c r="U20" s="144">
        <f>Sales!U78*U$6</f>
        <v>9075</v>
      </c>
      <c r="V20" s="144">
        <f>Sales!V78*V$6</f>
        <v>9075</v>
      </c>
      <c r="W20" s="144">
        <f>Sales!W78*W$6</f>
        <v>9075</v>
      </c>
      <c r="X20" s="144">
        <f>Sales!X78*X$6</f>
        <v>9075</v>
      </c>
      <c r="Y20" s="144">
        <f>Sales!Y78*Y$6</f>
        <v>9075</v>
      </c>
      <c r="Z20" s="144">
        <f>Sales!Z78*Z$6</f>
        <v>9075</v>
      </c>
      <c r="AA20" s="144">
        <f>Sales!AA78*AA$6</f>
        <v>9075</v>
      </c>
      <c r="AB20" s="144">
        <f>Sales!AB78*AB$6</f>
        <v>9075</v>
      </c>
      <c r="AC20" s="144">
        <f>Sales!AC78*AC$6</f>
        <v>9075</v>
      </c>
      <c r="AD20" s="144">
        <f>Sales!AD78*AD$6</f>
        <v>11000</v>
      </c>
      <c r="AE20" s="144">
        <f>Sales!AE78*AE$6</f>
        <v>0</v>
      </c>
      <c r="AF20" s="144">
        <f>Sales!AF78*AF$6</f>
        <v>0</v>
      </c>
      <c r="AG20" s="144">
        <f>Sales!AG78*AG$6</f>
        <v>0</v>
      </c>
    </row>
    <row r="21" spans="1:33" s="649" customFormat="1" ht="17.25" customHeight="1" outlineLevel="1">
      <c r="A21" s="894"/>
      <c r="B21" s="287"/>
      <c r="C21" s="24" t="str">
        <f>"  -  " &amp;Product_10</f>
        <v xml:space="preserve">  -  License Fees</v>
      </c>
      <c r="I21" s="71">
        <f t="shared" si="1"/>
        <v>500200</v>
      </c>
      <c r="J21" s="144">
        <f>Sales!J79*J$6</f>
        <v>0</v>
      </c>
      <c r="K21" s="144">
        <f>Sales!K79*K$6</f>
        <v>0</v>
      </c>
      <c r="L21" s="144">
        <f>Sales!L79*L$6</f>
        <v>0</v>
      </c>
      <c r="M21" s="144">
        <f>Sales!M79*M$6</f>
        <v>0</v>
      </c>
      <c r="N21" s="144">
        <f>Sales!N79*N$6</f>
        <v>0</v>
      </c>
      <c r="O21" s="144">
        <f>Sales!O79*O$6</f>
        <v>0</v>
      </c>
      <c r="P21" s="144">
        <f>Sales!P79*P$6</f>
        <v>100020</v>
      </c>
      <c r="Q21" s="144">
        <f>Sales!Q79*Q$6</f>
        <v>0</v>
      </c>
      <c r="R21" s="144">
        <f>Sales!R79*R$6</f>
        <v>0</v>
      </c>
      <c r="S21" s="144">
        <f>Sales!S79*S$6</f>
        <v>100030</v>
      </c>
      <c r="T21" s="144">
        <f>Sales!T79*T$6</f>
        <v>0</v>
      </c>
      <c r="U21" s="144">
        <f>Sales!U79*U$6</f>
        <v>0</v>
      </c>
      <c r="V21" s="144">
        <f>Sales!V79*V$6</f>
        <v>100040</v>
      </c>
      <c r="W21" s="144">
        <f>Sales!W79*W$6</f>
        <v>0</v>
      </c>
      <c r="X21" s="144">
        <f>Sales!X79*X$6</f>
        <v>0</v>
      </c>
      <c r="Y21" s="144">
        <f>Sales!Y79*Y$6</f>
        <v>100050</v>
      </c>
      <c r="Z21" s="144">
        <f>Sales!Z79*Z$6</f>
        <v>0</v>
      </c>
      <c r="AA21" s="144">
        <f>Sales!AA79*AA$6</f>
        <v>0</v>
      </c>
      <c r="AB21" s="144">
        <f>Sales!AB79*AB$6</f>
        <v>100060</v>
      </c>
      <c r="AC21" s="144">
        <f>Sales!AC79*AC$6</f>
        <v>0</v>
      </c>
      <c r="AD21" s="144">
        <f>Sales!AD79*AD$6</f>
        <v>0</v>
      </c>
      <c r="AE21" s="144">
        <f>Sales!AE79*AE$6</f>
        <v>0</v>
      </c>
      <c r="AF21" s="144">
        <f>Sales!AF79*AF$6</f>
        <v>0</v>
      </c>
      <c r="AG21" s="144">
        <f>Sales!AG79*AG$6</f>
        <v>0</v>
      </c>
    </row>
    <row r="22" spans="1:33" ht="17.25" customHeight="1" outlineLevel="1">
      <c r="A22" s="894"/>
      <c r="B22" s="241"/>
      <c r="C22" s="133" t="str">
        <f>CHOOSE(language,"Total Turnover","Total Revenue")</f>
        <v>Total Revenue</v>
      </c>
      <c r="D22" s="134"/>
      <c r="E22" s="134"/>
      <c r="F22" s="134"/>
      <c r="G22" s="134"/>
      <c r="H22" s="134"/>
      <c r="I22" s="71">
        <f t="shared" si="1"/>
        <v>3737033.4379945695</v>
      </c>
      <c r="J22" s="401">
        <f t="shared" ref="J22:AG22" si="2">SUM(J12:J21)</f>
        <v>143622</v>
      </c>
      <c r="K22" s="401">
        <f t="shared" si="2"/>
        <v>151461.54999999999</v>
      </c>
      <c r="L22" s="401">
        <f t="shared" si="2"/>
        <v>151652.99549999999</v>
      </c>
      <c r="M22" s="401">
        <f t="shared" si="2"/>
        <v>151846.35545500001</v>
      </c>
      <c r="N22" s="401">
        <f t="shared" si="2"/>
        <v>152041.64900954999</v>
      </c>
      <c r="O22" s="401">
        <f t="shared" si="2"/>
        <v>152238.8954996455</v>
      </c>
      <c r="P22" s="401">
        <f t="shared" si="2"/>
        <v>252458.11445464197</v>
      </c>
      <c r="Q22" s="401">
        <f t="shared" si="2"/>
        <v>148179.32559918839</v>
      </c>
      <c r="R22" s="401">
        <f t="shared" si="2"/>
        <v>150882.54885518027</v>
      </c>
      <c r="S22" s="401">
        <f t="shared" si="2"/>
        <v>255717.80434373207</v>
      </c>
      <c r="T22" s="401">
        <f t="shared" si="2"/>
        <v>155945.11238716939</v>
      </c>
      <c r="U22" s="401">
        <f t="shared" si="2"/>
        <v>154932.9935110411</v>
      </c>
      <c r="V22" s="401">
        <f t="shared" si="2"/>
        <v>255235.4734461515</v>
      </c>
      <c r="W22" s="401">
        <f t="shared" si="2"/>
        <v>155460.57818061303</v>
      </c>
      <c r="X22" s="401">
        <f t="shared" si="2"/>
        <v>155728.33396241916</v>
      </c>
      <c r="Y22" s="401">
        <f t="shared" si="2"/>
        <v>256048.76730204333</v>
      </c>
      <c r="Z22" s="401">
        <f t="shared" si="2"/>
        <v>156931.90497506378</v>
      </c>
      <c r="AA22" s="401">
        <f t="shared" si="2"/>
        <v>157207.7740248144</v>
      </c>
      <c r="AB22" s="401">
        <f t="shared" si="2"/>
        <v>257546.40176506256</v>
      </c>
      <c r="AC22" s="401">
        <f t="shared" si="2"/>
        <v>155467.81578271318</v>
      </c>
      <c r="AD22" s="401">
        <f t="shared" si="2"/>
        <v>166427.04394054032</v>
      </c>
      <c r="AE22" s="401">
        <f t="shared" si="2"/>
        <v>0</v>
      </c>
      <c r="AF22" s="401">
        <f t="shared" si="2"/>
        <v>0</v>
      </c>
      <c r="AG22" s="401">
        <f t="shared" si="2"/>
        <v>0</v>
      </c>
    </row>
    <row r="23" spans="1:33" s="649" customFormat="1" ht="17.25" customHeight="1" outlineLevel="1">
      <c r="A23" s="894"/>
      <c r="B23" s="287"/>
      <c r="C23" s="393" t="s">
        <v>349</v>
      </c>
      <c r="D23" s="346"/>
      <c r="E23" s="346"/>
      <c r="F23" s="346"/>
      <c r="G23" s="346"/>
      <c r="H23" s="346"/>
      <c r="I23" s="346"/>
      <c r="J23" s="719"/>
      <c r="K23" s="719"/>
      <c r="L23" s="719"/>
      <c r="M23" s="719"/>
      <c r="N23" s="719"/>
      <c r="O23" s="346"/>
      <c r="P23" s="346"/>
      <c r="Q23" s="346"/>
      <c r="R23" s="346"/>
      <c r="S23" s="346"/>
      <c r="T23" s="346"/>
      <c r="U23" s="346"/>
      <c r="V23" s="346"/>
      <c r="W23" s="346"/>
      <c r="X23" s="346"/>
      <c r="Y23" s="346"/>
      <c r="Z23" s="346"/>
      <c r="AA23" s="346"/>
      <c r="AB23" s="346"/>
      <c r="AC23" s="346"/>
      <c r="AD23" s="346"/>
      <c r="AE23" s="346"/>
      <c r="AF23" s="346"/>
      <c r="AG23" s="346"/>
    </row>
    <row r="24" spans="1:33" s="649" customFormat="1" ht="17.25" customHeight="1" outlineLevel="1">
      <c r="A24" s="894"/>
      <c r="B24" s="287"/>
      <c r="C24" s="649" t="s">
        <v>350</v>
      </c>
      <c r="E24" s="911"/>
      <c r="F24" s="911"/>
      <c r="G24" s="911"/>
      <c r="I24" s="71">
        <f>SUM(J24:AG24)</f>
        <v>1503793.8982874597</v>
      </c>
      <c r="J24" s="144">
        <f>'Costs 01'!J122</f>
        <v>66910.574999999997</v>
      </c>
      <c r="K24" s="144">
        <f>'Costs 01'!K122</f>
        <v>71957.291249999995</v>
      </c>
      <c r="L24" s="144">
        <f>'Costs 01'!L122</f>
        <v>71971.6496625</v>
      </c>
      <c r="M24" s="144">
        <f>'Costs 01'!M122</f>
        <v>71986.151659124997</v>
      </c>
      <c r="N24" s="144">
        <f>'Costs 01'!N122</f>
        <v>72000.798675716243</v>
      </c>
      <c r="O24" s="144">
        <f>'Costs 01'!O122</f>
        <v>72015.592162473418</v>
      </c>
      <c r="P24" s="144">
        <f>'Costs 01'!P122</f>
        <v>72030.533584098142</v>
      </c>
      <c r="Q24" s="144">
        <f>'Costs 01'!Q122</f>
        <v>69400.624419939122</v>
      </c>
      <c r="R24" s="144">
        <f>'Costs 01'!R122</f>
        <v>69640.866164138512</v>
      </c>
      <c r="S24" s="144">
        <f>'Costs 01'!S122</f>
        <v>72856.260325779906</v>
      </c>
      <c r="T24" s="144">
        <f>'Costs 01'!T122</f>
        <v>72285.70842903771</v>
      </c>
      <c r="U24" s="144">
        <f>'Costs 01'!U122</f>
        <v>71615.447013328085</v>
      </c>
      <c r="V24" s="144">
        <f>'Costs 01'!V122</f>
        <v>71645.078983461368</v>
      </c>
      <c r="W24" s="144">
        <f>'Costs 01'!W122</f>
        <v>71675.007273295982</v>
      </c>
      <c r="X24" s="144">
        <f>'Costs 01'!X122</f>
        <v>71705.234846028936</v>
      </c>
      <c r="Y24" s="144">
        <f>'Costs 01'!Y122</f>
        <v>71735.764694489219</v>
      </c>
      <c r="Z24" s="144">
        <f>'Costs 01'!Z122</f>
        <v>71766.599841434116</v>
      </c>
      <c r="AA24" s="144">
        <f>'Costs 01'!AA122</f>
        <v>71797.743339848457</v>
      </c>
      <c r="AB24" s="144">
        <f>'Costs 01'!AB122</f>
        <v>71829.198273246948</v>
      </c>
      <c r="AC24" s="144">
        <f>'Costs 01'!AC122</f>
        <v>70260.967755979422</v>
      </c>
      <c r="AD24" s="144">
        <f>'Costs 01'!AD122</f>
        <v>76706.804933539213</v>
      </c>
      <c r="AE24" s="144">
        <f>'Costs 01'!AE122</f>
        <v>0</v>
      </c>
      <c r="AF24" s="144">
        <f>'Costs 01'!AF122</f>
        <v>0</v>
      </c>
      <c r="AG24" s="144">
        <f>'Costs 01'!AG122</f>
        <v>0</v>
      </c>
    </row>
    <row r="25" spans="1:33" s="649" customFormat="1" ht="17.25" customHeight="1" outlineLevel="1">
      <c r="A25" s="894"/>
      <c r="B25" s="287"/>
      <c r="C25" s="649" t="str">
        <f>CHOOSE(language,"  -  Direct labour","  -  Direct labor")</f>
        <v xml:space="preserve">  -  Direct labor</v>
      </c>
      <c r="I25" s="71">
        <f>SUM(J25:AG25)</f>
        <v>150592.5</v>
      </c>
      <c r="J25" s="144">
        <f>'Costs 02'!J286</f>
        <v>4250</v>
      </c>
      <c r="K25" s="144">
        <f>'Costs 02'!K286</f>
        <v>4250</v>
      </c>
      <c r="L25" s="144">
        <f>'Costs 02'!L286</f>
        <v>4250</v>
      </c>
      <c r="M25" s="144">
        <f>'Costs 02'!M286</f>
        <v>4250</v>
      </c>
      <c r="N25" s="144">
        <f>'Costs 02'!N286</f>
        <v>4250</v>
      </c>
      <c r="O25" s="144">
        <f>'Costs 02'!O286</f>
        <v>4250</v>
      </c>
      <c r="P25" s="144">
        <f>'Costs 02'!P286</f>
        <v>6333.333333333333</v>
      </c>
      <c r="Q25" s="144">
        <f>'Costs 02'!Q286</f>
        <v>8416.6666666666679</v>
      </c>
      <c r="R25" s="144">
        <f>'Costs 02'!R286</f>
        <v>8416.6666666666679</v>
      </c>
      <c r="S25" s="144">
        <f>'Costs 02'!S286</f>
        <v>8416.6666666666679</v>
      </c>
      <c r="T25" s="144">
        <f>'Costs 02'!T286</f>
        <v>8500.8333333333321</v>
      </c>
      <c r="U25" s="144">
        <f>'Costs 02'!U286</f>
        <v>8500.8333333333321</v>
      </c>
      <c r="V25" s="144">
        <f>'Costs 02'!V286</f>
        <v>8500.8333333333321</v>
      </c>
      <c r="W25" s="144">
        <f>'Costs 02'!W286</f>
        <v>8500.8333333333321</v>
      </c>
      <c r="X25" s="144">
        <f>'Costs 02'!X286</f>
        <v>8500.8333333333321</v>
      </c>
      <c r="Y25" s="144">
        <f>'Costs 02'!Y286</f>
        <v>8500.8333333333321</v>
      </c>
      <c r="Z25" s="144">
        <f>'Costs 02'!Z286</f>
        <v>8500.8333333333321</v>
      </c>
      <c r="AA25" s="144">
        <f>'Costs 02'!AA286</f>
        <v>8500.8333333333321</v>
      </c>
      <c r="AB25" s="144">
        <f>'Costs 02'!AB286</f>
        <v>8500.8333333333321</v>
      </c>
      <c r="AC25" s="144">
        <f>'Costs 02'!AC286</f>
        <v>8500.8333333333321</v>
      </c>
      <c r="AD25" s="144">
        <f>'Costs 02'!AD286</f>
        <v>8500.8333333333321</v>
      </c>
      <c r="AE25" s="144">
        <f>'Costs 02'!AE286</f>
        <v>0</v>
      </c>
      <c r="AF25" s="144">
        <f>'Costs 02'!AF286</f>
        <v>0</v>
      </c>
      <c r="AG25" s="144">
        <f>'Costs 02'!AG286</f>
        <v>0</v>
      </c>
    </row>
    <row r="26" spans="1:33" s="649" customFormat="1" ht="17.25" customHeight="1" outlineLevel="1">
      <c r="A26" s="894"/>
      <c r="B26" s="287"/>
      <c r="C26" s="649" t="s">
        <v>351</v>
      </c>
      <c r="I26" s="71">
        <f>SUM(J26:AG26)</f>
        <v>121349.58618797854</v>
      </c>
      <c r="J26" s="144">
        <f>'Costs 02'!J333</f>
        <v>4381.22</v>
      </c>
      <c r="K26" s="144">
        <f>'Costs 02'!K333</f>
        <v>4769.6154999999999</v>
      </c>
      <c r="L26" s="144">
        <f>'Costs 02'!L333</f>
        <v>4824.029955</v>
      </c>
      <c r="M26" s="144">
        <f>'Costs 02'!M333</f>
        <v>4881.0885545500005</v>
      </c>
      <c r="N26" s="144">
        <f>'Costs 02'!N333</f>
        <v>4940.9227400955006</v>
      </c>
      <c r="O26" s="144">
        <f>'Costs 02'!O333</f>
        <v>5003.6705174964554</v>
      </c>
      <c r="P26" s="144">
        <f>'Costs 02'!P333</f>
        <v>6069.6767851714203</v>
      </c>
      <c r="Q26" s="144">
        <f>'Costs 02'!Q333</f>
        <v>5063.8936786481345</v>
      </c>
      <c r="R26" s="144">
        <f>'Costs 02'!R333</f>
        <v>5161.2809323408655</v>
      </c>
      <c r="S26" s="144">
        <f>'Costs 02'!S333</f>
        <v>6513.5062594158371</v>
      </c>
      <c r="T26" s="144">
        <f>'Costs 02'!T333</f>
        <v>5593.3457506491359</v>
      </c>
      <c r="U26" s="144">
        <f>'Costs 02'!U333</f>
        <v>5664.6692932267251</v>
      </c>
      <c r="V26" s="144">
        <f>'Costs 02'!V333</f>
        <v>6753.2110604836453</v>
      </c>
      <c r="W26" s="144">
        <f>'Costs 02'!W333</f>
        <v>5845.2549241293673</v>
      </c>
      <c r="X26" s="144">
        <f>'Costs 02'!X333</f>
        <v>5942.2149390635896</v>
      </c>
      <c r="Y26" s="144">
        <f>'Costs 02'!Y333</f>
        <v>7044.4158524318018</v>
      </c>
      <c r="Z26" s="144">
        <f>'Costs 02'!Z333</f>
        <v>6157.193638132575</v>
      </c>
      <c r="AA26" s="144">
        <f>'Costs 02'!AA333</f>
        <v>6269.0960580491774</v>
      </c>
      <c r="AB26" s="144">
        <f>'Costs 02'!AB333</f>
        <v>7387.0832513417117</v>
      </c>
      <c r="AC26" s="144">
        <f>'Costs 02'!AC333</f>
        <v>6371.6283532027719</v>
      </c>
      <c r="AD26" s="144">
        <f>'Costs 02'!AD333</f>
        <v>6712.5681445498258</v>
      </c>
      <c r="AE26" s="144">
        <f>'Costs 02'!AE333</f>
        <v>0</v>
      </c>
      <c r="AF26" s="144">
        <f>'Costs 02'!AF333</f>
        <v>0</v>
      </c>
      <c r="AG26" s="144">
        <f>'Costs 02'!AG333</f>
        <v>0</v>
      </c>
    </row>
    <row r="27" spans="1:33" s="649" customFormat="1" ht="17.25" customHeight="1" outlineLevel="1">
      <c r="A27" s="894"/>
      <c r="B27" s="287"/>
      <c r="C27" s="121" t="s">
        <v>850</v>
      </c>
      <c r="I27" s="71">
        <f>SUM(J27:AG27)</f>
        <v>1775735.9844754385</v>
      </c>
      <c r="J27" s="761">
        <f t="shared" ref="J27:AG27" si="3">SUM(J24:J26)</f>
        <v>75541.794999999998</v>
      </c>
      <c r="K27" s="761">
        <f t="shared" si="3"/>
        <v>80976.906749999995</v>
      </c>
      <c r="L27" s="761">
        <f t="shared" si="3"/>
        <v>81045.679617500005</v>
      </c>
      <c r="M27" s="761">
        <f t="shared" si="3"/>
        <v>81117.240213675002</v>
      </c>
      <c r="N27" s="761">
        <f t="shared" si="3"/>
        <v>81191.721415811742</v>
      </c>
      <c r="O27" s="761">
        <f t="shared" si="3"/>
        <v>81269.262679969877</v>
      </c>
      <c r="P27" s="761">
        <f t="shared" si="3"/>
        <v>84433.543702602896</v>
      </c>
      <c r="Q27" s="761">
        <f t="shared" si="3"/>
        <v>82881.184765253929</v>
      </c>
      <c r="R27" s="761">
        <f t="shared" si="3"/>
        <v>83218.813763146056</v>
      </c>
      <c r="S27" s="761">
        <f t="shared" si="3"/>
        <v>87786.433251862414</v>
      </c>
      <c r="T27" s="761">
        <f t="shared" si="3"/>
        <v>86379.887513020178</v>
      </c>
      <c r="U27" s="761">
        <f t="shared" si="3"/>
        <v>85780.949639888131</v>
      </c>
      <c r="V27" s="761">
        <f t="shared" si="3"/>
        <v>86899.123377278345</v>
      </c>
      <c r="W27" s="761">
        <f t="shared" si="3"/>
        <v>86021.09553075867</v>
      </c>
      <c r="X27" s="761">
        <f t="shared" si="3"/>
        <v>86148.283118425854</v>
      </c>
      <c r="Y27" s="761">
        <f t="shared" si="3"/>
        <v>87281.013880254352</v>
      </c>
      <c r="Z27" s="761">
        <f t="shared" si="3"/>
        <v>86424.626812900024</v>
      </c>
      <c r="AA27" s="761">
        <f t="shared" si="3"/>
        <v>86567.672731230967</v>
      </c>
      <c r="AB27" s="761">
        <f t="shared" si="3"/>
        <v>87717.114857921988</v>
      </c>
      <c r="AC27" s="761">
        <f t="shared" si="3"/>
        <v>85133.429442515524</v>
      </c>
      <c r="AD27" s="761">
        <f t="shared" si="3"/>
        <v>91920.206411422361</v>
      </c>
      <c r="AE27" s="761">
        <f t="shared" si="3"/>
        <v>0</v>
      </c>
      <c r="AF27" s="761">
        <f t="shared" si="3"/>
        <v>0</v>
      </c>
      <c r="AG27" s="761">
        <f t="shared" si="3"/>
        <v>0</v>
      </c>
    </row>
    <row r="28" spans="1:33" s="203" customFormat="1" ht="17.25" customHeight="1" outlineLevel="1">
      <c r="A28" s="894"/>
      <c r="B28" s="241"/>
      <c r="C28" s="133" t="s">
        <v>357</v>
      </c>
      <c r="D28" s="134"/>
      <c r="E28" s="134"/>
      <c r="F28" s="134"/>
      <c r="G28" s="134"/>
      <c r="H28" s="134"/>
      <c r="I28" s="71">
        <f>SUM(J28:AG28)</f>
        <v>1961297.4535191313</v>
      </c>
      <c r="J28" s="401">
        <f t="shared" ref="J28:AG28" si="4">J22-J27</f>
        <v>68080.205000000002</v>
      </c>
      <c r="K28" s="401">
        <f t="shared" si="4"/>
        <v>70484.643249999994</v>
      </c>
      <c r="L28" s="401">
        <f t="shared" si="4"/>
        <v>70607.315882499985</v>
      </c>
      <c r="M28" s="401">
        <f t="shared" si="4"/>
        <v>70729.115241325009</v>
      </c>
      <c r="N28" s="401">
        <f t="shared" si="4"/>
        <v>70849.927593738248</v>
      </c>
      <c r="O28" s="401">
        <f t="shared" si="4"/>
        <v>70969.632819675622</v>
      </c>
      <c r="P28" s="401">
        <f t="shared" si="4"/>
        <v>168024.57075203909</v>
      </c>
      <c r="Q28" s="401">
        <f t="shared" si="4"/>
        <v>65298.140833934463</v>
      </c>
      <c r="R28" s="401">
        <f t="shared" si="4"/>
        <v>67663.735092034214</v>
      </c>
      <c r="S28" s="401">
        <f t="shared" si="4"/>
        <v>167931.37109186966</v>
      </c>
      <c r="T28" s="401">
        <f t="shared" si="4"/>
        <v>69565.224874149208</v>
      </c>
      <c r="U28" s="401">
        <f t="shared" si="4"/>
        <v>69152.043871152971</v>
      </c>
      <c r="V28" s="401">
        <f t="shared" si="4"/>
        <v>168336.35006887314</v>
      </c>
      <c r="W28" s="401">
        <f t="shared" si="4"/>
        <v>69439.482649854355</v>
      </c>
      <c r="X28" s="401">
        <f t="shared" si="4"/>
        <v>69580.050843993304</v>
      </c>
      <c r="Y28" s="401">
        <f t="shared" si="4"/>
        <v>168767.75342178898</v>
      </c>
      <c r="Z28" s="401">
        <f t="shared" si="4"/>
        <v>70507.278162163755</v>
      </c>
      <c r="AA28" s="401">
        <f t="shared" si="4"/>
        <v>70640.10129358343</v>
      </c>
      <c r="AB28" s="401">
        <f t="shared" si="4"/>
        <v>169829.28690714057</v>
      </c>
      <c r="AC28" s="401">
        <f t="shared" si="4"/>
        <v>70334.386340197656</v>
      </c>
      <c r="AD28" s="401">
        <f t="shared" si="4"/>
        <v>74506.837529117955</v>
      </c>
      <c r="AE28" s="401">
        <f t="shared" si="4"/>
        <v>0</v>
      </c>
      <c r="AF28" s="401">
        <f t="shared" si="4"/>
        <v>0</v>
      </c>
      <c r="AG28" s="401">
        <f t="shared" si="4"/>
        <v>0</v>
      </c>
    </row>
    <row r="29" spans="1:33" s="649" customFormat="1" ht="17.25" customHeight="1" outlineLevel="1">
      <c r="A29" s="894"/>
      <c r="B29" s="287"/>
      <c r="C29" s="431" t="s">
        <v>358</v>
      </c>
      <c r="D29" s="346"/>
      <c r="E29" s="346"/>
      <c r="F29" s="346"/>
      <c r="G29" s="346"/>
      <c r="H29" s="346"/>
      <c r="I29" s="346"/>
      <c r="J29" s="718">
        <f>IFERROR(J28/J22,0)</f>
        <v>0.47402351311080476</v>
      </c>
      <c r="K29" s="718">
        <f t="shared" ref="K29:AG29" si="5">IFERROR(K28/K22,0)</f>
        <v>0.46536327701651015</v>
      </c>
      <c r="L29" s="718">
        <f t="shared" si="5"/>
        <v>0.46558470968349575</v>
      </c>
      <c r="M29" s="718">
        <f t="shared" si="5"/>
        <v>0.46579396014733943</v>
      </c>
      <c r="N29" s="718">
        <f t="shared" si="5"/>
        <v>0.46599026026932955</v>
      </c>
      <c r="O29" s="718">
        <f t="shared" si="5"/>
        <v>0.46617280417566404</v>
      </c>
      <c r="P29" s="718">
        <f t="shared" si="5"/>
        <v>0.66555424892958759</v>
      </c>
      <c r="Q29" s="718">
        <f t="shared" si="5"/>
        <v>0.44066971265991584</v>
      </c>
      <c r="R29" s="718">
        <f t="shared" si="5"/>
        <v>0.44845302260222991</v>
      </c>
      <c r="S29" s="718">
        <f t="shared" si="5"/>
        <v>0.65670582274411682</v>
      </c>
      <c r="T29" s="718">
        <f t="shared" si="5"/>
        <v>0.44608788187883464</v>
      </c>
      <c r="U29" s="718">
        <f t="shared" si="5"/>
        <v>0.44633516918541266</v>
      </c>
      <c r="V29" s="718">
        <f t="shared" si="5"/>
        <v>0.65953351936555182</v>
      </c>
      <c r="W29" s="718">
        <f t="shared" si="5"/>
        <v>0.44666939659249205</v>
      </c>
      <c r="X29" s="718">
        <f t="shared" si="5"/>
        <v>0.44680405340228307</v>
      </c>
      <c r="Y29" s="718">
        <f t="shared" si="5"/>
        <v>0.65912347557879525</v>
      </c>
      <c r="Z29" s="718">
        <f t="shared" si="5"/>
        <v>0.44928581076848106</v>
      </c>
      <c r="AA29" s="718">
        <f t="shared" si="5"/>
        <v>0.44934229068362275</v>
      </c>
      <c r="AB29" s="718">
        <f t="shared" si="5"/>
        <v>0.65941238449940076</v>
      </c>
      <c r="AC29" s="718">
        <f t="shared" si="5"/>
        <v>0.45240480150888113</v>
      </c>
      <c r="AD29" s="718">
        <f t="shared" si="5"/>
        <v>0.44768467771221809</v>
      </c>
      <c r="AE29" s="718">
        <f t="shared" si="5"/>
        <v>0</v>
      </c>
      <c r="AF29" s="718">
        <f t="shared" si="5"/>
        <v>0</v>
      </c>
      <c r="AG29" s="718">
        <f t="shared" si="5"/>
        <v>0</v>
      </c>
    </row>
    <row r="30" spans="1:33" s="649" customFormat="1" ht="17.25" customHeight="1" outlineLevel="1">
      <c r="A30" s="894"/>
      <c r="B30" s="287"/>
      <c r="C30" s="393" t="s">
        <v>352</v>
      </c>
      <c r="D30" s="346"/>
      <c r="E30" s="346"/>
      <c r="F30" s="346"/>
      <c r="G30" s="346"/>
      <c r="H30" s="346"/>
      <c r="I30" s="346"/>
      <c r="J30" s="346"/>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row>
    <row r="31" spans="1:33" s="649" customFormat="1" ht="17.25" customHeight="1" outlineLevel="1">
      <c r="A31" s="894"/>
      <c r="B31" s="287"/>
      <c r="C31" s="649" t="s">
        <v>355</v>
      </c>
      <c r="I31" s="71">
        <f t="shared" ref="I31:I49" si="6">SUM(J31:AG31)</f>
        <v>218094.92214028223</v>
      </c>
      <c r="J31" s="144">
        <f>'Costs 03'!J20</f>
        <v>12083.333333333334</v>
      </c>
      <c r="K31" s="144">
        <f>'Costs 03'!K20</f>
        <v>7085.3333333333339</v>
      </c>
      <c r="L31" s="144">
        <f>'Costs 03'!L20</f>
        <v>7087.3533333333344</v>
      </c>
      <c r="M31" s="144">
        <f>'Costs 03'!M20</f>
        <v>7089.3935333333338</v>
      </c>
      <c r="N31" s="144">
        <f>'Costs 03'!N20</f>
        <v>7091.4541353333343</v>
      </c>
      <c r="O31" s="144">
        <f>'Costs 03'!O20</f>
        <v>7093.5353433533337</v>
      </c>
      <c r="P31" s="144">
        <f>'Costs 03'!P20</f>
        <v>7095.6373634535339</v>
      </c>
      <c r="Q31" s="144">
        <f>'Costs 03'!Q20</f>
        <v>7097.7604037547362</v>
      </c>
      <c r="R31" s="144">
        <f>'Costs 03'!R20</f>
        <v>7099.9046744589496</v>
      </c>
      <c r="S31" s="144">
        <f>'Costs 03'!S20</f>
        <v>7102.0703878702061</v>
      </c>
      <c r="T31" s="144">
        <f>'Costs 03'!T20</f>
        <v>17422.174425082241</v>
      </c>
      <c r="U31" s="144">
        <f>'Costs 03'!U20</f>
        <v>12424.383669333063</v>
      </c>
      <c r="V31" s="144">
        <f>'Costs 03'!V20</f>
        <v>12426.615006026394</v>
      </c>
      <c r="W31" s="144">
        <f>'Costs 03'!W20</f>
        <v>12478.868656086657</v>
      </c>
      <c r="X31" s="144">
        <f>'Costs 03'!X20</f>
        <v>12481.144842647525</v>
      </c>
      <c r="Y31" s="144">
        <f>'Costs 03'!Y20</f>
        <v>12483.443791074</v>
      </c>
      <c r="Z31" s="144">
        <f>'Costs 03'!Z20</f>
        <v>12485.765728984739</v>
      </c>
      <c r="AA31" s="144">
        <f>'Costs 03'!AA20</f>
        <v>12488.110886274588</v>
      </c>
      <c r="AB31" s="144">
        <f>'Costs 03'!AB20</f>
        <v>12490.479495137333</v>
      </c>
      <c r="AC31" s="144">
        <f>'Costs 03'!AC20</f>
        <v>12492.871790088706</v>
      </c>
      <c r="AD31" s="144">
        <f>'Costs 03'!AD20</f>
        <v>12495.288007989593</v>
      </c>
      <c r="AE31" s="144">
        <f>'Costs 03'!AE20</f>
        <v>0</v>
      </c>
      <c r="AF31" s="144">
        <f>'Costs 03'!AF20</f>
        <v>0</v>
      </c>
      <c r="AG31" s="144">
        <f>'Costs 03'!AG20</f>
        <v>0</v>
      </c>
    </row>
    <row r="32" spans="1:33" s="649" customFormat="1" ht="17.25" customHeight="1" outlineLevel="1">
      <c r="A32" s="894"/>
      <c r="B32" s="287"/>
      <c r="C32" s="649" t="s">
        <v>354</v>
      </c>
      <c r="I32" s="71">
        <f t="shared" si="6"/>
        <v>246306.66666666666</v>
      </c>
      <c r="J32" s="144">
        <f>'Costs 03'!J31</f>
        <v>4633.333333333333</v>
      </c>
      <c r="K32" s="144">
        <f>'Costs 03'!K31</f>
        <v>4773.333333333333</v>
      </c>
      <c r="L32" s="144">
        <f>'Costs 03'!L31</f>
        <v>4843.333333333333</v>
      </c>
      <c r="M32" s="144">
        <f>'Costs 03'!M31</f>
        <v>4913.333333333333</v>
      </c>
      <c r="N32" s="144">
        <f>'Costs 03'!N31</f>
        <v>4983.333333333333</v>
      </c>
      <c r="O32" s="144">
        <f>'Costs 03'!O31</f>
        <v>5053.333333333333</v>
      </c>
      <c r="P32" s="144">
        <f>'Costs 03'!P31</f>
        <v>5123.333333333333</v>
      </c>
      <c r="Q32" s="144">
        <f>'Costs 03'!Q31</f>
        <v>13593.333333333332</v>
      </c>
      <c r="R32" s="144">
        <f>'Costs 03'!R31</f>
        <v>13663.333333333332</v>
      </c>
      <c r="S32" s="144">
        <f>'Costs 03'!S31</f>
        <v>13733.333333333332</v>
      </c>
      <c r="T32" s="144">
        <f>'Costs 03'!T31</f>
        <v>14096.666666666668</v>
      </c>
      <c r="U32" s="144">
        <f>'Costs 03'!U31</f>
        <v>14166.666666666668</v>
      </c>
      <c r="V32" s="144">
        <f>'Costs 03'!V31</f>
        <v>14236.666666666668</v>
      </c>
      <c r="W32" s="144">
        <f>'Costs 03'!W31</f>
        <v>14306.666666666668</v>
      </c>
      <c r="X32" s="144">
        <f>'Costs 03'!X31</f>
        <v>14376.666666666668</v>
      </c>
      <c r="Y32" s="144">
        <f>'Costs 03'!Y31</f>
        <v>14446.666666666668</v>
      </c>
      <c r="Z32" s="144">
        <f>'Costs 03'!Z31</f>
        <v>14516.666666666668</v>
      </c>
      <c r="AA32" s="144">
        <f>'Costs 03'!AA31</f>
        <v>14586.666666666668</v>
      </c>
      <c r="AB32" s="144">
        <f>'Costs 03'!AB31</f>
        <v>18683.333333333332</v>
      </c>
      <c r="AC32" s="144">
        <f>'Costs 03'!AC31</f>
        <v>18753.333333333332</v>
      </c>
      <c r="AD32" s="144">
        <f>'Costs 03'!AD31</f>
        <v>18823.333333333332</v>
      </c>
      <c r="AE32" s="144">
        <f>'Costs 03'!AE31</f>
        <v>0</v>
      </c>
      <c r="AF32" s="144">
        <f>'Costs 03'!AF31</f>
        <v>0</v>
      </c>
      <c r="AG32" s="144">
        <f>'Costs 03'!AG31</f>
        <v>0</v>
      </c>
    </row>
    <row r="33" spans="1:33" s="649" customFormat="1" ht="17.25" customHeight="1" outlineLevel="1">
      <c r="A33" s="894"/>
      <c r="B33" s="287"/>
      <c r="C33" s="649" t="s">
        <v>353</v>
      </c>
      <c r="I33" s="71">
        <f t="shared" si="6"/>
        <v>381670.66875989141</v>
      </c>
      <c r="J33" s="144">
        <f>'Costs 03'!J42</f>
        <v>12942.44</v>
      </c>
      <c r="K33" s="144">
        <f>'Costs 03'!K42</f>
        <v>11269.231</v>
      </c>
      <c r="L33" s="144">
        <f>'Costs 03'!L42</f>
        <v>11273.05991</v>
      </c>
      <c r="M33" s="144">
        <f>'Costs 03'!M42</f>
        <v>11606.927109100001</v>
      </c>
      <c r="N33" s="144">
        <f>'Costs 03'!N42</f>
        <v>11280.832980191</v>
      </c>
      <c r="O33" s="144">
        <f>'Costs 03'!O42</f>
        <v>17834.77790999291</v>
      </c>
      <c r="P33" s="144">
        <f>'Costs 03'!P42</f>
        <v>18839.162289092841</v>
      </c>
      <c r="Q33" s="144">
        <f>'Costs 03'!Q42</f>
        <v>16413.586511983769</v>
      </c>
      <c r="R33" s="144">
        <f>'Costs 03'!R42</f>
        <v>16797.650977103607</v>
      </c>
      <c r="S33" s="144">
        <f>'Costs 03'!S42</f>
        <v>18564.356086874643</v>
      </c>
      <c r="T33" s="144">
        <f>'Costs 03'!T42</f>
        <v>16788.90224774339</v>
      </c>
      <c r="U33" s="144">
        <f>'Costs 03'!U42</f>
        <v>17098.659870220821</v>
      </c>
      <c r="V33" s="144">
        <f>'Costs 03'!V42</f>
        <v>18774.709468923029</v>
      </c>
      <c r="W33" s="144">
        <f>'Costs 03'!W42</f>
        <v>23439.211563612262</v>
      </c>
      <c r="X33" s="144">
        <f>'Costs 03'!X42</f>
        <v>22444.566679248383</v>
      </c>
      <c r="Y33" s="144">
        <f>'Costs 03'!Y42</f>
        <v>23950.975346040868</v>
      </c>
      <c r="Z33" s="144">
        <f>'Costs 03'!Z42</f>
        <v>21968.638099501277</v>
      </c>
      <c r="AA33" s="144">
        <f>'Costs 03'!AA42</f>
        <v>21974.155480496287</v>
      </c>
      <c r="AB33" s="144">
        <f>'Costs 03'!AB42</f>
        <v>23980.928035301251</v>
      </c>
      <c r="AC33" s="144">
        <f>'Costs 03'!AC42</f>
        <v>22269.356315654262</v>
      </c>
      <c r="AD33" s="144">
        <f>'Costs 03'!AD42</f>
        <v>22158.540878810807</v>
      </c>
      <c r="AE33" s="144">
        <f>'Costs 03'!AE42</f>
        <v>0</v>
      </c>
      <c r="AF33" s="144">
        <f>'Costs 03'!AF42</f>
        <v>0</v>
      </c>
      <c r="AG33" s="144">
        <f>'Costs 03'!AG42</f>
        <v>0</v>
      </c>
    </row>
    <row r="34" spans="1:33" s="649" customFormat="1" ht="17.25" customHeight="1" outlineLevel="1">
      <c r="A34" s="894"/>
      <c r="B34" s="287"/>
      <c r="C34" s="649" t="str">
        <f>"  -  " &amp;Inputs!$C$72</f>
        <v xml:space="preserve">  -  Research &amp; Development</v>
      </c>
      <c r="I34" s="71">
        <f t="shared" si="6"/>
        <v>83689</v>
      </c>
      <c r="J34" s="144">
        <f>'Costs 03'!J53</f>
        <v>0</v>
      </c>
      <c r="K34" s="144">
        <f>'Costs 03'!K53</f>
        <v>0</v>
      </c>
      <c r="L34" s="144">
        <f>'Costs 03'!L53</f>
        <v>0</v>
      </c>
      <c r="M34" s="144">
        <f>'Costs 03'!M53</f>
        <v>0</v>
      </c>
      <c r="N34" s="144">
        <f>'Costs 03'!N53</f>
        <v>0</v>
      </c>
      <c r="O34" s="144">
        <f>'Costs 03'!O53</f>
        <v>6100</v>
      </c>
      <c r="P34" s="144">
        <f>'Costs 03'!P53</f>
        <v>5100</v>
      </c>
      <c r="Q34" s="144">
        <f>'Costs 03'!Q53</f>
        <v>5100</v>
      </c>
      <c r="R34" s="144">
        <f>'Costs 03'!R53</f>
        <v>5100</v>
      </c>
      <c r="S34" s="144">
        <f>'Costs 03'!S53</f>
        <v>5100</v>
      </c>
      <c r="T34" s="144">
        <f>'Costs 03'!T53</f>
        <v>5199</v>
      </c>
      <c r="U34" s="144">
        <f>'Costs 03'!U53</f>
        <v>5199</v>
      </c>
      <c r="V34" s="144">
        <f>'Costs 03'!V53</f>
        <v>5199</v>
      </c>
      <c r="W34" s="144">
        <f>'Costs 03'!W53</f>
        <v>5199</v>
      </c>
      <c r="X34" s="144">
        <f>'Costs 03'!X53</f>
        <v>5199</v>
      </c>
      <c r="Y34" s="144">
        <f>'Costs 03'!Y53</f>
        <v>5199</v>
      </c>
      <c r="Z34" s="144">
        <f>'Costs 03'!Z53</f>
        <v>5199</v>
      </c>
      <c r="AA34" s="144">
        <f>'Costs 03'!AA53</f>
        <v>5199</v>
      </c>
      <c r="AB34" s="144">
        <f>'Costs 03'!AB53</f>
        <v>5199</v>
      </c>
      <c r="AC34" s="144">
        <f>'Costs 03'!AC53</f>
        <v>5199</v>
      </c>
      <c r="AD34" s="144">
        <f>'Costs 03'!AD53</f>
        <v>5199</v>
      </c>
      <c r="AE34" s="144">
        <f>'Costs 03'!AE53</f>
        <v>0</v>
      </c>
      <c r="AF34" s="144">
        <f>'Costs 03'!AF53</f>
        <v>0</v>
      </c>
      <c r="AG34" s="144">
        <f>'Costs 03'!AG53</f>
        <v>0</v>
      </c>
    </row>
    <row r="35" spans="1:33" s="649" customFormat="1" ht="17.25" customHeight="1" outlineLevel="1">
      <c r="A35" s="894"/>
      <c r="B35" s="287"/>
      <c r="C35" s="649" t="s">
        <v>356</v>
      </c>
      <c r="I35" s="71">
        <f t="shared" si="6"/>
        <v>93450</v>
      </c>
      <c r="J35" s="144">
        <f>'Costs 03'!J66</f>
        <v>4450</v>
      </c>
      <c r="K35" s="144">
        <f>'Costs 03'!K66</f>
        <v>4450</v>
      </c>
      <c r="L35" s="144">
        <f>'Costs 03'!L66</f>
        <v>4450</v>
      </c>
      <c r="M35" s="144">
        <f>'Costs 03'!M66</f>
        <v>4450</v>
      </c>
      <c r="N35" s="144">
        <f>'Costs 03'!N66</f>
        <v>4450</v>
      </c>
      <c r="O35" s="144">
        <f>'Costs 03'!O66</f>
        <v>4450</v>
      </c>
      <c r="P35" s="144">
        <f>'Costs 03'!P66</f>
        <v>4450</v>
      </c>
      <c r="Q35" s="144">
        <f>'Costs 03'!Q66</f>
        <v>4450</v>
      </c>
      <c r="R35" s="144">
        <f>'Costs 03'!R66</f>
        <v>4450</v>
      </c>
      <c r="S35" s="144">
        <f>'Costs 03'!S66</f>
        <v>4450</v>
      </c>
      <c r="T35" s="144">
        <f>'Costs 03'!T66</f>
        <v>4450</v>
      </c>
      <c r="U35" s="144">
        <f>'Costs 03'!U66</f>
        <v>4450</v>
      </c>
      <c r="V35" s="144">
        <f>'Costs 03'!V66</f>
        <v>4450</v>
      </c>
      <c r="W35" s="144">
        <f>'Costs 03'!W66</f>
        <v>4450</v>
      </c>
      <c r="X35" s="144">
        <f>'Costs 03'!X66</f>
        <v>4450</v>
      </c>
      <c r="Y35" s="144">
        <f>'Costs 03'!Y66</f>
        <v>4450</v>
      </c>
      <c r="Z35" s="144">
        <f>'Costs 03'!Z66</f>
        <v>4450</v>
      </c>
      <c r="AA35" s="144">
        <f>'Costs 03'!AA66</f>
        <v>4450</v>
      </c>
      <c r="AB35" s="144">
        <f>'Costs 03'!AB66</f>
        <v>4450</v>
      </c>
      <c r="AC35" s="144">
        <f>'Costs 03'!AC66</f>
        <v>4450</v>
      </c>
      <c r="AD35" s="144">
        <f>'Costs 03'!AD66</f>
        <v>4450</v>
      </c>
      <c r="AE35" s="144">
        <f>'Costs 03'!AE66</f>
        <v>0</v>
      </c>
      <c r="AF35" s="144">
        <f>'Costs 03'!AF66</f>
        <v>0</v>
      </c>
      <c r="AG35" s="144">
        <f>'Costs 03'!AG66</f>
        <v>0</v>
      </c>
    </row>
    <row r="36" spans="1:33" s="649" customFormat="1" ht="17.25" customHeight="1" outlineLevel="1">
      <c r="A36" s="894"/>
      <c r="B36" s="287"/>
      <c r="C36" s="121" t="s">
        <v>367</v>
      </c>
      <c r="I36" s="71">
        <f t="shared" si="6"/>
        <v>1023211.2575668404</v>
      </c>
      <c r="J36" s="761">
        <f t="shared" ref="J36:AG36" si="7">SUM(J31:J35)</f>
        <v>34109.106666666667</v>
      </c>
      <c r="K36" s="761">
        <f t="shared" si="7"/>
        <v>27577.897666666668</v>
      </c>
      <c r="L36" s="761">
        <f t="shared" si="7"/>
        <v>27653.746576666668</v>
      </c>
      <c r="M36" s="761">
        <f t="shared" si="7"/>
        <v>28059.653975766669</v>
      </c>
      <c r="N36" s="761">
        <f t="shared" si="7"/>
        <v>27805.62044885767</v>
      </c>
      <c r="O36" s="761">
        <f t="shared" si="7"/>
        <v>40531.646586679577</v>
      </c>
      <c r="P36" s="761">
        <f t="shared" si="7"/>
        <v>40608.132985879711</v>
      </c>
      <c r="Q36" s="761">
        <f t="shared" si="7"/>
        <v>46654.68024907184</v>
      </c>
      <c r="R36" s="761">
        <f t="shared" si="7"/>
        <v>47110.888984895893</v>
      </c>
      <c r="S36" s="761">
        <f t="shared" si="7"/>
        <v>48949.759808078183</v>
      </c>
      <c r="T36" s="761">
        <f t="shared" si="7"/>
        <v>57956.743339492299</v>
      </c>
      <c r="U36" s="761">
        <f t="shared" si="7"/>
        <v>53338.710206220552</v>
      </c>
      <c r="V36" s="761">
        <f t="shared" si="7"/>
        <v>55086.99114161609</v>
      </c>
      <c r="W36" s="761">
        <f t="shared" si="7"/>
        <v>59873.746886365589</v>
      </c>
      <c r="X36" s="761">
        <f t="shared" si="7"/>
        <v>58951.378188562579</v>
      </c>
      <c r="Y36" s="761">
        <f t="shared" si="7"/>
        <v>60530.085803781534</v>
      </c>
      <c r="Z36" s="761">
        <f t="shared" si="7"/>
        <v>58620.070495152686</v>
      </c>
      <c r="AA36" s="761">
        <f t="shared" si="7"/>
        <v>58697.933033437541</v>
      </c>
      <c r="AB36" s="761">
        <f t="shared" si="7"/>
        <v>64803.74086377192</v>
      </c>
      <c r="AC36" s="761">
        <f t="shared" si="7"/>
        <v>63164.5614390763</v>
      </c>
      <c r="AD36" s="761">
        <f t="shared" si="7"/>
        <v>63126.16222013373</v>
      </c>
      <c r="AE36" s="761">
        <f t="shared" si="7"/>
        <v>0</v>
      </c>
      <c r="AF36" s="761">
        <f t="shared" si="7"/>
        <v>0</v>
      </c>
      <c r="AG36" s="761">
        <f t="shared" si="7"/>
        <v>0</v>
      </c>
    </row>
    <row r="37" spans="1:33" ht="17.25" customHeight="1" outlineLevel="1">
      <c r="A37" s="894"/>
      <c r="B37" s="241"/>
      <c r="C37" s="133" t="s">
        <v>359</v>
      </c>
      <c r="D37" s="134"/>
      <c r="E37" s="134"/>
      <c r="F37" s="134"/>
      <c r="G37" s="134"/>
      <c r="H37" s="134"/>
      <c r="I37" s="71">
        <f t="shared" si="6"/>
        <v>938086.19595229125</v>
      </c>
      <c r="J37" s="401">
        <f t="shared" ref="J37:AG37" si="8">J28-J36</f>
        <v>33971.098333333335</v>
      </c>
      <c r="K37" s="401">
        <f t="shared" si="8"/>
        <v>42906.745583333322</v>
      </c>
      <c r="L37" s="401">
        <f t="shared" si="8"/>
        <v>42953.569305833313</v>
      </c>
      <c r="M37" s="401">
        <f t="shared" si="8"/>
        <v>42669.461265558341</v>
      </c>
      <c r="N37" s="401">
        <f t="shared" si="8"/>
        <v>43044.307144880579</v>
      </c>
      <c r="O37" s="401">
        <f t="shared" si="8"/>
        <v>30437.986232996045</v>
      </c>
      <c r="P37" s="401">
        <f t="shared" si="8"/>
        <v>127416.43776615938</v>
      </c>
      <c r="Q37" s="401">
        <f t="shared" si="8"/>
        <v>18643.460584862623</v>
      </c>
      <c r="R37" s="401">
        <f t="shared" si="8"/>
        <v>20552.846107138321</v>
      </c>
      <c r="S37" s="401">
        <f t="shared" si="8"/>
        <v>118981.61128379148</v>
      </c>
      <c r="T37" s="401">
        <f t="shared" si="8"/>
        <v>11608.481534656908</v>
      </c>
      <c r="U37" s="401">
        <f t="shared" si="8"/>
        <v>15813.333664932419</v>
      </c>
      <c r="V37" s="401">
        <f t="shared" si="8"/>
        <v>113249.35892725705</v>
      </c>
      <c r="W37" s="401">
        <f t="shared" si="8"/>
        <v>9565.7357634887667</v>
      </c>
      <c r="X37" s="401">
        <f t="shared" si="8"/>
        <v>10628.672655430724</v>
      </c>
      <c r="Y37" s="401">
        <f t="shared" si="8"/>
        <v>108237.66761800744</v>
      </c>
      <c r="Z37" s="401">
        <f t="shared" si="8"/>
        <v>11887.207667011069</v>
      </c>
      <c r="AA37" s="401">
        <f t="shared" si="8"/>
        <v>11942.168260145889</v>
      </c>
      <c r="AB37" s="401">
        <f t="shared" si="8"/>
        <v>105025.54604336865</v>
      </c>
      <c r="AC37" s="401">
        <f t="shared" si="8"/>
        <v>7169.8249011213557</v>
      </c>
      <c r="AD37" s="401">
        <f t="shared" si="8"/>
        <v>11380.675308984224</v>
      </c>
      <c r="AE37" s="401">
        <f t="shared" si="8"/>
        <v>0</v>
      </c>
      <c r="AF37" s="401">
        <f t="shared" si="8"/>
        <v>0</v>
      </c>
      <c r="AG37" s="401">
        <f t="shared" si="8"/>
        <v>0</v>
      </c>
    </row>
    <row r="38" spans="1:33" ht="17.25" customHeight="1" outlineLevel="1">
      <c r="A38" s="894"/>
      <c r="B38" s="241"/>
      <c r="C38" s="117" t="s">
        <v>362</v>
      </c>
      <c r="D38" s="704"/>
      <c r="E38" s="704"/>
      <c r="F38" s="704"/>
      <c r="G38" s="259"/>
      <c r="I38" s="71">
        <f t="shared" si="6"/>
        <v>11750</v>
      </c>
      <c r="J38" s="144">
        <f>(Inputs!J302+Capex!J166)*J6</f>
        <v>0</v>
      </c>
      <c r="K38" s="144">
        <f>(Inputs!K302+Capex!K166)*K6</f>
        <v>0</v>
      </c>
      <c r="L38" s="144">
        <f>(Inputs!L302+Capex!L166)*L6</f>
        <v>0</v>
      </c>
      <c r="M38" s="144">
        <f>(Inputs!M302+Capex!M166)*M6</f>
        <v>4500</v>
      </c>
      <c r="N38" s="144">
        <f>(Inputs!N302+Capex!N166)*N6</f>
        <v>0</v>
      </c>
      <c r="O38" s="144">
        <f>(Inputs!O302+Capex!O166)*O6</f>
        <v>0</v>
      </c>
      <c r="P38" s="144">
        <f>(Inputs!P302+Capex!P166)*P6</f>
        <v>0</v>
      </c>
      <c r="Q38" s="144">
        <f>(Inputs!Q302+Capex!Q166)*Q6</f>
        <v>0</v>
      </c>
      <c r="R38" s="144">
        <f>(Inputs!R302+Capex!R166)*R6</f>
        <v>0</v>
      </c>
      <c r="S38" s="144">
        <f>(Inputs!S302+Capex!S166)*S6</f>
        <v>0</v>
      </c>
      <c r="T38" s="144">
        <f>(Inputs!T302+Capex!T166)*T6</f>
        <v>0</v>
      </c>
      <c r="U38" s="144">
        <f>(Inputs!U302+Capex!U166)*U6</f>
        <v>0</v>
      </c>
      <c r="V38" s="144">
        <f>(Inputs!V302+Capex!V166)*V6</f>
        <v>7250</v>
      </c>
      <c r="W38" s="144">
        <f>(Inputs!W302+Capex!W166)*W6</f>
        <v>0</v>
      </c>
      <c r="X38" s="144">
        <f>(Inputs!X302+Capex!X166)*X6</f>
        <v>0</v>
      </c>
      <c r="Y38" s="144">
        <f>(Inputs!Y302+Capex!Y166)*Y6</f>
        <v>0</v>
      </c>
      <c r="Z38" s="144">
        <f>(Inputs!Z302+Capex!Z166)*Z6</f>
        <v>0</v>
      </c>
      <c r="AA38" s="144">
        <f>(Inputs!AA302+Capex!AA166)*AA6</f>
        <v>0</v>
      </c>
      <c r="AB38" s="144">
        <f>(Inputs!AB302+Capex!AB166)*AB6</f>
        <v>0</v>
      </c>
      <c r="AC38" s="144">
        <f>(Inputs!AC302+Capex!AC166)*AC6</f>
        <v>0</v>
      </c>
      <c r="AD38" s="144">
        <f>(Inputs!AD302+Capex!AD166)*AD6</f>
        <v>0</v>
      </c>
      <c r="AE38" s="144">
        <f>(Inputs!AE302+Capex!AE166)*AE6</f>
        <v>0</v>
      </c>
      <c r="AF38" s="144">
        <f>(Inputs!AF302+Capex!AF166)*AF6</f>
        <v>0</v>
      </c>
      <c r="AG38" s="144">
        <f>(Inputs!AG302+Capex!AG166)*AG6</f>
        <v>0</v>
      </c>
    </row>
    <row r="39" spans="1:33" s="649" customFormat="1" ht="17.25" customHeight="1" outlineLevel="1">
      <c r="A39" s="894"/>
      <c r="B39" s="287"/>
      <c r="C39" s="117" t="s">
        <v>231</v>
      </c>
      <c r="G39" s="259"/>
      <c r="I39" s="71">
        <f t="shared" si="6"/>
        <v>56055.501569918553</v>
      </c>
      <c r="J39" s="144">
        <f>Sales!J82</f>
        <v>2154.33</v>
      </c>
      <c r="K39" s="144">
        <f>Sales!K82</f>
        <v>2271.9232499999998</v>
      </c>
      <c r="L39" s="144">
        <f>Sales!L82</f>
        <v>2274.7949325</v>
      </c>
      <c r="M39" s="144">
        <f>Sales!M82</f>
        <v>2277.6953318250003</v>
      </c>
      <c r="N39" s="144">
        <f>Sales!N82</f>
        <v>2280.6247351432498</v>
      </c>
      <c r="O39" s="144">
        <f>Sales!O82</f>
        <v>2283.5834324946823</v>
      </c>
      <c r="P39" s="144">
        <f>Sales!P82</f>
        <v>3786.8717168196295</v>
      </c>
      <c r="Q39" s="144">
        <f>Sales!Q82</f>
        <v>2222.6898839878259</v>
      </c>
      <c r="R39" s="144">
        <f>Sales!R82</f>
        <v>2263.238232827704</v>
      </c>
      <c r="S39" s="144">
        <f>Sales!S82</f>
        <v>3835.7670651559811</v>
      </c>
      <c r="T39" s="144">
        <f>Sales!T82</f>
        <v>2339.1766858075407</v>
      </c>
      <c r="U39" s="144">
        <f>Sales!U82</f>
        <v>2323.9949026656163</v>
      </c>
      <c r="V39" s="144">
        <f>Sales!V82</f>
        <v>3828.5321016922726</v>
      </c>
      <c r="W39" s="144">
        <f>Sales!W82</f>
        <v>2331.9086727091953</v>
      </c>
      <c r="X39" s="144">
        <f>Sales!X82</f>
        <v>2335.9250094362874</v>
      </c>
      <c r="Y39" s="144">
        <f>Sales!Y82</f>
        <v>3840.7315095306499</v>
      </c>
      <c r="Z39" s="144">
        <f>Sales!Z82</f>
        <v>2353.9785746259568</v>
      </c>
      <c r="AA39" s="144">
        <f>Sales!AA82</f>
        <v>2358.1166103722157</v>
      </c>
      <c r="AB39" s="144">
        <f>Sales!AB82</f>
        <v>3863.1960264759382</v>
      </c>
      <c r="AC39" s="144">
        <f>Sales!AC82</f>
        <v>2332.0172367406976</v>
      </c>
      <c r="AD39" s="144">
        <f>Sales!AD82</f>
        <v>2496.4056591081048</v>
      </c>
      <c r="AE39" s="144">
        <f>Sales!AE82</f>
        <v>0</v>
      </c>
      <c r="AF39" s="144">
        <f>Sales!AF82</f>
        <v>0</v>
      </c>
      <c r="AG39" s="144">
        <f>Sales!AG82</f>
        <v>0</v>
      </c>
    </row>
    <row r="40" spans="1:33" s="704" customFormat="1" ht="17.25" customHeight="1" outlineLevel="1">
      <c r="A40" s="894"/>
      <c r="B40" s="287"/>
      <c r="C40" s="704" t="s">
        <v>493</v>
      </c>
      <c r="G40" s="259"/>
      <c r="I40" s="71">
        <f t="shared" si="6"/>
        <v>0</v>
      </c>
      <c r="J40" s="144">
        <f>Capex!J180</f>
        <v>0</v>
      </c>
      <c r="K40" s="144">
        <f>Capex!K180</f>
        <v>0</v>
      </c>
      <c r="L40" s="144">
        <f>Capex!L180</f>
        <v>0</v>
      </c>
      <c r="M40" s="144">
        <f>Capex!M180</f>
        <v>0</v>
      </c>
      <c r="N40" s="144">
        <f>Capex!N180</f>
        <v>0</v>
      </c>
      <c r="O40" s="144">
        <f>Capex!O180</f>
        <v>0</v>
      </c>
      <c r="P40" s="144">
        <f>Capex!P180</f>
        <v>0</v>
      </c>
      <c r="Q40" s="144">
        <f>Capex!Q180</f>
        <v>0</v>
      </c>
      <c r="R40" s="144">
        <f>Capex!R180</f>
        <v>0</v>
      </c>
      <c r="S40" s="144">
        <f>Capex!S180</f>
        <v>0</v>
      </c>
      <c r="T40" s="144">
        <f>Capex!T180</f>
        <v>0</v>
      </c>
      <c r="U40" s="144">
        <f>Capex!U180</f>
        <v>0</v>
      </c>
      <c r="V40" s="144">
        <f>Capex!V180</f>
        <v>0</v>
      </c>
      <c r="W40" s="144">
        <f>Capex!W180</f>
        <v>0</v>
      </c>
      <c r="X40" s="144">
        <f>Capex!X180</f>
        <v>0</v>
      </c>
      <c r="Y40" s="144">
        <f>Capex!Y180</f>
        <v>0</v>
      </c>
      <c r="Z40" s="144">
        <f>Capex!Z180</f>
        <v>0</v>
      </c>
      <c r="AA40" s="144">
        <f>Capex!AA180</f>
        <v>0</v>
      </c>
      <c r="AB40" s="144">
        <f>Capex!AB180</f>
        <v>0</v>
      </c>
      <c r="AC40" s="144">
        <f>Capex!AC180</f>
        <v>0</v>
      </c>
      <c r="AD40" s="144">
        <f>Capex!AD180</f>
        <v>0</v>
      </c>
      <c r="AE40" s="144">
        <f>Capex!AE180</f>
        <v>0</v>
      </c>
      <c r="AF40" s="144">
        <f>Capex!AF180</f>
        <v>0</v>
      </c>
      <c r="AG40" s="144">
        <f>Capex!AG180</f>
        <v>0</v>
      </c>
    </row>
    <row r="41" spans="1:33" s="649" customFormat="1" ht="17.25" customHeight="1" outlineLevel="1">
      <c r="A41" s="894"/>
      <c r="B41" s="287"/>
      <c r="C41" s="649" t="str">
        <f>CHOOSE(language,"Depreciation &amp; Amortisation","Depreciation &amp; Amortization")</f>
        <v>Depreciation &amp; Amortization</v>
      </c>
      <c r="G41" s="259"/>
      <c r="I41" s="71">
        <f t="shared" si="6"/>
        <v>212266.66666666657</v>
      </c>
      <c r="J41" s="144">
        <f>Capex!J164</f>
        <v>4530.5555555555557</v>
      </c>
      <c r="K41" s="144">
        <f>Capex!K164</f>
        <v>5850</v>
      </c>
      <c r="L41" s="144">
        <f>Capex!L164</f>
        <v>9516.6666666666661</v>
      </c>
      <c r="M41" s="144">
        <f>Capex!M164</f>
        <v>9516.6666666666661</v>
      </c>
      <c r="N41" s="144">
        <f>Capex!N164</f>
        <v>10183.333333333332</v>
      </c>
      <c r="O41" s="144">
        <f>Capex!O164</f>
        <v>10183.333333333332</v>
      </c>
      <c r="P41" s="144">
        <f>Capex!P164</f>
        <v>10183.333333333332</v>
      </c>
      <c r="Q41" s="144">
        <f>Capex!Q164</f>
        <v>10183.333333333332</v>
      </c>
      <c r="R41" s="144">
        <f>Capex!R164</f>
        <v>10183.333333333332</v>
      </c>
      <c r="S41" s="144">
        <f>Capex!S164</f>
        <v>10183.333333333332</v>
      </c>
      <c r="T41" s="144">
        <f>Capex!T164</f>
        <v>10183.333333333332</v>
      </c>
      <c r="U41" s="144">
        <f>Capex!U164</f>
        <v>10183.333333333332</v>
      </c>
      <c r="V41" s="144">
        <f>Capex!V164</f>
        <v>10725</v>
      </c>
      <c r="W41" s="144">
        <f>Capex!W164</f>
        <v>10725</v>
      </c>
      <c r="X41" s="144">
        <f>Capex!X164</f>
        <v>11419.444444444445</v>
      </c>
      <c r="Y41" s="144">
        <f>Capex!Y164</f>
        <v>11419.444444444445</v>
      </c>
      <c r="Z41" s="144">
        <f>Capex!Z164</f>
        <v>11419.444444444445</v>
      </c>
      <c r="AA41" s="144">
        <f>Capex!AA164</f>
        <v>11419.444444444445</v>
      </c>
      <c r="AB41" s="144">
        <f>Capex!AB164</f>
        <v>11419.444444444445</v>
      </c>
      <c r="AC41" s="144">
        <f>Capex!AC164</f>
        <v>11419.444444444445</v>
      </c>
      <c r="AD41" s="144">
        <f>Capex!AD164</f>
        <v>11419.444444444445</v>
      </c>
      <c r="AE41" s="144">
        <f>Capex!AE164</f>
        <v>0</v>
      </c>
      <c r="AF41" s="144">
        <f>Capex!AF164</f>
        <v>0</v>
      </c>
      <c r="AG41" s="144">
        <f>Capex!AG164</f>
        <v>0</v>
      </c>
    </row>
    <row r="42" spans="1:33" ht="17.25" customHeight="1" outlineLevel="1">
      <c r="A42" s="894"/>
      <c r="B42" s="241"/>
      <c r="C42" s="133" t="s">
        <v>360</v>
      </c>
      <c r="D42" s="134"/>
      <c r="E42" s="134"/>
      <c r="F42" s="134"/>
      <c r="G42" s="134"/>
      <c r="H42" s="134"/>
      <c r="I42" s="71">
        <f t="shared" si="6"/>
        <v>681514.02771570615</v>
      </c>
      <c r="J42" s="401">
        <f>J37+J38-J39+J40-J41</f>
        <v>27286.212777777779</v>
      </c>
      <c r="K42" s="401">
        <f t="shared" ref="K42:AG42" si="9">K37+K38-K39+K40-K41</f>
        <v>34784.822333333323</v>
      </c>
      <c r="L42" s="401">
        <f t="shared" si="9"/>
        <v>31162.107706666648</v>
      </c>
      <c r="M42" s="401">
        <f t="shared" si="9"/>
        <v>35375.099267066675</v>
      </c>
      <c r="N42" s="401">
        <f t="shared" si="9"/>
        <v>30580.349076404</v>
      </c>
      <c r="O42" s="401">
        <f t="shared" si="9"/>
        <v>17971.069467168032</v>
      </c>
      <c r="P42" s="401">
        <f t="shared" si="9"/>
        <v>113446.23271600642</v>
      </c>
      <c r="Q42" s="401">
        <f t="shared" si="9"/>
        <v>6237.4373675414645</v>
      </c>
      <c r="R42" s="401">
        <f t="shared" si="9"/>
        <v>8106.2745409772833</v>
      </c>
      <c r="S42" s="401">
        <f t="shared" si="9"/>
        <v>104962.51088530218</v>
      </c>
      <c r="T42" s="401">
        <f t="shared" si="9"/>
        <v>-914.02848448396435</v>
      </c>
      <c r="U42" s="401">
        <f t="shared" si="9"/>
        <v>3306.0054289334712</v>
      </c>
      <c r="V42" s="401">
        <f t="shared" si="9"/>
        <v>105945.82682556479</v>
      </c>
      <c r="W42" s="401">
        <f t="shared" si="9"/>
        <v>-3491.1729092204287</v>
      </c>
      <c r="X42" s="401">
        <f t="shared" si="9"/>
        <v>-3126.6967984500079</v>
      </c>
      <c r="Y42" s="401">
        <f t="shared" si="9"/>
        <v>92977.491664032335</v>
      </c>
      <c r="Z42" s="401">
        <f t="shared" si="9"/>
        <v>-1886.2153520593329</v>
      </c>
      <c r="AA42" s="401">
        <f t="shared" si="9"/>
        <v>-1835.3927946707718</v>
      </c>
      <c r="AB42" s="401">
        <f t="shared" si="9"/>
        <v>89742.905572448275</v>
      </c>
      <c r="AC42" s="401">
        <f t="shared" si="9"/>
        <v>-6581.6367800637872</v>
      </c>
      <c r="AD42" s="401">
        <f t="shared" si="9"/>
        <v>-2535.1747945683255</v>
      </c>
      <c r="AE42" s="401">
        <f t="shared" si="9"/>
        <v>0</v>
      </c>
      <c r="AF42" s="401">
        <f t="shared" si="9"/>
        <v>0</v>
      </c>
      <c r="AG42" s="401">
        <f t="shared" si="9"/>
        <v>0</v>
      </c>
    </row>
    <row r="43" spans="1:33" ht="17.25" customHeight="1" outlineLevel="1">
      <c r="A43" s="894"/>
      <c r="B43" s="241"/>
      <c r="C43" s="117" t="s">
        <v>418</v>
      </c>
      <c r="D43" s="649"/>
      <c r="E43" s="649"/>
      <c r="I43" s="71">
        <f t="shared" ca="1" si="6"/>
        <v>31425.846984069452</v>
      </c>
      <c r="J43" s="144">
        <f>-(Financing!J28+Financing!J29++Financing!J31-Capex!J169)*J6</f>
        <v>2200.833333333333</v>
      </c>
      <c r="K43" s="144">
        <f ca="1">-(Financing!K28+Financing!K29++Financing!K31-Capex!K169)*K6</f>
        <v>3449.50876625</v>
      </c>
      <c r="L43" s="144">
        <f ca="1">-(Financing!L28+Financing!L29++Financing!L31-Capex!L169)*L6</f>
        <v>1474.2149497208331</v>
      </c>
      <c r="M43" s="144">
        <f ca="1">-(Financing!M28+Financing!M29++Financing!M31-Capex!M169)*M6</f>
        <v>1257.1232680986247</v>
      </c>
      <c r="N43" s="144">
        <f ca="1">-(Financing!N28+Financing!N29++Financing!N31-Capex!N169)*N6</f>
        <v>1311.6666666666667</v>
      </c>
      <c r="O43" s="144">
        <f ca="1">-(Financing!O28+Financing!O29++Financing!O31-Capex!O169)*O6</f>
        <v>1311.6666666666667</v>
      </c>
      <c r="P43" s="144">
        <f ca="1">-(Financing!P28+Financing!P29++Financing!P31-Capex!P169)*P6</f>
        <v>1292.9166666666667</v>
      </c>
      <c r="Q43" s="144">
        <f ca="1">-(Financing!Q28+Financing!Q29++Financing!Q31-Capex!Q169)*Q6</f>
        <v>1292.9166666666667</v>
      </c>
      <c r="R43" s="144">
        <f ca="1">-(Financing!R28+Financing!R29++Financing!R31-Capex!R169)*R6</f>
        <v>1292.9166666666667</v>
      </c>
      <c r="S43" s="144">
        <f ca="1">-(Financing!S28+Financing!S29++Financing!S31-Capex!S169)*S6</f>
        <v>1274.1666666666667</v>
      </c>
      <c r="T43" s="144">
        <f ca="1">-(Financing!T28+Financing!T29++Financing!T31-Capex!T169)*T6</f>
        <v>1274.1666666666667</v>
      </c>
      <c r="U43" s="144">
        <f ca="1">-(Financing!U28+Financing!U29++Financing!U31-Capex!U169)*U6</f>
        <v>1245</v>
      </c>
      <c r="V43" s="144">
        <f ca="1">-(Financing!V28+Financing!V29++Financing!V31-Capex!V169)*V6</f>
        <v>1226.25</v>
      </c>
      <c r="W43" s="144">
        <f ca="1">-(Financing!W28+Financing!W29++Financing!W31-Capex!W169)*W6</f>
        <v>1226.25</v>
      </c>
      <c r="X43" s="144">
        <f ca="1">-(Financing!X28+Financing!X29++Financing!X31-Capex!X169)*X6</f>
        <v>1976.25</v>
      </c>
      <c r="Y43" s="144">
        <f ca="1">-(Financing!Y28+Financing!Y29++Financing!Y31-Capex!Y169)*Y6</f>
        <v>1165.8333333333335</v>
      </c>
      <c r="Z43" s="144">
        <f ca="1">-(Financing!Z28+Financing!Z29++Financing!Z31-Capex!Z169)*Z6</f>
        <v>1159.5833333333335</v>
      </c>
      <c r="AA43" s="144">
        <f ca="1">-(Financing!AA28+Financing!AA29++Financing!AA31-Capex!AA169)*AA6</f>
        <v>1909.5833333333333</v>
      </c>
      <c r="AB43" s="144">
        <f ca="1">-(Financing!AB28+Financing!AB29++Financing!AB31-Capex!AB169)*AB6</f>
        <v>1111.6666666666667</v>
      </c>
      <c r="AC43" s="144">
        <f ca="1">-(Financing!AC28+Financing!AC29++Financing!AC31-Capex!AC169)*AC6</f>
        <v>1111.6666666666667</v>
      </c>
      <c r="AD43" s="144">
        <f ca="1">-(Financing!AD28+Financing!AD29++Financing!AD31-Capex!AD169)*AD6</f>
        <v>1861.6666666666667</v>
      </c>
      <c r="AE43" s="144">
        <f ca="1">-(Financing!AE28+Financing!AE29++Financing!AE31-Capex!AE169)*AE6</f>
        <v>0</v>
      </c>
      <c r="AF43" s="144">
        <f ca="1">-(Financing!AF28+Financing!AF29++Financing!AF31-Capex!AF169)*AF6</f>
        <v>0</v>
      </c>
      <c r="AG43" s="144">
        <f ca="1">-(Financing!AG28+Financing!AG29++Financing!AG31-Capex!AG169)*AG6</f>
        <v>0</v>
      </c>
    </row>
    <row r="44" spans="1:33" s="649" customFormat="1" ht="17.25" customHeight="1" outlineLevel="1">
      <c r="A44" s="894"/>
      <c r="B44" s="287"/>
      <c r="C44" s="649" t="s">
        <v>363</v>
      </c>
      <c r="I44" s="71">
        <f t="shared" ca="1" si="6"/>
        <v>3527.7846600489793</v>
      </c>
      <c r="J44" s="144">
        <f>Financing!J15</f>
        <v>6.25</v>
      </c>
      <c r="K44" s="144">
        <f ca="1">Financing!K15</f>
        <v>0</v>
      </c>
      <c r="L44" s="144">
        <f ca="1">Financing!L15</f>
        <v>0</v>
      </c>
      <c r="M44" s="144">
        <f ca="1">Financing!M15</f>
        <v>0</v>
      </c>
      <c r="N44" s="144">
        <f ca="1">Financing!N15</f>
        <v>65.398914499208331</v>
      </c>
      <c r="O44" s="144">
        <f ca="1">Financing!O15</f>
        <v>61.332165751621964</v>
      </c>
      <c r="P44" s="144">
        <f ca="1">Financing!P15</f>
        <v>70.400458855444001</v>
      </c>
      <c r="Q44" s="144">
        <f ca="1">Financing!Q15</f>
        <v>199.63864246709906</v>
      </c>
      <c r="R44" s="144">
        <f ca="1">Financing!R15</f>
        <v>243.81094353681067</v>
      </c>
      <c r="S44" s="144">
        <f ca="1">Financing!S15</f>
        <v>229.80362272893433</v>
      </c>
      <c r="T44" s="144">
        <f ca="1">Financing!T15</f>
        <v>341.12244579663843</v>
      </c>
      <c r="U44" s="144">
        <f ca="1">Financing!U15</f>
        <v>354.29030437902412</v>
      </c>
      <c r="V44" s="144">
        <f ca="1">Financing!V15</f>
        <v>286.1291254119962</v>
      </c>
      <c r="W44" s="144">
        <f ca="1">Financing!W15</f>
        <v>177.95552356066867</v>
      </c>
      <c r="X44" s="144">
        <f ca="1">Financing!X15</f>
        <v>134.32959733166132</v>
      </c>
      <c r="Y44" s="144">
        <f ca="1">Financing!Y15</f>
        <v>103.65193578325407</v>
      </c>
      <c r="Z44" s="144">
        <f ca="1">Financing!Z15</f>
        <v>205.03000163653422</v>
      </c>
      <c r="AA44" s="144">
        <f ca="1">Financing!AA15</f>
        <v>230.6478372123043</v>
      </c>
      <c r="AB44" s="144">
        <f ca="1">Financing!AB15</f>
        <v>203.48363814091022</v>
      </c>
      <c r="AC44" s="144">
        <f ca="1">Financing!AC15</f>
        <v>297.94225905510331</v>
      </c>
      <c r="AD44" s="144">
        <f ca="1">Financing!AD15</f>
        <v>316.56724390176652</v>
      </c>
      <c r="AE44" s="144">
        <f ca="1">Financing!AE15</f>
        <v>0</v>
      </c>
      <c r="AF44" s="144">
        <f ca="1">Financing!AF15</f>
        <v>0</v>
      </c>
      <c r="AG44" s="144">
        <f ca="1">Financing!AG15</f>
        <v>0</v>
      </c>
    </row>
    <row r="45" spans="1:33" s="649" customFormat="1" ht="17.25" customHeight="1" outlineLevel="1">
      <c r="A45" s="894"/>
      <c r="B45" s="287"/>
      <c r="C45" s="649" t="s">
        <v>364</v>
      </c>
      <c r="D45" s="1073"/>
      <c r="I45" s="71">
        <f t="shared" si="6"/>
        <v>2750</v>
      </c>
      <c r="J45" s="144">
        <f>(Inputs!J303+Inputs!J309)*J6</f>
        <v>0</v>
      </c>
      <c r="K45" s="144">
        <f>(Inputs!K303+Inputs!K309)*K6</f>
        <v>1000</v>
      </c>
      <c r="L45" s="144">
        <f>(Inputs!L303+Inputs!L309)*L6</f>
        <v>0</v>
      </c>
      <c r="M45" s="144">
        <f>(Inputs!M303+Inputs!M309)*M6</f>
        <v>0</v>
      </c>
      <c r="N45" s="144">
        <f>(Inputs!N303+Inputs!N309)*N6</f>
        <v>0</v>
      </c>
      <c r="O45" s="144">
        <f>(Inputs!O303+Inputs!O309)*O6</f>
        <v>0</v>
      </c>
      <c r="P45" s="144">
        <f>(Inputs!P303+Inputs!P309)*P6</f>
        <v>0</v>
      </c>
      <c r="Q45" s="144">
        <f>(Inputs!Q303+Inputs!Q309)*Q6</f>
        <v>0</v>
      </c>
      <c r="R45" s="144">
        <f>(Inputs!R303+Inputs!R309)*R6</f>
        <v>0</v>
      </c>
      <c r="S45" s="144">
        <f>(Inputs!S303+Inputs!S309)*S6</f>
        <v>0</v>
      </c>
      <c r="T45" s="144">
        <f>(Inputs!T303+Inputs!T309)*T6</f>
        <v>0</v>
      </c>
      <c r="U45" s="144">
        <f>(Inputs!U303+Inputs!U309)*U6</f>
        <v>0</v>
      </c>
      <c r="V45" s="144">
        <f>(Inputs!V303+Inputs!V309)*V6</f>
        <v>0</v>
      </c>
      <c r="W45" s="144">
        <f>(Inputs!W303+Inputs!W309)*W6</f>
        <v>0</v>
      </c>
      <c r="X45" s="144">
        <f>(Inputs!X303+Inputs!X309)*X6</f>
        <v>0</v>
      </c>
      <c r="Y45" s="144">
        <f>(Inputs!Y303+Inputs!Y309)*Y6</f>
        <v>0</v>
      </c>
      <c r="Z45" s="144">
        <f>(Inputs!Z303+Inputs!Z309)*Z6</f>
        <v>0</v>
      </c>
      <c r="AA45" s="144">
        <f>(Inputs!AA303+Inputs!AA309)*AA6</f>
        <v>1750</v>
      </c>
      <c r="AB45" s="144">
        <f>(Inputs!AB303+Inputs!AB309)*AB6</f>
        <v>0</v>
      </c>
      <c r="AC45" s="144">
        <f>(Inputs!AC303+Inputs!AC309)*AC6</f>
        <v>0</v>
      </c>
      <c r="AD45" s="144">
        <f>(Inputs!AD303+Inputs!AD309)*AD6</f>
        <v>0</v>
      </c>
      <c r="AE45" s="144">
        <f>(Inputs!AE303+Inputs!AE309)*AE6</f>
        <v>0</v>
      </c>
      <c r="AF45" s="144">
        <f>(Inputs!AF303+Inputs!AF309)*AF6</f>
        <v>0</v>
      </c>
      <c r="AG45" s="144">
        <f>(Inputs!AG303+Inputs!AG309)*AG6</f>
        <v>0</v>
      </c>
    </row>
    <row r="46" spans="1:33" s="649" customFormat="1" ht="17.25" customHeight="1" outlineLevel="1">
      <c r="A46" s="894"/>
      <c r="B46" s="287"/>
      <c r="C46" s="649" t="s">
        <v>365</v>
      </c>
      <c r="I46" s="71">
        <f t="shared" si="6"/>
        <v>6500</v>
      </c>
      <c r="J46" s="144">
        <f>Inputs!J304*J6</f>
        <v>0</v>
      </c>
      <c r="K46" s="144">
        <f>Inputs!K304*K6</f>
        <v>0</v>
      </c>
      <c r="L46" s="144">
        <f>Inputs!L304*L6</f>
        <v>0</v>
      </c>
      <c r="M46" s="144">
        <f>Inputs!M304*M6</f>
        <v>0</v>
      </c>
      <c r="N46" s="144">
        <f>Inputs!N304*N6</f>
        <v>0</v>
      </c>
      <c r="O46" s="144">
        <f>Inputs!O304*O6</f>
        <v>0</v>
      </c>
      <c r="P46" s="144">
        <f>Inputs!P304*P6</f>
        <v>0</v>
      </c>
      <c r="Q46" s="144">
        <f>Inputs!Q304*Q6</f>
        <v>6500</v>
      </c>
      <c r="R46" s="144">
        <f>Inputs!R304*R6</f>
        <v>0</v>
      </c>
      <c r="S46" s="144">
        <f>Inputs!S304*S6</f>
        <v>0</v>
      </c>
      <c r="T46" s="144">
        <f>Inputs!T304*T6</f>
        <v>0</v>
      </c>
      <c r="U46" s="144">
        <f>Inputs!U304*U6</f>
        <v>0</v>
      </c>
      <c r="V46" s="144">
        <f>Inputs!V304*V6</f>
        <v>0</v>
      </c>
      <c r="W46" s="144">
        <f>Inputs!W304*W6</f>
        <v>0</v>
      </c>
      <c r="X46" s="144">
        <f>Inputs!X304*X6</f>
        <v>0</v>
      </c>
      <c r="Y46" s="144">
        <f>Inputs!Y304*Y6</f>
        <v>0</v>
      </c>
      <c r="Z46" s="144">
        <f>Inputs!Z304*Z6</f>
        <v>0</v>
      </c>
      <c r="AA46" s="144">
        <f>Inputs!AA304*AA6</f>
        <v>0</v>
      </c>
      <c r="AB46" s="144">
        <f>Inputs!AB304*AB6</f>
        <v>0</v>
      </c>
      <c r="AC46" s="144">
        <f>Inputs!AC304*AC6</f>
        <v>0</v>
      </c>
      <c r="AD46" s="144">
        <f>Inputs!AD304*AD6</f>
        <v>0</v>
      </c>
      <c r="AE46" s="144">
        <f>Inputs!AE304*AE6</f>
        <v>0</v>
      </c>
      <c r="AF46" s="144">
        <f>Inputs!AF304*AF6</f>
        <v>0</v>
      </c>
      <c r="AG46" s="144">
        <f>Inputs!AG304*AG6</f>
        <v>0</v>
      </c>
    </row>
    <row r="47" spans="1:33" ht="17.25" customHeight="1" outlineLevel="1">
      <c r="A47" s="894"/>
      <c r="B47" s="241"/>
      <c r="C47" s="133" t="s">
        <v>361</v>
      </c>
      <c r="D47" s="134"/>
      <c r="E47" s="134"/>
      <c r="F47" s="134"/>
      <c r="G47" s="134"/>
      <c r="H47" s="134"/>
      <c r="I47" s="71">
        <f t="shared" ca="1" si="6"/>
        <v>657365.9653916856</v>
      </c>
      <c r="J47" s="401">
        <f t="shared" ref="J47:AG47" si="10">J42-J43+J44-J45+J46</f>
        <v>25091.629444444447</v>
      </c>
      <c r="K47" s="401">
        <f t="shared" ca="1" si="10"/>
        <v>30335.313567083322</v>
      </c>
      <c r="L47" s="401">
        <f t="shared" ca="1" si="10"/>
        <v>29687.892756945814</v>
      </c>
      <c r="M47" s="401">
        <f t="shared" ca="1" si="10"/>
        <v>34117.975998968053</v>
      </c>
      <c r="N47" s="401">
        <f t="shared" ca="1" si="10"/>
        <v>29334.08132423654</v>
      </c>
      <c r="O47" s="401">
        <f t="shared" ca="1" si="10"/>
        <v>16720.734966252985</v>
      </c>
      <c r="P47" s="401">
        <f t="shared" ca="1" si="10"/>
        <v>112223.71650819518</v>
      </c>
      <c r="Q47" s="401">
        <f t="shared" ca="1" si="10"/>
        <v>11644.159343341897</v>
      </c>
      <c r="R47" s="401">
        <f t="shared" ca="1" si="10"/>
        <v>7057.1688178474269</v>
      </c>
      <c r="S47" s="401">
        <f t="shared" ca="1" si="10"/>
        <v>103918.14784136445</v>
      </c>
      <c r="T47" s="401">
        <f t="shared" ca="1" si="10"/>
        <v>-1847.0727053539929</v>
      </c>
      <c r="U47" s="401">
        <f t="shared" ca="1" si="10"/>
        <v>2415.2957333124955</v>
      </c>
      <c r="V47" s="401">
        <f t="shared" ca="1" si="10"/>
        <v>105005.70595097679</v>
      </c>
      <c r="W47" s="401">
        <f t="shared" ca="1" si="10"/>
        <v>-4539.4673856597601</v>
      </c>
      <c r="X47" s="401">
        <f t="shared" ca="1" si="10"/>
        <v>-4968.6172011183462</v>
      </c>
      <c r="Y47" s="401">
        <f t="shared" ca="1" si="10"/>
        <v>91915.310266482265</v>
      </c>
      <c r="Z47" s="401">
        <f t="shared" ca="1" si="10"/>
        <v>-2840.7686837561323</v>
      </c>
      <c r="AA47" s="401">
        <f t="shared" ca="1" si="10"/>
        <v>-5264.3282907918001</v>
      </c>
      <c r="AB47" s="401">
        <f t="shared" ca="1" si="10"/>
        <v>88834.722543922515</v>
      </c>
      <c r="AC47" s="401">
        <f t="shared" ca="1" si="10"/>
        <v>-7395.3611876753512</v>
      </c>
      <c r="AD47" s="401">
        <f t="shared" ca="1" si="10"/>
        <v>-4080.2742173332258</v>
      </c>
      <c r="AE47" s="401">
        <f t="shared" ca="1" si="10"/>
        <v>0</v>
      </c>
      <c r="AF47" s="401">
        <f t="shared" ca="1" si="10"/>
        <v>0</v>
      </c>
      <c r="AG47" s="401">
        <f t="shared" ca="1" si="10"/>
        <v>0</v>
      </c>
    </row>
    <row r="48" spans="1:33" ht="17.25" customHeight="1" outlineLevel="1">
      <c r="A48" s="894"/>
      <c r="B48" s="241"/>
      <c r="C48" s="48" t="str">
        <f>CHOOSE(language,"Taxes on profit","Taxes on income")</f>
        <v>Taxes on income</v>
      </c>
      <c r="D48" s="704"/>
      <c r="E48" s="704"/>
      <c r="F48" s="704"/>
      <c r="I48" s="71">
        <f t="shared" ca="1" si="6"/>
        <v>197209.78961750565</v>
      </c>
      <c r="J48" s="144">
        <f ca="1">Taxes!J65</f>
        <v>9873.755757577188</v>
      </c>
      <c r="K48" s="144">
        <f ca="1">Taxes!K65</f>
        <v>9873.755757577188</v>
      </c>
      <c r="L48" s="144">
        <f ca="1">Taxes!L65</f>
        <v>9873.755757577188</v>
      </c>
      <c r="M48" s="144">
        <f ca="1">Taxes!M65</f>
        <v>9873.755757577188</v>
      </c>
      <c r="N48" s="144">
        <f ca="1">Taxes!N65</f>
        <v>9873.755757577188</v>
      </c>
      <c r="O48" s="144">
        <f ca="1">Taxes!O65</f>
        <v>9873.755757577188</v>
      </c>
      <c r="P48" s="144">
        <f ca="1">Taxes!P65</f>
        <v>9873.755757577188</v>
      </c>
      <c r="Q48" s="144">
        <f ca="1">Taxes!Q65</f>
        <v>9873.755757577188</v>
      </c>
      <c r="R48" s="144">
        <f ca="1">Taxes!R65</f>
        <v>9873.755757577188</v>
      </c>
      <c r="S48" s="144">
        <f ca="1">Taxes!S65</f>
        <v>9028.8323166092468</v>
      </c>
      <c r="T48" s="144">
        <f ca="1">Taxes!T65</f>
        <v>9028.8323166092468</v>
      </c>
      <c r="U48" s="144">
        <f ca="1">Taxes!U65</f>
        <v>9028.8323166092468</v>
      </c>
      <c r="V48" s="144">
        <f ca="1">Taxes!V65</f>
        <v>9028.8323166092468</v>
      </c>
      <c r="W48" s="144">
        <f ca="1">Taxes!W65</f>
        <v>9028.8323166092468</v>
      </c>
      <c r="X48" s="144">
        <f ca="1">Taxes!X65</f>
        <v>9028.8323166092468</v>
      </c>
      <c r="Y48" s="144">
        <f ca="1">Taxes!Y65</f>
        <v>9028.8323166092468</v>
      </c>
      <c r="Z48" s="144">
        <f ca="1">Taxes!Z65</f>
        <v>9028.8323166092468</v>
      </c>
      <c r="AA48" s="144">
        <f ca="1">Taxes!AA65</f>
        <v>9028.8323166092468</v>
      </c>
      <c r="AB48" s="144">
        <f ca="1">Taxes!AB65</f>
        <v>9028.8323166092468</v>
      </c>
      <c r="AC48" s="144">
        <f ca="1">Taxes!AC65</f>
        <v>9028.8323166092468</v>
      </c>
      <c r="AD48" s="144">
        <f ca="1">Taxes!AD65</f>
        <v>9028.8323166092468</v>
      </c>
      <c r="AE48" s="144">
        <f>Taxes!AE65</f>
        <v>0</v>
      </c>
      <c r="AF48" s="144">
        <f>Taxes!AF65</f>
        <v>0</v>
      </c>
      <c r="AG48" s="144">
        <f>Taxes!AG65</f>
        <v>0</v>
      </c>
    </row>
    <row r="49" spans="1:33" ht="17.25" customHeight="1" outlineLevel="1">
      <c r="A49" s="894"/>
      <c r="B49" s="241"/>
      <c r="C49" s="133" t="s">
        <v>734</v>
      </c>
      <c r="D49" s="134"/>
      <c r="E49" s="134"/>
      <c r="F49" s="134"/>
      <c r="G49" s="134"/>
      <c r="H49" s="134"/>
      <c r="I49" s="71">
        <f t="shared" ca="1" si="6"/>
        <v>460156.17577417986</v>
      </c>
      <c r="J49" s="401">
        <f t="shared" ref="J49:AG49" ca="1" si="11">J47-J48</f>
        <v>15217.873686867259</v>
      </c>
      <c r="K49" s="401">
        <f t="shared" ca="1" si="11"/>
        <v>20461.557809506136</v>
      </c>
      <c r="L49" s="401">
        <f t="shared" ca="1" si="11"/>
        <v>19814.136999368624</v>
      </c>
      <c r="M49" s="401">
        <f t="shared" ca="1" si="11"/>
        <v>24244.220241390867</v>
      </c>
      <c r="N49" s="401">
        <f t="shared" ca="1" si="11"/>
        <v>19460.325566659354</v>
      </c>
      <c r="O49" s="401">
        <f t="shared" ca="1" si="11"/>
        <v>6846.9792086757971</v>
      </c>
      <c r="P49" s="401">
        <f t="shared" ca="1" si="11"/>
        <v>102349.96075061799</v>
      </c>
      <c r="Q49" s="401">
        <f t="shared" ca="1" si="11"/>
        <v>1770.4035857647086</v>
      </c>
      <c r="R49" s="401">
        <f t="shared" ca="1" si="11"/>
        <v>-2816.5869397297611</v>
      </c>
      <c r="S49" s="401">
        <f t="shared" ca="1" si="11"/>
        <v>94889.315524755206</v>
      </c>
      <c r="T49" s="401">
        <f t="shared" ca="1" si="11"/>
        <v>-10875.905021963239</v>
      </c>
      <c r="U49" s="401">
        <f t="shared" ca="1" si="11"/>
        <v>-6613.5365832967509</v>
      </c>
      <c r="V49" s="401">
        <f t="shared" ca="1" si="11"/>
        <v>95976.873634367541</v>
      </c>
      <c r="W49" s="401">
        <f t="shared" ca="1" si="11"/>
        <v>-13568.299702269007</v>
      </c>
      <c r="X49" s="401">
        <f t="shared" ca="1" si="11"/>
        <v>-13997.449517727593</v>
      </c>
      <c r="Y49" s="401">
        <f t="shared" ca="1" si="11"/>
        <v>82886.47794987302</v>
      </c>
      <c r="Z49" s="401">
        <f t="shared" ca="1" si="11"/>
        <v>-11869.601000365379</v>
      </c>
      <c r="AA49" s="401">
        <f t="shared" ca="1" si="11"/>
        <v>-14293.160607401047</v>
      </c>
      <c r="AB49" s="401">
        <f t="shared" ca="1" si="11"/>
        <v>79805.89022731327</v>
      </c>
      <c r="AC49" s="401">
        <f t="shared" ca="1" si="11"/>
        <v>-16424.193504284598</v>
      </c>
      <c r="AD49" s="401">
        <f t="shared" ca="1" si="11"/>
        <v>-13109.106533942473</v>
      </c>
      <c r="AE49" s="401">
        <f t="shared" ca="1" si="11"/>
        <v>0</v>
      </c>
      <c r="AF49" s="401">
        <f t="shared" ca="1" si="11"/>
        <v>0</v>
      </c>
      <c r="AG49" s="401">
        <f t="shared" ca="1" si="11"/>
        <v>0</v>
      </c>
    </row>
    <row r="50" spans="1:33" ht="17.25" customHeight="1" outlineLevel="1">
      <c r="A50" s="894"/>
      <c r="B50" s="241"/>
      <c r="C50" s="48" t="s">
        <v>366</v>
      </c>
      <c r="D50" s="185"/>
      <c r="E50" s="185"/>
      <c r="F50" s="185"/>
      <c r="G50" s="185"/>
      <c r="H50" s="185"/>
      <c r="I50" s="147">
        <f>Inputs!F248</f>
        <v>-33500</v>
      </c>
      <c r="J50" s="144">
        <f t="shared" ref="J50:AG50" ca="1" si="12">(I50+J49)*J6</f>
        <v>-18282.126313132743</v>
      </c>
      <c r="K50" s="144">
        <f t="shared" ca="1" si="12"/>
        <v>2179.4314963733923</v>
      </c>
      <c r="L50" s="144">
        <f t="shared" ca="1" si="12"/>
        <v>21993.568495742016</v>
      </c>
      <c r="M50" s="144">
        <f t="shared" ca="1" si="12"/>
        <v>46237.788737132883</v>
      </c>
      <c r="N50" s="144">
        <f t="shared" ca="1" si="12"/>
        <v>65698.114303792245</v>
      </c>
      <c r="O50" s="144">
        <f t="shared" ca="1" si="12"/>
        <v>72545.09351246804</v>
      </c>
      <c r="P50" s="144">
        <f t="shared" ca="1" si="12"/>
        <v>174895.05426308603</v>
      </c>
      <c r="Q50" s="144">
        <f t="shared" ca="1" si="12"/>
        <v>176665.45784885072</v>
      </c>
      <c r="R50" s="144">
        <f t="shared" ca="1" si="12"/>
        <v>173848.87090912097</v>
      </c>
      <c r="S50" s="144">
        <f t="shared" ca="1" si="12"/>
        <v>268738.18643387617</v>
      </c>
      <c r="T50" s="144">
        <f t="shared" ca="1" si="12"/>
        <v>257862.28141191293</v>
      </c>
      <c r="U50" s="144">
        <f t="shared" ca="1" si="12"/>
        <v>251248.74482861618</v>
      </c>
      <c r="V50" s="144">
        <f t="shared" ca="1" si="12"/>
        <v>347225.61846298375</v>
      </c>
      <c r="W50" s="144">
        <f t="shared" ca="1" si="12"/>
        <v>333657.31876071473</v>
      </c>
      <c r="X50" s="144">
        <f t="shared" ca="1" si="12"/>
        <v>319659.86924298713</v>
      </c>
      <c r="Y50" s="144">
        <f t="shared" ca="1" si="12"/>
        <v>402546.34719286015</v>
      </c>
      <c r="Z50" s="144">
        <f t="shared" ca="1" si="12"/>
        <v>390676.74619249476</v>
      </c>
      <c r="AA50" s="144">
        <f t="shared" ca="1" si="12"/>
        <v>376383.58558509371</v>
      </c>
      <c r="AB50" s="144">
        <f t="shared" ca="1" si="12"/>
        <v>456189.47581240698</v>
      </c>
      <c r="AC50" s="144">
        <f t="shared" ca="1" si="12"/>
        <v>439765.28230812238</v>
      </c>
      <c r="AD50" s="144">
        <f t="shared" ca="1" si="12"/>
        <v>426656.17577417992</v>
      </c>
      <c r="AE50" s="144">
        <f t="shared" ca="1" si="12"/>
        <v>0</v>
      </c>
      <c r="AF50" s="144">
        <f t="shared" ca="1" si="12"/>
        <v>0</v>
      </c>
      <c r="AG50" s="144">
        <f t="shared" ca="1" si="12"/>
        <v>0</v>
      </c>
    </row>
    <row r="51" spans="1:33" s="830" customFormat="1" ht="17.25" customHeight="1" outlineLevel="1">
      <c r="A51" s="894"/>
      <c r="B51" s="287"/>
      <c r="C51" s="287"/>
      <c r="D51" s="287"/>
      <c r="E51" s="287"/>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E51" s="287"/>
      <c r="AF51" s="287"/>
      <c r="AG51" s="287"/>
    </row>
    <row r="52" spans="1:33" ht="17.25" customHeight="1" outlineLevel="1">
      <c r="A52" s="894"/>
      <c r="B52" s="241"/>
      <c r="C52" s="185" t="s">
        <v>600</v>
      </c>
      <c r="D52" s="185"/>
      <c r="E52" s="185"/>
      <c r="F52" s="185"/>
      <c r="G52" s="185"/>
      <c r="H52" s="185"/>
      <c r="I52" s="71">
        <f>SUM(J52:AG52)</f>
        <v>-175000</v>
      </c>
      <c r="J52" s="437">
        <f t="shared" ref="J52:AG52" si="13">J102*J6</f>
        <v>0</v>
      </c>
      <c r="K52" s="437">
        <f t="shared" si="13"/>
        <v>0</v>
      </c>
      <c r="L52" s="437">
        <f t="shared" si="13"/>
        <v>0</v>
      </c>
      <c r="M52" s="437">
        <f t="shared" si="13"/>
        <v>0</v>
      </c>
      <c r="N52" s="437">
        <f t="shared" si="13"/>
        <v>0</v>
      </c>
      <c r="O52" s="437">
        <f t="shared" si="13"/>
        <v>0</v>
      </c>
      <c r="P52" s="437">
        <f t="shared" si="13"/>
        <v>0</v>
      </c>
      <c r="Q52" s="437">
        <f t="shared" si="13"/>
        <v>0</v>
      </c>
      <c r="R52" s="437">
        <f t="shared" si="13"/>
        <v>0</v>
      </c>
      <c r="S52" s="437">
        <f t="shared" si="13"/>
        <v>0</v>
      </c>
      <c r="T52" s="437">
        <f t="shared" si="13"/>
        <v>0</v>
      </c>
      <c r="U52" s="437">
        <f t="shared" si="13"/>
        <v>0</v>
      </c>
      <c r="V52" s="437">
        <f t="shared" si="13"/>
        <v>-175000</v>
      </c>
      <c r="W52" s="437">
        <f t="shared" si="13"/>
        <v>0</v>
      </c>
      <c r="X52" s="437">
        <f t="shared" si="13"/>
        <v>0</v>
      </c>
      <c r="Y52" s="437">
        <f t="shared" si="13"/>
        <v>0</v>
      </c>
      <c r="Z52" s="437">
        <f t="shared" si="13"/>
        <v>0</v>
      </c>
      <c r="AA52" s="437">
        <f t="shared" si="13"/>
        <v>0</v>
      </c>
      <c r="AB52" s="437">
        <f t="shared" si="13"/>
        <v>0</v>
      </c>
      <c r="AC52" s="437">
        <f t="shared" si="13"/>
        <v>0</v>
      </c>
      <c r="AD52" s="437">
        <f t="shared" si="13"/>
        <v>0</v>
      </c>
      <c r="AE52" s="437">
        <f t="shared" si="13"/>
        <v>0</v>
      </c>
      <c r="AF52" s="437">
        <f t="shared" si="13"/>
        <v>0</v>
      </c>
      <c r="AG52" s="437">
        <f t="shared" si="13"/>
        <v>0</v>
      </c>
    </row>
    <row r="53" spans="1:33" s="704" customFormat="1" ht="17.25" customHeight="1" outlineLevel="1">
      <c r="A53" s="894"/>
      <c r="B53" s="287"/>
      <c r="C53" s="273" t="s">
        <v>651</v>
      </c>
      <c r="D53" s="287"/>
      <c r="E53" s="287"/>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E53" s="287"/>
      <c r="AF53" s="287"/>
      <c r="AG53" s="287"/>
    </row>
    <row r="54" spans="1:33" s="704" customFormat="1" ht="17.25" customHeight="1" outlineLevel="1">
      <c r="A54" s="894"/>
      <c r="B54" s="287"/>
      <c r="C54" s="185" t="s">
        <v>639</v>
      </c>
      <c r="D54" s="185"/>
      <c r="E54" s="185"/>
      <c r="F54" s="185"/>
      <c r="G54" s="185"/>
      <c r="H54" s="185"/>
      <c r="I54" s="185"/>
      <c r="J54" s="833">
        <f>I56*J$6</f>
        <v>-33500</v>
      </c>
      <c r="K54" s="833">
        <f t="shared" ref="K54:AG54" ca="1" si="14">J56*K$6</f>
        <v>-18282.126313132743</v>
      </c>
      <c r="L54" s="833">
        <f t="shared" ca="1" si="14"/>
        <v>2179.4314963733923</v>
      </c>
      <c r="M54" s="833">
        <f t="shared" ca="1" si="14"/>
        <v>21993.568495742016</v>
      </c>
      <c r="N54" s="833">
        <f t="shared" ca="1" si="14"/>
        <v>46237.788737132883</v>
      </c>
      <c r="O54" s="833">
        <f t="shared" ca="1" si="14"/>
        <v>65698.114303792245</v>
      </c>
      <c r="P54" s="833">
        <f t="shared" ca="1" si="14"/>
        <v>72545.09351246804</v>
      </c>
      <c r="Q54" s="833">
        <f t="shared" ca="1" si="14"/>
        <v>174895.05426308603</v>
      </c>
      <c r="R54" s="833">
        <f t="shared" ca="1" si="14"/>
        <v>176665.45784885072</v>
      </c>
      <c r="S54" s="833">
        <f t="shared" ca="1" si="14"/>
        <v>173848.87090912097</v>
      </c>
      <c r="T54" s="833">
        <f t="shared" ca="1" si="14"/>
        <v>268738.18643387617</v>
      </c>
      <c r="U54" s="833">
        <f t="shared" ca="1" si="14"/>
        <v>257862.28141191293</v>
      </c>
      <c r="V54" s="833">
        <f t="shared" ca="1" si="14"/>
        <v>251248.74482861618</v>
      </c>
      <c r="W54" s="833">
        <f t="shared" ca="1" si="14"/>
        <v>172225.61846298372</v>
      </c>
      <c r="X54" s="833">
        <f t="shared" ca="1" si="14"/>
        <v>158657.31876071473</v>
      </c>
      <c r="Y54" s="833">
        <f t="shared" ca="1" si="14"/>
        <v>144659.86924298713</v>
      </c>
      <c r="Z54" s="833">
        <f t="shared" ca="1" si="14"/>
        <v>227546.34719286015</v>
      </c>
      <c r="AA54" s="833">
        <f t="shared" ca="1" si="14"/>
        <v>215676.74619249476</v>
      </c>
      <c r="AB54" s="833">
        <f t="shared" ca="1" si="14"/>
        <v>201383.58558509371</v>
      </c>
      <c r="AC54" s="833">
        <f t="shared" ca="1" si="14"/>
        <v>281189.47581240698</v>
      </c>
      <c r="AD54" s="833">
        <f t="shared" ca="1" si="14"/>
        <v>264765.28230812238</v>
      </c>
      <c r="AE54" s="833">
        <f t="shared" ca="1" si="14"/>
        <v>0</v>
      </c>
      <c r="AF54" s="833">
        <f t="shared" ca="1" si="14"/>
        <v>0</v>
      </c>
      <c r="AG54" s="833">
        <f t="shared" ca="1" si="14"/>
        <v>0</v>
      </c>
    </row>
    <row r="55" spans="1:33" s="830" customFormat="1" ht="17.25" customHeight="1" outlineLevel="1">
      <c r="A55" s="894"/>
      <c r="B55" s="287"/>
      <c r="C55" s="185" t="s">
        <v>650</v>
      </c>
      <c r="D55" s="185"/>
      <c r="E55" s="185"/>
      <c r="F55" s="185"/>
      <c r="G55" s="185"/>
      <c r="H55" s="185"/>
      <c r="I55" s="71">
        <f ca="1">SUM(J55:AG55)</f>
        <v>285156.17577417992</v>
      </c>
      <c r="J55" s="144">
        <f ca="1">J49+J52</f>
        <v>15217.873686867259</v>
      </c>
      <c r="K55" s="144">
        <f t="shared" ref="K55:AG55" ca="1" si="15">K49+K52</f>
        <v>20461.557809506136</v>
      </c>
      <c r="L55" s="144">
        <f t="shared" ca="1" si="15"/>
        <v>19814.136999368624</v>
      </c>
      <c r="M55" s="144">
        <f t="shared" ca="1" si="15"/>
        <v>24244.220241390867</v>
      </c>
      <c r="N55" s="144">
        <f t="shared" ca="1" si="15"/>
        <v>19460.325566659354</v>
      </c>
      <c r="O55" s="144">
        <f t="shared" ca="1" si="15"/>
        <v>6846.9792086757971</v>
      </c>
      <c r="P55" s="144">
        <f t="shared" ca="1" si="15"/>
        <v>102349.96075061799</v>
      </c>
      <c r="Q55" s="144">
        <f t="shared" ca="1" si="15"/>
        <v>1770.4035857647086</v>
      </c>
      <c r="R55" s="144">
        <f t="shared" ca="1" si="15"/>
        <v>-2816.5869397297611</v>
      </c>
      <c r="S55" s="144">
        <f t="shared" ca="1" si="15"/>
        <v>94889.315524755206</v>
      </c>
      <c r="T55" s="144">
        <f t="shared" ca="1" si="15"/>
        <v>-10875.905021963239</v>
      </c>
      <c r="U55" s="144">
        <f t="shared" ca="1" si="15"/>
        <v>-6613.5365832967509</v>
      </c>
      <c r="V55" s="144">
        <f t="shared" ca="1" si="15"/>
        <v>-79023.126365632459</v>
      </c>
      <c r="W55" s="144">
        <f t="shared" ca="1" si="15"/>
        <v>-13568.299702269007</v>
      </c>
      <c r="X55" s="144">
        <f t="shared" ca="1" si="15"/>
        <v>-13997.449517727593</v>
      </c>
      <c r="Y55" s="144">
        <f t="shared" ca="1" si="15"/>
        <v>82886.47794987302</v>
      </c>
      <c r="Z55" s="144">
        <f t="shared" ca="1" si="15"/>
        <v>-11869.601000365379</v>
      </c>
      <c r="AA55" s="144">
        <f t="shared" ca="1" si="15"/>
        <v>-14293.160607401047</v>
      </c>
      <c r="AB55" s="144">
        <f t="shared" ca="1" si="15"/>
        <v>79805.89022731327</v>
      </c>
      <c r="AC55" s="144">
        <f t="shared" ca="1" si="15"/>
        <v>-16424.193504284598</v>
      </c>
      <c r="AD55" s="144">
        <f t="shared" ca="1" si="15"/>
        <v>-13109.106533942473</v>
      </c>
      <c r="AE55" s="144">
        <f t="shared" ca="1" si="15"/>
        <v>0</v>
      </c>
      <c r="AF55" s="144">
        <f t="shared" ca="1" si="15"/>
        <v>0</v>
      </c>
      <c r="AG55" s="144">
        <f t="shared" ca="1" si="15"/>
        <v>0</v>
      </c>
    </row>
    <row r="56" spans="1:33" s="704" customFormat="1" ht="17.25" customHeight="1" outlineLevel="1" thickBot="1">
      <c r="A56" s="894"/>
      <c r="B56" s="287"/>
      <c r="C56" s="185" t="s">
        <v>640</v>
      </c>
      <c r="D56" s="185"/>
      <c r="E56" s="185"/>
      <c r="F56" s="185"/>
      <c r="G56" s="185"/>
      <c r="H56" s="185"/>
      <c r="I56" s="147">
        <f>Inputs!F248</f>
        <v>-33500</v>
      </c>
      <c r="J56" s="524">
        <f t="shared" ref="J56:AG56" ca="1" si="16">SUM(J54:J55)*J6</f>
        <v>-18282.126313132743</v>
      </c>
      <c r="K56" s="524">
        <f t="shared" ca="1" si="16"/>
        <v>2179.4314963733923</v>
      </c>
      <c r="L56" s="524">
        <f t="shared" ca="1" si="16"/>
        <v>21993.568495742016</v>
      </c>
      <c r="M56" s="524">
        <f t="shared" ca="1" si="16"/>
        <v>46237.788737132883</v>
      </c>
      <c r="N56" s="524">
        <f t="shared" ca="1" si="16"/>
        <v>65698.114303792245</v>
      </c>
      <c r="O56" s="524">
        <f t="shared" ca="1" si="16"/>
        <v>72545.09351246804</v>
      </c>
      <c r="P56" s="524">
        <f t="shared" ca="1" si="16"/>
        <v>174895.05426308603</v>
      </c>
      <c r="Q56" s="524">
        <f t="shared" ca="1" si="16"/>
        <v>176665.45784885072</v>
      </c>
      <c r="R56" s="524">
        <f t="shared" ca="1" si="16"/>
        <v>173848.87090912097</v>
      </c>
      <c r="S56" s="524">
        <f t="shared" ca="1" si="16"/>
        <v>268738.18643387617</v>
      </c>
      <c r="T56" s="524">
        <f t="shared" ca="1" si="16"/>
        <v>257862.28141191293</v>
      </c>
      <c r="U56" s="524">
        <f t="shared" ca="1" si="16"/>
        <v>251248.74482861618</v>
      </c>
      <c r="V56" s="524">
        <f t="shared" ca="1" si="16"/>
        <v>172225.61846298372</v>
      </c>
      <c r="W56" s="524">
        <f t="shared" ca="1" si="16"/>
        <v>158657.31876071473</v>
      </c>
      <c r="X56" s="524">
        <f t="shared" ca="1" si="16"/>
        <v>144659.86924298713</v>
      </c>
      <c r="Y56" s="524">
        <f t="shared" ca="1" si="16"/>
        <v>227546.34719286015</v>
      </c>
      <c r="Z56" s="524">
        <f t="shared" ca="1" si="16"/>
        <v>215676.74619249476</v>
      </c>
      <c r="AA56" s="524">
        <f t="shared" ca="1" si="16"/>
        <v>201383.58558509371</v>
      </c>
      <c r="AB56" s="524">
        <f t="shared" ca="1" si="16"/>
        <v>281189.47581240698</v>
      </c>
      <c r="AC56" s="524">
        <f t="shared" ca="1" si="16"/>
        <v>264765.28230812238</v>
      </c>
      <c r="AD56" s="524">
        <f t="shared" ca="1" si="16"/>
        <v>251656.17577417989</v>
      </c>
      <c r="AE56" s="524">
        <f t="shared" ca="1" si="16"/>
        <v>0</v>
      </c>
      <c r="AF56" s="524">
        <f t="shared" ca="1" si="16"/>
        <v>0</v>
      </c>
      <c r="AG56" s="524">
        <f t="shared" ca="1" si="16"/>
        <v>0</v>
      </c>
    </row>
    <row r="57" spans="1:33" s="649" customFormat="1" ht="17.25" customHeight="1" outlineLevel="1" thickTop="1">
      <c r="A57" s="894"/>
      <c r="B57" s="287"/>
      <c r="C57" s="287"/>
      <c r="D57" s="287"/>
      <c r="E57" s="287"/>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E57" s="287"/>
      <c r="AF57" s="287"/>
      <c r="AG57" s="287"/>
    </row>
    <row r="58" spans="1:33" ht="24" thickBot="1">
      <c r="A58" s="323"/>
      <c r="B58" s="323"/>
      <c r="C58" s="323" t="s">
        <v>388</v>
      </c>
      <c r="D58" s="335" t="str">
        <f>"(all figures in " &amp;Currency_Label &amp;")"</f>
        <v>(all figures in USD)</v>
      </c>
      <c r="E58" s="323"/>
      <c r="F58" s="323"/>
      <c r="G58" s="323"/>
      <c r="H58" s="323"/>
      <c r="I58" s="323"/>
      <c r="J58" s="323"/>
      <c r="K58" s="323"/>
      <c r="L58" s="323"/>
      <c r="M58" s="323"/>
      <c r="N58" s="323"/>
      <c r="O58" s="323"/>
      <c r="P58" s="323"/>
      <c r="Q58" s="323"/>
      <c r="R58" s="323"/>
      <c r="S58" s="323"/>
      <c r="T58" s="323"/>
      <c r="U58" s="323"/>
      <c r="V58" s="323"/>
      <c r="W58" s="323"/>
      <c r="X58" s="323"/>
      <c r="Y58" s="323"/>
      <c r="Z58" s="323"/>
      <c r="AA58" s="323"/>
      <c r="AB58" s="323"/>
      <c r="AC58" s="323"/>
      <c r="AD58" s="323"/>
      <c r="AE58" s="323"/>
      <c r="AF58" s="323"/>
      <c r="AG58" s="323"/>
    </row>
    <row r="59" spans="1:33" ht="15" customHeight="1" outlineLevel="1">
      <c r="A59" s="894"/>
      <c r="B59" s="241"/>
      <c r="C59" s="241"/>
      <c r="D59" s="241"/>
      <c r="E59" s="241"/>
      <c r="F59" s="241"/>
      <c r="G59" s="241"/>
      <c r="H59" s="241"/>
      <c r="I59" s="241"/>
      <c r="J59" s="716">
        <f t="shared" ref="J59:AG59" si="17">J$4</f>
        <v>43525</v>
      </c>
      <c r="K59" s="716">
        <f t="shared" si="17"/>
        <v>43556</v>
      </c>
      <c r="L59" s="716">
        <f t="shared" si="17"/>
        <v>43586</v>
      </c>
      <c r="M59" s="716">
        <f t="shared" si="17"/>
        <v>43617</v>
      </c>
      <c r="N59" s="716">
        <f t="shared" si="17"/>
        <v>43647</v>
      </c>
      <c r="O59" s="716">
        <f t="shared" si="17"/>
        <v>43678</v>
      </c>
      <c r="P59" s="716">
        <f t="shared" si="17"/>
        <v>43709</v>
      </c>
      <c r="Q59" s="716">
        <f t="shared" si="17"/>
        <v>43739</v>
      </c>
      <c r="R59" s="716">
        <f t="shared" si="17"/>
        <v>43770</v>
      </c>
      <c r="S59" s="716">
        <f t="shared" si="17"/>
        <v>43800</v>
      </c>
      <c r="T59" s="716">
        <f t="shared" si="17"/>
        <v>43831</v>
      </c>
      <c r="U59" s="716">
        <f t="shared" si="17"/>
        <v>43862</v>
      </c>
      <c r="V59" s="716">
        <f t="shared" si="17"/>
        <v>43891</v>
      </c>
      <c r="W59" s="716">
        <f t="shared" si="17"/>
        <v>43922</v>
      </c>
      <c r="X59" s="716">
        <f t="shared" si="17"/>
        <v>43952</v>
      </c>
      <c r="Y59" s="716">
        <f t="shared" si="17"/>
        <v>43983</v>
      </c>
      <c r="Z59" s="716">
        <f t="shared" si="17"/>
        <v>44013</v>
      </c>
      <c r="AA59" s="716">
        <f t="shared" si="17"/>
        <v>44044</v>
      </c>
      <c r="AB59" s="716">
        <f t="shared" si="17"/>
        <v>44075</v>
      </c>
      <c r="AC59" s="716">
        <f t="shared" si="17"/>
        <v>44105</v>
      </c>
      <c r="AD59" s="716">
        <f t="shared" si="17"/>
        <v>44136</v>
      </c>
      <c r="AE59" s="716">
        <f t="shared" si="17"/>
        <v>44166</v>
      </c>
      <c r="AF59" s="716">
        <f t="shared" si="17"/>
        <v>44197</v>
      </c>
      <c r="AG59" s="716">
        <f t="shared" si="17"/>
        <v>44228</v>
      </c>
    </row>
    <row r="60" spans="1:33" ht="21.75" customHeight="1" outlineLevel="1">
      <c r="A60" s="894"/>
      <c r="B60" s="241"/>
      <c r="C60" s="279" t="s">
        <v>379</v>
      </c>
      <c r="D60" s="241"/>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241"/>
      <c r="AD60" s="241"/>
      <c r="AE60" s="241"/>
      <c r="AF60" s="241"/>
      <c r="AG60" s="241"/>
    </row>
    <row r="61" spans="1:33" ht="17.25" customHeight="1" outlineLevel="1">
      <c r="A61" s="894"/>
      <c r="B61" s="241"/>
      <c r="C61" s="117" t="str">
        <f>"Cash collected from sales (incl. "&amp;Name_VAT &amp;")"</f>
        <v>Cash collected from sales (incl. VAT)</v>
      </c>
      <c r="D61" s="126"/>
      <c r="E61" s="126"/>
      <c r="F61" s="126"/>
      <c r="G61" s="126"/>
      <c r="H61" s="126"/>
      <c r="I61" s="141">
        <f t="shared" ref="I61:I66" si="18">SUM(J61:AG61)</f>
        <v>4190385.009428781</v>
      </c>
      <c r="J61" s="142">
        <f>Financing!J11</f>
        <v>135221.774</v>
      </c>
      <c r="K61" s="142">
        <f>Financing!K11</f>
        <v>168870.81209999998</v>
      </c>
      <c r="L61" s="142">
        <f>Financing!L11</f>
        <v>177966.04068099998</v>
      </c>
      <c r="M61" s="142">
        <f>Financing!M11</f>
        <v>178490.09214781001</v>
      </c>
      <c r="N61" s="142">
        <f>Financing!N11</f>
        <v>175595.9291292881</v>
      </c>
      <c r="O61" s="142">
        <f>Financing!O11</f>
        <v>175829.07448058098</v>
      </c>
      <c r="P61" s="142">
        <f>Financing!P11</f>
        <v>274584.2512853868</v>
      </c>
      <c r="Q61" s="142">
        <f>Financing!Q11</f>
        <v>172794.99485824065</v>
      </c>
      <c r="R61" s="142">
        <f>Financing!R11</f>
        <v>174590.32274682308</v>
      </c>
      <c r="S61" s="142">
        <f>Financing!S11</f>
        <v>275298.99473429128</v>
      </c>
      <c r="T61" s="142">
        <f>Financing!T11</f>
        <v>179559.72284163418</v>
      </c>
      <c r="U61" s="142">
        <f>Financing!U11</f>
        <v>178357.42923005056</v>
      </c>
      <c r="V61" s="142">
        <f>Financing!V11</f>
        <v>277201.05172235105</v>
      </c>
      <c r="W61" s="142">
        <f>Financing!W11</f>
        <v>178968.91643957456</v>
      </c>
      <c r="X61" s="142">
        <f>Financing!X11</f>
        <v>179279.25380397032</v>
      </c>
      <c r="Y61" s="142">
        <f>Financing!Y11</f>
        <v>278141.94454201002</v>
      </c>
      <c r="Z61" s="142">
        <f>Financing!Z11</f>
        <v>180481.35768743014</v>
      </c>
      <c r="AA61" s="142">
        <f>Financing!AA11</f>
        <v>180944.12058430444</v>
      </c>
      <c r="AB61" s="142">
        <f>Financing!AB11</f>
        <v>279826.15889014746</v>
      </c>
      <c r="AC61" s="142">
        <f>Financing!AC11</f>
        <v>180347.20157904894</v>
      </c>
      <c r="AD61" s="142">
        <f>Financing!AD11</f>
        <v>188035.56594483944</v>
      </c>
      <c r="AE61" s="142">
        <f>Financing!AE11</f>
        <v>0</v>
      </c>
      <c r="AF61" s="142">
        <f>Financing!AF11</f>
        <v>0</v>
      </c>
      <c r="AG61" s="142">
        <f>Financing!AG11</f>
        <v>0</v>
      </c>
    </row>
    <row r="62" spans="1:33" s="203" customFormat="1" ht="17.25" customHeight="1" outlineLevel="1">
      <c r="A62" s="894"/>
      <c r="B62" s="241"/>
      <c r="C62" s="203" t="s">
        <v>426</v>
      </c>
      <c r="D62" s="126"/>
      <c r="E62" s="126"/>
      <c r="F62" s="126"/>
      <c r="G62" s="126"/>
      <c r="H62" s="126"/>
      <c r="I62" s="141">
        <f t="shared" si="18"/>
        <v>0</v>
      </c>
      <c r="J62" s="144">
        <f>Financing!J12</f>
        <v>0</v>
      </c>
      <c r="K62" s="144">
        <f>Financing!K12</f>
        <v>5000</v>
      </c>
      <c r="L62" s="144">
        <f>Financing!L12</f>
        <v>0</v>
      </c>
      <c r="M62" s="144">
        <f>Financing!M12</f>
        <v>0</v>
      </c>
      <c r="N62" s="144">
        <f>Financing!N12</f>
        <v>0</v>
      </c>
      <c r="O62" s="144">
        <f>Financing!O12</f>
        <v>0</v>
      </c>
      <c r="P62" s="144">
        <f>Financing!P12</f>
        <v>0</v>
      </c>
      <c r="Q62" s="144">
        <f>Financing!Q12</f>
        <v>0</v>
      </c>
      <c r="R62" s="144">
        <f>Financing!R12</f>
        <v>0</v>
      </c>
      <c r="S62" s="144">
        <f>Financing!S12</f>
        <v>0</v>
      </c>
      <c r="T62" s="144">
        <f>Financing!T12</f>
        <v>0</v>
      </c>
      <c r="U62" s="144">
        <f>Financing!U12</f>
        <v>0</v>
      </c>
      <c r="V62" s="144">
        <f>Financing!V12</f>
        <v>0</v>
      </c>
      <c r="W62" s="144">
        <f>Financing!W12</f>
        <v>0</v>
      </c>
      <c r="X62" s="144">
        <f>Financing!X12</f>
        <v>-3000</v>
      </c>
      <c r="Y62" s="144">
        <f>Financing!Y12</f>
        <v>0</v>
      </c>
      <c r="Z62" s="144">
        <f>Financing!Z12</f>
        <v>0</v>
      </c>
      <c r="AA62" s="144">
        <f>Financing!AA12</f>
        <v>0</v>
      </c>
      <c r="AB62" s="144">
        <f>Financing!AB12</f>
        <v>0</v>
      </c>
      <c r="AC62" s="144">
        <f>Financing!AC12</f>
        <v>-2000</v>
      </c>
      <c r="AD62" s="144">
        <f>Financing!AD12</f>
        <v>0</v>
      </c>
      <c r="AE62" s="144">
        <f>Financing!AE12</f>
        <v>0</v>
      </c>
      <c r="AF62" s="144">
        <f>Financing!AF12</f>
        <v>0</v>
      </c>
      <c r="AG62" s="144">
        <f>Financing!AG12</f>
        <v>0</v>
      </c>
    </row>
    <row r="63" spans="1:33" s="203" customFormat="1" ht="17.25" customHeight="1" outlineLevel="1">
      <c r="A63" s="894"/>
      <c r="B63" s="241"/>
      <c r="C63" s="203" t="s">
        <v>381</v>
      </c>
      <c r="D63" s="346"/>
      <c r="E63" s="346"/>
      <c r="F63" s="126"/>
      <c r="G63" s="126"/>
      <c r="H63" s="126"/>
      <c r="I63" s="141">
        <f t="shared" si="18"/>
        <v>18250</v>
      </c>
      <c r="J63" s="144">
        <f>Financing!J13</f>
        <v>0</v>
      </c>
      <c r="K63" s="144">
        <f>Financing!K13</f>
        <v>0</v>
      </c>
      <c r="L63" s="144">
        <f>Financing!L13</f>
        <v>0</v>
      </c>
      <c r="M63" s="144">
        <f>Financing!M13</f>
        <v>4500</v>
      </c>
      <c r="N63" s="144">
        <f>Financing!N13</f>
        <v>0</v>
      </c>
      <c r="O63" s="144">
        <f>Financing!O13</f>
        <v>0</v>
      </c>
      <c r="P63" s="144">
        <f>Financing!P13</f>
        <v>0</v>
      </c>
      <c r="Q63" s="144">
        <f>Financing!Q13</f>
        <v>6500</v>
      </c>
      <c r="R63" s="144">
        <f>Financing!R13</f>
        <v>0</v>
      </c>
      <c r="S63" s="144">
        <f>Financing!S13</f>
        <v>0</v>
      </c>
      <c r="T63" s="144">
        <f>Financing!T13</f>
        <v>0</v>
      </c>
      <c r="U63" s="144">
        <f>Financing!U13</f>
        <v>0</v>
      </c>
      <c r="V63" s="144">
        <f>Financing!V13</f>
        <v>7250</v>
      </c>
      <c r="W63" s="144">
        <f>Financing!W13</f>
        <v>0</v>
      </c>
      <c r="X63" s="144">
        <f>Financing!X13</f>
        <v>0</v>
      </c>
      <c r="Y63" s="144">
        <f>Financing!Y13</f>
        <v>0</v>
      </c>
      <c r="Z63" s="144">
        <f>Financing!Z13</f>
        <v>0</v>
      </c>
      <c r="AA63" s="144">
        <f>Financing!AA13</f>
        <v>0</v>
      </c>
      <c r="AB63" s="144">
        <f>Financing!AB13</f>
        <v>0</v>
      </c>
      <c r="AC63" s="144">
        <f>Financing!AC13</f>
        <v>0</v>
      </c>
      <c r="AD63" s="144">
        <f>Financing!AD13</f>
        <v>0</v>
      </c>
      <c r="AE63" s="144">
        <f>Financing!AE13</f>
        <v>0</v>
      </c>
      <c r="AF63" s="144">
        <f>Financing!AF13</f>
        <v>0</v>
      </c>
      <c r="AG63" s="144">
        <f>Financing!AG13</f>
        <v>0</v>
      </c>
    </row>
    <row r="64" spans="1:33" ht="17.25" customHeight="1" outlineLevel="1">
      <c r="A64" s="894"/>
      <c r="B64" s="241"/>
      <c r="C64" s="126" t="s">
        <v>383</v>
      </c>
      <c r="D64" s="126"/>
      <c r="E64" s="126"/>
      <c r="F64" s="126"/>
      <c r="G64" s="126"/>
      <c r="H64" s="126"/>
      <c r="I64" s="141">
        <f t="shared" si="18"/>
        <v>0</v>
      </c>
      <c r="J64" s="142">
        <f>Financing!J14</f>
        <v>0</v>
      </c>
      <c r="K64" s="142">
        <f>Financing!K14</f>
        <v>0</v>
      </c>
      <c r="L64" s="142">
        <f>Financing!L14</f>
        <v>0</v>
      </c>
      <c r="M64" s="142">
        <f>Financing!M14</f>
        <v>0</v>
      </c>
      <c r="N64" s="142">
        <f>Financing!N14</f>
        <v>0</v>
      </c>
      <c r="O64" s="142">
        <f>Financing!O14</f>
        <v>0</v>
      </c>
      <c r="P64" s="142">
        <f>Financing!P14</f>
        <v>0</v>
      </c>
      <c r="Q64" s="142">
        <f>Financing!Q14</f>
        <v>0</v>
      </c>
      <c r="R64" s="142">
        <f>Financing!R14</f>
        <v>0</v>
      </c>
      <c r="S64" s="142">
        <f>Financing!S14</f>
        <v>0</v>
      </c>
      <c r="T64" s="142">
        <f>Financing!T14</f>
        <v>0</v>
      </c>
      <c r="U64" s="142">
        <f>Financing!U14</f>
        <v>0</v>
      </c>
      <c r="V64" s="142">
        <f>Financing!V14</f>
        <v>0</v>
      </c>
      <c r="W64" s="142">
        <f>Financing!W14</f>
        <v>0</v>
      </c>
      <c r="X64" s="142">
        <f>Financing!X14</f>
        <v>0</v>
      </c>
      <c r="Y64" s="142">
        <f>Financing!Y14</f>
        <v>0</v>
      </c>
      <c r="Z64" s="142">
        <f>Financing!Z14</f>
        <v>0</v>
      </c>
      <c r="AA64" s="142">
        <f>Financing!AA14</f>
        <v>0</v>
      </c>
      <c r="AB64" s="142">
        <f>Financing!AB14</f>
        <v>0</v>
      </c>
      <c r="AC64" s="142">
        <f>Financing!AC14</f>
        <v>0</v>
      </c>
      <c r="AD64" s="142">
        <f>Financing!AD14</f>
        <v>0</v>
      </c>
      <c r="AE64" s="142">
        <f>Financing!AE14</f>
        <v>0</v>
      </c>
      <c r="AF64" s="142">
        <f>Financing!AF14</f>
        <v>0</v>
      </c>
      <c r="AG64" s="142">
        <f>Financing!AG14</f>
        <v>0</v>
      </c>
    </row>
    <row r="65" spans="1:33" ht="17.25" customHeight="1" outlineLevel="1">
      <c r="A65" s="894"/>
      <c r="B65" s="241"/>
      <c r="C65" s="203" t="s">
        <v>382</v>
      </c>
      <c r="D65" s="126"/>
      <c r="E65" s="126"/>
      <c r="F65" s="126"/>
      <c r="G65" s="126"/>
      <c r="H65" s="126"/>
      <c r="I65" s="141">
        <f t="shared" ca="1" si="18"/>
        <v>3527.7846600489793</v>
      </c>
      <c r="J65" s="142">
        <f>Financing!J15</f>
        <v>6.25</v>
      </c>
      <c r="K65" s="142">
        <f ca="1">Financing!K15</f>
        <v>0</v>
      </c>
      <c r="L65" s="142">
        <f ca="1">Financing!L15</f>
        <v>0</v>
      </c>
      <c r="M65" s="142">
        <f ca="1">Financing!M15</f>
        <v>0</v>
      </c>
      <c r="N65" s="142">
        <f ca="1">Financing!N15</f>
        <v>65.398914499208331</v>
      </c>
      <c r="O65" s="142">
        <f ca="1">Financing!O15</f>
        <v>61.332165751621964</v>
      </c>
      <c r="P65" s="142">
        <f ca="1">Financing!P15</f>
        <v>70.400458855444001</v>
      </c>
      <c r="Q65" s="142">
        <f ca="1">Financing!Q15</f>
        <v>199.63864246709906</v>
      </c>
      <c r="R65" s="142">
        <f ca="1">Financing!R15</f>
        <v>243.81094353681067</v>
      </c>
      <c r="S65" s="142">
        <f ca="1">Financing!S15</f>
        <v>229.80362272893433</v>
      </c>
      <c r="T65" s="142">
        <f ca="1">Financing!T15</f>
        <v>341.12244579663843</v>
      </c>
      <c r="U65" s="142">
        <f ca="1">Financing!U15</f>
        <v>354.29030437902412</v>
      </c>
      <c r="V65" s="142">
        <f ca="1">Financing!V15</f>
        <v>286.1291254119962</v>
      </c>
      <c r="W65" s="142">
        <f ca="1">Financing!W15</f>
        <v>177.95552356066867</v>
      </c>
      <c r="X65" s="142">
        <f ca="1">Financing!X15</f>
        <v>134.32959733166132</v>
      </c>
      <c r="Y65" s="142">
        <f ca="1">Financing!Y15</f>
        <v>103.65193578325407</v>
      </c>
      <c r="Z65" s="142">
        <f ca="1">Financing!Z15</f>
        <v>205.03000163653422</v>
      </c>
      <c r="AA65" s="142">
        <f ca="1">Financing!AA15</f>
        <v>230.6478372123043</v>
      </c>
      <c r="AB65" s="142">
        <f ca="1">Financing!AB15</f>
        <v>203.48363814091022</v>
      </c>
      <c r="AC65" s="142">
        <f ca="1">Financing!AC15</f>
        <v>297.94225905510331</v>
      </c>
      <c r="AD65" s="142">
        <f ca="1">Financing!AD15</f>
        <v>316.56724390176652</v>
      </c>
      <c r="AE65" s="142">
        <f ca="1">Financing!AE15</f>
        <v>0</v>
      </c>
      <c r="AF65" s="142">
        <f ca="1">Financing!AF15</f>
        <v>0</v>
      </c>
      <c r="AG65" s="142">
        <f ca="1">Financing!AG15</f>
        <v>0</v>
      </c>
    </row>
    <row r="66" spans="1:33" ht="17.25" customHeight="1" outlineLevel="1">
      <c r="A66" s="894"/>
      <c r="B66" s="241"/>
      <c r="C66" s="135" t="s">
        <v>653</v>
      </c>
      <c r="D66" s="134"/>
      <c r="E66" s="134"/>
      <c r="F66" s="134"/>
      <c r="G66" s="134"/>
      <c r="H66" s="134"/>
      <c r="I66" s="141">
        <f t="shared" ca="1" si="18"/>
        <v>4212162.7940888312</v>
      </c>
      <c r="J66" s="151">
        <f t="shared" ref="J66:AG66" si="19">SUM(J61:J65)</f>
        <v>135228.024</v>
      </c>
      <c r="K66" s="151">
        <f t="shared" ca="1" si="19"/>
        <v>173870.81209999998</v>
      </c>
      <c r="L66" s="151">
        <f t="shared" ca="1" si="19"/>
        <v>177966.04068099998</v>
      </c>
      <c r="M66" s="151">
        <f t="shared" ca="1" si="19"/>
        <v>182990.09214781001</v>
      </c>
      <c r="N66" s="151">
        <f t="shared" ca="1" si="19"/>
        <v>175661.3280437873</v>
      </c>
      <c r="O66" s="151">
        <f t="shared" ca="1" si="19"/>
        <v>175890.40664633262</v>
      </c>
      <c r="P66" s="151">
        <f t="shared" ca="1" si="19"/>
        <v>274654.65174424223</v>
      </c>
      <c r="Q66" s="151">
        <f t="shared" ca="1" si="19"/>
        <v>179494.63350070774</v>
      </c>
      <c r="R66" s="151">
        <f t="shared" ca="1" si="19"/>
        <v>174834.13369035989</v>
      </c>
      <c r="S66" s="151">
        <f t="shared" ca="1" si="19"/>
        <v>275528.79835702019</v>
      </c>
      <c r="T66" s="151">
        <f t="shared" ca="1" si="19"/>
        <v>179900.84528743083</v>
      </c>
      <c r="U66" s="151">
        <f t="shared" ca="1" si="19"/>
        <v>178711.71953442958</v>
      </c>
      <c r="V66" s="151">
        <f t="shared" ca="1" si="19"/>
        <v>284737.18084776303</v>
      </c>
      <c r="W66" s="151">
        <f t="shared" ca="1" si="19"/>
        <v>179146.87196313523</v>
      </c>
      <c r="X66" s="151">
        <f t="shared" ca="1" si="19"/>
        <v>176413.58340130199</v>
      </c>
      <c r="Y66" s="151">
        <f t="shared" ca="1" si="19"/>
        <v>278245.5964777933</v>
      </c>
      <c r="Z66" s="151">
        <f t="shared" ca="1" si="19"/>
        <v>180686.38768906667</v>
      </c>
      <c r="AA66" s="151">
        <f t="shared" ca="1" si="19"/>
        <v>181174.76842151675</v>
      </c>
      <c r="AB66" s="151">
        <f t="shared" ca="1" si="19"/>
        <v>280029.64252828836</v>
      </c>
      <c r="AC66" s="151">
        <f t="shared" ca="1" si="19"/>
        <v>178645.14383810404</v>
      </c>
      <c r="AD66" s="151">
        <f t="shared" ca="1" si="19"/>
        <v>188352.13318874122</v>
      </c>
      <c r="AE66" s="151">
        <f t="shared" ca="1" si="19"/>
        <v>0</v>
      </c>
      <c r="AF66" s="151">
        <f t="shared" ca="1" si="19"/>
        <v>0</v>
      </c>
      <c r="AG66" s="151">
        <f t="shared" ca="1" si="19"/>
        <v>0</v>
      </c>
    </row>
    <row r="67" spans="1:33" ht="17.25" customHeight="1" outlineLevel="1">
      <c r="A67" s="894"/>
      <c r="B67" s="241"/>
      <c r="C67" s="241"/>
      <c r="D67" s="241"/>
      <c r="E67" s="241"/>
      <c r="F67" s="241"/>
      <c r="G67" s="241"/>
      <c r="H67" s="241"/>
      <c r="I67" s="329"/>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row>
    <row r="68" spans="1:33" ht="21.75" customHeight="1" outlineLevel="1">
      <c r="A68" s="894"/>
      <c r="B68" s="241"/>
      <c r="C68" s="279" t="s">
        <v>380</v>
      </c>
      <c r="D68" s="241"/>
      <c r="E68" s="241"/>
      <c r="F68" s="241"/>
      <c r="G68" s="241"/>
      <c r="H68" s="241"/>
      <c r="I68" s="329"/>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row>
    <row r="69" spans="1:33" ht="17.25" customHeight="1" outlineLevel="1">
      <c r="A69" s="894"/>
      <c r="B69" s="241"/>
      <c r="C69" s="649" t="s">
        <v>369</v>
      </c>
      <c r="D69" s="126"/>
      <c r="E69" s="346"/>
      <c r="F69" s="126"/>
      <c r="G69" s="80"/>
      <c r="H69" s="126"/>
      <c r="I69" s="141">
        <f t="shared" ref="I69:I86" si="20">SUM(J69:AG69)</f>
        <v>-43066</v>
      </c>
      <c r="J69" s="144">
        <f>Financing!J16</f>
        <v>-1037.5</v>
      </c>
      <c r="K69" s="144">
        <f>Financing!K16</f>
        <v>-1798.5</v>
      </c>
      <c r="L69" s="144">
        <f>Financing!L16</f>
        <v>-2002</v>
      </c>
      <c r="M69" s="144">
        <f>Financing!M16</f>
        <v>-2005</v>
      </c>
      <c r="N69" s="144">
        <f>Financing!N16</f>
        <v>-2005</v>
      </c>
      <c r="O69" s="144">
        <f>Financing!O16</f>
        <v>-2005</v>
      </c>
      <c r="P69" s="144">
        <f>Financing!P16</f>
        <v>-2005</v>
      </c>
      <c r="Q69" s="144">
        <f>Financing!Q16</f>
        <v>-1984</v>
      </c>
      <c r="R69" s="144">
        <f>Financing!R16</f>
        <v>-1978</v>
      </c>
      <c r="S69" s="144">
        <f>Financing!S16</f>
        <v>-2090</v>
      </c>
      <c r="T69" s="144">
        <f>Financing!T16</f>
        <v>-2205</v>
      </c>
      <c r="U69" s="144">
        <f>Financing!U16</f>
        <v>-2205</v>
      </c>
      <c r="V69" s="144">
        <f>Financing!V16</f>
        <v>-2205</v>
      </c>
      <c r="W69" s="144">
        <f>Financing!W16</f>
        <v>-2205</v>
      </c>
      <c r="X69" s="144">
        <f>Financing!X16</f>
        <v>-2205</v>
      </c>
      <c r="Y69" s="144">
        <f>Financing!Y16</f>
        <v>-2205</v>
      </c>
      <c r="Z69" s="144">
        <f>Financing!Z16</f>
        <v>-2205</v>
      </c>
      <c r="AA69" s="144">
        <f>Financing!AA16</f>
        <v>-2205</v>
      </c>
      <c r="AB69" s="144">
        <f>Financing!AB16</f>
        <v>-2205</v>
      </c>
      <c r="AC69" s="144">
        <f>Financing!AC16</f>
        <v>-2147.5</v>
      </c>
      <c r="AD69" s="144">
        <f>Financing!AD16</f>
        <v>-2163.5</v>
      </c>
      <c r="AE69" s="144">
        <f>Financing!AE16</f>
        <v>0</v>
      </c>
      <c r="AF69" s="144">
        <f>Financing!AF16</f>
        <v>0</v>
      </c>
      <c r="AG69" s="144">
        <f>Financing!AG16</f>
        <v>0</v>
      </c>
    </row>
    <row r="70" spans="1:33" s="203" customFormat="1" ht="17.25" customHeight="1" outlineLevel="1">
      <c r="A70" s="894"/>
      <c r="B70" s="241"/>
      <c r="C70" s="649" t="str">
        <f>"Cost of Materials/Goods (incl. "&amp;Name_VAT &amp;")"</f>
        <v>Cost of Materials/Goods (incl. VAT)</v>
      </c>
      <c r="D70" s="126"/>
      <c r="E70" s="346"/>
      <c r="F70" s="126"/>
      <c r="G70" s="126"/>
      <c r="H70" s="126"/>
      <c r="I70" s="141">
        <f t="shared" si="20"/>
        <v>-1711770.7021944325</v>
      </c>
      <c r="J70" s="144">
        <f>Financing!J17</f>
        <v>-43846.591850000004</v>
      </c>
      <c r="K70" s="144">
        <f>Financing!K17</f>
        <v>-87180.639712499993</v>
      </c>
      <c r="L70" s="144">
        <f>Financing!L17</f>
        <v>-83705.461789624998</v>
      </c>
      <c r="M70" s="144">
        <f>Financing!M17</f>
        <v>-83378.799187521246</v>
      </c>
      <c r="N70" s="144">
        <f>Financing!N17</f>
        <v>-83508.183559396464</v>
      </c>
      <c r="O70" s="144">
        <f>Financing!O17</f>
        <v>-83525.216574990438</v>
      </c>
      <c r="P70" s="144">
        <f>Financing!P17</f>
        <v>-83542.419920740344</v>
      </c>
      <c r="Q70" s="144">
        <f>Financing!Q17</f>
        <v>-82537.255299947719</v>
      </c>
      <c r="R70" s="144">
        <f>Financing!R17</f>
        <v>-80149.544432947208</v>
      </c>
      <c r="S70" s="144">
        <f>Financing!S17</f>
        <v>-83469.789057276677</v>
      </c>
      <c r="T70" s="144">
        <f>Financing!T17</f>
        <v>-84800.602127849459</v>
      </c>
      <c r="U70" s="144">
        <f>Financing!U17</f>
        <v>-83222.563617127948</v>
      </c>
      <c r="V70" s="144">
        <f>Financing!V17</f>
        <v>-83094.492881299229</v>
      </c>
      <c r="W70" s="144">
        <f>Financing!W17</f>
        <v>-83129.071710112214</v>
      </c>
      <c r="X70" s="144">
        <f>Financing!X17</f>
        <v>-83163.996327213346</v>
      </c>
      <c r="Y70" s="144">
        <f>Financing!Y17</f>
        <v>-83199.270190485462</v>
      </c>
      <c r="Z70" s="144">
        <f>Financing!Z17</f>
        <v>-83349.736792390322</v>
      </c>
      <c r="AA70" s="144">
        <f>Financing!AA17</f>
        <v>-83347.439660314238</v>
      </c>
      <c r="AB70" s="144">
        <f>Financing!AB17</f>
        <v>-83307.22235691738</v>
      </c>
      <c r="AC70" s="144">
        <f>Financing!AC17</f>
        <v>-82015.728480486549</v>
      </c>
      <c r="AD70" s="144">
        <f>Financing!AD17</f>
        <v>-84296.676665291423</v>
      </c>
      <c r="AE70" s="144">
        <f>Financing!AE17</f>
        <v>0</v>
      </c>
      <c r="AF70" s="144">
        <f>Financing!AF17</f>
        <v>0</v>
      </c>
      <c r="AG70" s="144">
        <f>Financing!AG17</f>
        <v>0</v>
      </c>
    </row>
    <row r="71" spans="1:33" s="637" customFormat="1" ht="17.25" customHeight="1" outlineLevel="1">
      <c r="A71" s="894"/>
      <c r="B71" s="894"/>
      <c r="C71" s="831" t="str">
        <f>"Other Direct Costs (incl. "&amp;Name_VAT &amp;")"</f>
        <v>Other Direct Costs (incl. VAT)</v>
      </c>
      <c r="D71" s="831"/>
      <c r="E71" s="831"/>
      <c r="F71" s="831"/>
      <c r="G71" s="831"/>
      <c r="H71" s="831"/>
      <c r="I71" s="141">
        <f t="shared" ca="1" si="20"/>
        <v>-88110.12825429553</v>
      </c>
      <c r="J71" s="144">
        <f ca="1">Financing!J18</f>
        <v>-3005.2908000000002</v>
      </c>
      <c r="K71" s="144">
        <f ca="1">Financing!K18</f>
        <v>-3151.66167</v>
      </c>
      <c r="L71" s="144">
        <f ca="1">Financing!L18</f>
        <v>-3213.6941486999999</v>
      </c>
      <c r="M71" s="144">
        <f ca="1">Financing!M18</f>
        <v>-3278.7409521870004</v>
      </c>
      <c r="N71" s="144">
        <f ca="1">Financing!N18</f>
        <v>-3346.9519237088703</v>
      </c>
      <c r="O71" s="144">
        <f ca="1">Financing!O18</f>
        <v>-3418.4843899459593</v>
      </c>
      <c r="P71" s="144">
        <f ca="1">Financing!P18</f>
        <v>-4633.7315350954195</v>
      </c>
      <c r="Q71" s="144">
        <f ca="1">Financing!Q18</f>
        <v>-3521.3387936588733</v>
      </c>
      <c r="R71" s="144">
        <f ca="1">Financing!R18</f>
        <v>-3632.3602628685867</v>
      </c>
      <c r="S71" s="144">
        <f ca="1">Financing!S18</f>
        <v>-4911.6971357340544</v>
      </c>
      <c r="T71" s="144">
        <f ca="1">Financing!T18</f>
        <v>-3862.714155740015</v>
      </c>
      <c r="U71" s="144">
        <f ca="1">Financing!U18</f>
        <v>-3944.0229942784667</v>
      </c>
      <c r="V71" s="144">
        <f ca="1">Financing!V18</f>
        <v>-5184.9606089513554</v>
      </c>
      <c r="W71" s="144">
        <f ca="1">Financing!W18</f>
        <v>-4149.8906135074785</v>
      </c>
      <c r="X71" s="144">
        <f ca="1">Financing!X18</f>
        <v>-4260.4250305324922</v>
      </c>
      <c r="Y71" s="144">
        <f ca="1">Financing!Y18</f>
        <v>-5516.9340717722544</v>
      </c>
      <c r="Z71" s="144">
        <f ca="1">Financing!Z18</f>
        <v>-4505.5007474711356</v>
      </c>
      <c r="AA71" s="144">
        <f ca="1">Financing!AA18</f>
        <v>-4633.0695061760625</v>
      </c>
      <c r="AB71" s="144">
        <f ca="1">Financing!AB18</f>
        <v>-5907.5749065295513</v>
      </c>
      <c r="AC71" s="144">
        <f ca="1">Financing!AC18</f>
        <v>-4881.0563226511604</v>
      </c>
      <c r="AD71" s="144">
        <f ca="1">Financing!AD18</f>
        <v>-5150.0276847868008</v>
      </c>
      <c r="AE71" s="144">
        <f ca="1">Financing!AE18</f>
        <v>0</v>
      </c>
      <c r="AF71" s="144">
        <f ca="1">Financing!AF18</f>
        <v>0</v>
      </c>
      <c r="AG71" s="144">
        <f ca="1">Financing!AG18</f>
        <v>0</v>
      </c>
    </row>
    <row r="72" spans="1:33" s="637" customFormat="1" ht="17.25" customHeight="1" outlineLevel="1">
      <c r="A72" s="894"/>
      <c r="B72" s="894"/>
      <c r="C72" s="831" t="str">
        <f>"Overheads (incl. "&amp;Name_VAT &amp;")"</f>
        <v>Overheads (incl. VAT)</v>
      </c>
      <c r="D72" s="831"/>
      <c r="E72" s="831"/>
      <c r="F72" s="831"/>
      <c r="G72" s="831"/>
      <c r="H72" s="831"/>
      <c r="I72" s="141">
        <f t="shared" ca="1" si="20"/>
        <v>-932264.40779708978</v>
      </c>
      <c r="J72" s="144">
        <f ca="1">Financing!J19</f>
        <v>-28515.881600000001</v>
      </c>
      <c r="K72" s="144">
        <f ca="1">Financing!K19</f>
        <v>-26321.423339999998</v>
      </c>
      <c r="L72" s="144">
        <f ca="1">Financing!L19</f>
        <v>-26715.6682974</v>
      </c>
      <c r="M72" s="144">
        <f ca="1">Financing!M19</f>
        <v>-27178.379704374001</v>
      </c>
      <c r="N72" s="144">
        <f ca="1">Financing!N19</f>
        <v>-26888.75822541774</v>
      </c>
      <c r="O72" s="144">
        <f ca="1">Financing!O19</f>
        <v>-37854.571198338585</v>
      </c>
      <c r="P72" s="144">
        <f ca="1">Financing!P19</f>
        <v>-38291.741967655304</v>
      </c>
      <c r="Q72" s="144">
        <f ca="1">Financing!Q19</f>
        <v>-42446.281884665186</v>
      </c>
      <c r="R72" s="144">
        <f ca="1">Financing!R19</f>
        <v>-42966.335640845173</v>
      </c>
      <c r="S72" s="144">
        <f ca="1">Financing!S19</f>
        <v>-45062.623934586962</v>
      </c>
      <c r="T72" s="144">
        <f ca="1">Financing!T19</f>
        <v>-52802.408804599501</v>
      </c>
      <c r="U72" s="144">
        <f ca="1">Financing!U19</f>
        <v>-48237.826096645491</v>
      </c>
      <c r="V72" s="144">
        <f ca="1">Financing!V19</f>
        <v>-50230.841177611954</v>
      </c>
      <c r="W72" s="144">
        <f ca="1">Financing!W19</f>
        <v>-53901.150622721405</v>
      </c>
      <c r="X72" s="144">
        <f ca="1">Financing!X19</f>
        <v>-53059.624615615285</v>
      </c>
      <c r="Y72" s="144">
        <f ca="1">Financing!Y19</f>
        <v>-54859.325348438098</v>
      </c>
      <c r="Z72" s="144">
        <f ca="1">Financing!Z19</f>
        <v>-52681.88168858915</v>
      </c>
      <c r="AA72" s="144">
        <f ca="1">Financing!AA19</f>
        <v>-52770.618512141707</v>
      </c>
      <c r="AB72" s="144">
        <f ca="1">Financing!AB19</f>
        <v>-58420.083537263119</v>
      </c>
      <c r="AC72" s="144">
        <f ca="1">Financing!AC19</f>
        <v>-56551.391990969089</v>
      </c>
      <c r="AD72" s="144">
        <f ca="1">Financing!AD19</f>
        <v>-56507.589609212111</v>
      </c>
      <c r="AE72" s="144">
        <f ca="1">Financing!AE19</f>
        <v>0</v>
      </c>
      <c r="AF72" s="144">
        <f ca="1">Financing!AF19</f>
        <v>0</v>
      </c>
      <c r="AG72" s="144">
        <f ca="1">Financing!AG19</f>
        <v>0</v>
      </c>
    </row>
    <row r="73" spans="1:33" ht="17.25" customHeight="1" outlineLevel="1">
      <c r="A73" s="894"/>
      <c r="B73" s="241"/>
      <c r="C73" s="831" t="str">
        <f>CHOOSE(language,"Direct labour costs (w/o social insurance + income tax)","Direct labor expenses (w/o social insurance + income tax)")</f>
        <v>Direct labor expenses (w/o social insurance + income tax)</v>
      </c>
      <c r="D73" s="831"/>
      <c r="E73" s="831"/>
      <c r="F73" s="831"/>
      <c r="G73" s="831"/>
      <c r="H73" s="831"/>
      <c r="I73" s="141">
        <f t="shared" si="20"/>
        <v>-120825.83333333333</v>
      </c>
      <c r="J73" s="144">
        <f>Financing!J20</f>
        <v>-3416.6666666666665</v>
      </c>
      <c r="K73" s="144">
        <f>Financing!K20</f>
        <v>-3416.6666666666665</v>
      </c>
      <c r="L73" s="144">
        <f>Financing!L20</f>
        <v>-3416.6666666666665</v>
      </c>
      <c r="M73" s="144">
        <f>Financing!M20</f>
        <v>-3416.6666666666665</v>
      </c>
      <c r="N73" s="144">
        <f>Financing!N20</f>
        <v>-3416.6666666666665</v>
      </c>
      <c r="O73" s="144">
        <f>Financing!O20</f>
        <v>-3416.6666666666665</v>
      </c>
      <c r="P73" s="144">
        <f>Financing!P20</f>
        <v>-5083.333333333333</v>
      </c>
      <c r="Q73" s="144">
        <f>Financing!Q20</f>
        <v>-6750.0000000000009</v>
      </c>
      <c r="R73" s="144">
        <f>Financing!R20</f>
        <v>-6750.0000000000009</v>
      </c>
      <c r="S73" s="144">
        <f>Financing!S20</f>
        <v>-6750.0000000000009</v>
      </c>
      <c r="T73" s="144">
        <f>Financing!T20</f>
        <v>-6817.4999999999991</v>
      </c>
      <c r="U73" s="144">
        <f>Financing!U20</f>
        <v>-6817.4999999999991</v>
      </c>
      <c r="V73" s="144">
        <f>Financing!V20</f>
        <v>-6817.4999999999991</v>
      </c>
      <c r="W73" s="144">
        <f>Financing!W20</f>
        <v>-6817.4999999999991</v>
      </c>
      <c r="X73" s="144">
        <f>Financing!X20</f>
        <v>-6817.4999999999991</v>
      </c>
      <c r="Y73" s="144">
        <f>Financing!Y20</f>
        <v>-6817.4999999999991</v>
      </c>
      <c r="Z73" s="144">
        <f>Financing!Z20</f>
        <v>-6817.4999999999991</v>
      </c>
      <c r="AA73" s="144">
        <f>Financing!AA20</f>
        <v>-6817.4999999999991</v>
      </c>
      <c r="AB73" s="144">
        <f>Financing!AB20</f>
        <v>-6817.4999999999991</v>
      </c>
      <c r="AC73" s="144">
        <f>Financing!AC20</f>
        <v>-6817.4999999999991</v>
      </c>
      <c r="AD73" s="144">
        <f>Financing!AD20</f>
        <v>-6817.4999999999991</v>
      </c>
      <c r="AE73" s="144">
        <f>Financing!AE20</f>
        <v>0</v>
      </c>
      <c r="AF73" s="144">
        <f>Financing!AF20</f>
        <v>0</v>
      </c>
      <c r="AG73" s="144">
        <f>Financing!AG20</f>
        <v>0</v>
      </c>
    </row>
    <row r="74" spans="1:33" s="203" customFormat="1" ht="17.25" customHeight="1" outlineLevel="1">
      <c r="A74" s="894"/>
      <c r="B74" s="241"/>
      <c r="C74" s="649" t="s">
        <v>822</v>
      </c>
      <c r="D74" s="346"/>
      <c r="E74" s="346"/>
      <c r="F74" s="126"/>
      <c r="G74" s="126"/>
      <c r="H74" s="126"/>
      <c r="I74" s="141">
        <f t="shared" si="20"/>
        <v>-148994.79166666669</v>
      </c>
      <c r="J74" s="144">
        <f>Financing!J21</f>
        <v>0</v>
      </c>
      <c r="K74" s="144">
        <f>Financing!K21</f>
        <v>-3437.5000000000005</v>
      </c>
      <c r="L74" s="144">
        <f>Financing!L21</f>
        <v>-5937.5</v>
      </c>
      <c r="M74" s="144">
        <f>Financing!M21</f>
        <v>-3437.5000000000005</v>
      </c>
      <c r="N74" s="144">
        <f>Financing!N21</f>
        <v>-3437.5000000000005</v>
      </c>
      <c r="O74" s="144">
        <f>Financing!O21</f>
        <v>-5437.5</v>
      </c>
      <c r="P74" s="144">
        <f>Financing!P21</f>
        <v>-5208.333333333333</v>
      </c>
      <c r="Q74" s="144">
        <f>Financing!Q21</f>
        <v>-5625</v>
      </c>
      <c r="R74" s="144">
        <f>Financing!R21</f>
        <v>-7604.166666666667</v>
      </c>
      <c r="S74" s="144">
        <f>Financing!S21</f>
        <v>-7604.166666666667</v>
      </c>
      <c r="T74" s="144">
        <f>Financing!T21</f>
        <v>-7604.166666666667</v>
      </c>
      <c r="U74" s="144">
        <f>Financing!U21</f>
        <v>-8618.75</v>
      </c>
      <c r="V74" s="144">
        <f>Financing!V21</f>
        <v>-8618.75</v>
      </c>
      <c r="W74" s="144">
        <f>Financing!W21</f>
        <v>-8618.75</v>
      </c>
      <c r="X74" s="144">
        <f>Financing!X21</f>
        <v>-9472.9166666666679</v>
      </c>
      <c r="Y74" s="144">
        <f>Financing!Y21</f>
        <v>-9472.9166666666679</v>
      </c>
      <c r="Z74" s="144">
        <f>Financing!Z21</f>
        <v>-9472.9166666666679</v>
      </c>
      <c r="AA74" s="144">
        <f>Financing!AA21</f>
        <v>-9472.9166666666679</v>
      </c>
      <c r="AB74" s="144">
        <f>Financing!AB21</f>
        <v>-9472.9166666666679</v>
      </c>
      <c r="AC74" s="144">
        <f>Financing!AC21</f>
        <v>-10220.3125</v>
      </c>
      <c r="AD74" s="144">
        <f>Financing!AD21</f>
        <v>-10220.3125</v>
      </c>
      <c r="AE74" s="144">
        <f>Financing!AE21</f>
        <v>0</v>
      </c>
      <c r="AF74" s="144">
        <f>Financing!AF21</f>
        <v>0</v>
      </c>
      <c r="AG74" s="144">
        <f>Financing!AG21</f>
        <v>0</v>
      </c>
    </row>
    <row r="75" spans="1:33" s="203" customFormat="1" ht="17.25" customHeight="1" outlineLevel="1">
      <c r="A75" s="894"/>
      <c r="B75" s="241"/>
      <c r="C75" s="346" t="s">
        <v>364</v>
      </c>
      <c r="D75" s="346"/>
      <c r="E75" s="346"/>
      <c r="F75" s="126"/>
      <c r="G75" s="126"/>
      <c r="H75" s="126"/>
      <c r="I75" s="141">
        <f t="shared" si="20"/>
        <v>-1750</v>
      </c>
      <c r="J75" s="144">
        <f>Financing!J22</f>
        <v>0</v>
      </c>
      <c r="K75" s="144">
        <f>Financing!K22</f>
        <v>0</v>
      </c>
      <c r="L75" s="144">
        <f>Financing!L22</f>
        <v>0</v>
      </c>
      <c r="M75" s="144">
        <f>Financing!M22</f>
        <v>0</v>
      </c>
      <c r="N75" s="144">
        <f>Financing!N22</f>
        <v>0</v>
      </c>
      <c r="O75" s="144">
        <f>Financing!O22</f>
        <v>0</v>
      </c>
      <c r="P75" s="144">
        <f>Financing!P22</f>
        <v>0</v>
      </c>
      <c r="Q75" s="144">
        <f>Financing!Q22</f>
        <v>0</v>
      </c>
      <c r="R75" s="144">
        <f>Financing!R22</f>
        <v>0</v>
      </c>
      <c r="S75" s="144">
        <f>Financing!S22</f>
        <v>0</v>
      </c>
      <c r="T75" s="144">
        <f>Financing!T22</f>
        <v>0</v>
      </c>
      <c r="U75" s="144">
        <f>Financing!U22</f>
        <v>0</v>
      </c>
      <c r="V75" s="144">
        <f>Financing!V22</f>
        <v>0</v>
      </c>
      <c r="W75" s="144">
        <f>Financing!W22</f>
        <v>0</v>
      </c>
      <c r="X75" s="144">
        <f>Financing!X22</f>
        <v>0</v>
      </c>
      <c r="Y75" s="144">
        <f>Financing!Y22</f>
        <v>0</v>
      </c>
      <c r="Z75" s="144">
        <f>Financing!Z22</f>
        <v>0</v>
      </c>
      <c r="AA75" s="144">
        <f>Financing!AA22</f>
        <v>-1750</v>
      </c>
      <c r="AB75" s="144">
        <f>Financing!AB22</f>
        <v>0</v>
      </c>
      <c r="AC75" s="144">
        <f>Financing!AC22</f>
        <v>0</v>
      </c>
      <c r="AD75" s="144">
        <f>Financing!AD22</f>
        <v>0</v>
      </c>
      <c r="AE75" s="144">
        <f>Financing!AE22</f>
        <v>0</v>
      </c>
      <c r="AF75" s="144">
        <f>Financing!AF22</f>
        <v>0</v>
      </c>
      <c r="AG75" s="144">
        <f>Financing!AG22</f>
        <v>0</v>
      </c>
    </row>
    <row r="76" spans="1:33" ht="17.25" customHeight="1" outlineLevel="1">
      <c r="A76" s="894"/>
      <c r="B76" s="241"/>
      <c r="C76" s="346" t="str">
        <f>"Capital Expenditure (incl. "&amp;Name_VAT &amp;")"</f>
        <v>Capital Expenditure (incl. VAT)</v>
      </c>
      <c r="D76" s="346"/>
      <c r="E76" s="346"/>
      <c r="F76" s="126"/>
      <c r="G76" s="126"/>
      <c r="H76" s="126"/>
      <c r="I76" s="141">
        <f t="shared" si="20"/>
        <v>-558550</v>
      </c>
      <c r="J76" s="144">
        <f>Financing!J23</f>
        <v>-134000</v>
      </c>
      <c r="K76" s="144">
        <f>Financing!K23</f>
        <v>-255200</v>
      </c>
      <c r="L76" s="144">
        <f>Financing!L23</f>
        <v>0</v>
      </c>
      <c r="M76" s="144">
        <f>Financing!M23</f>
        <v>-6400</v>
      </c>
      <c r="N76" s="144">
        <f>Financing!N23</f>
        <v>-55000</v>
      </c>
      <c r="O76" s="144">
        <f>Financing!O23</f>
        <v>0</v>
      </c>
      <c r="P76" s="144">
        <f>Financing!P23</f>
        <v>0</v>
      </c>
      <c r="Q76" s="144">
        <f>Financing!Q23</f>
        <v>0</v>
      </c>
      <c r="R76" s="144">
        <f>Financing!R23</f>
        <v>0</v>
      </c>
      <c r="S76" s="144">
        <f>Financing!S23</f>
        <v>0</v>
      </c>
      <c r="T76" s="144">
        <f>Financing!T23</f>
        <v>0</v>
      </c>
      <c r="U76" s="144">
        <f>Financing!U23</f>
        <v>-48950</v>
      </c>
      <c r="V76" s="144">
        <f>Financing!V23</f>
        <v>0</v>
      </c>
      <c r="W76" s="144">
        <f>Financing!W23</f>
        <v>-59000</v>
      </c>
      <c r="X76" s="144">
        <f>Financing!X23</f>
        <v>0</v>
      </c>
      <c r="Y76" s="144">
        <f>Financing!Y23</f>
        <v>0</v>
      </c>
      <c r="Z76" s="144">
        <f>Financing!Z23</f>
        <v>0</v>
      </c>
      <c r="AA76" s="144">
        <f>Financing!AA23</f>
        <v>0</v>
      </c>
      <c r="AB76" s="144">
        <f>Financing!AB23</f>
        <v>0</v>
      </c>
      <c r="AC76" s="144">
        <f>Financing!AC23</f>
        <v>0</v>
      </c>
      <c r="AD76" s="144">
        <f>Financing!AD23</f>
        <v>0</v>
      </c>
      <c r="AE76" s="144">
        <f>Financing!AE23</f>
        <v>0</v>
      </c>
      <c r="AF76" s="144">
        <f>Financing!AF23</f>
        <v>0</v>
      </c>
      <c r="AG76" s="144">
        <f>Financing!AG23</f>
        <v>0</v>
      </c>
    </row>
    <row r="77" spans="1:33" s="704" customFormat="1" ht="17.25" customHeight="1" outlineLevel="1">
      <c r="A77" s="894"/>
      <c r="B77" s="287"/>
      <c r="C77" s="704" t="s">
        <v>488</v>
      </c>
      <c r="D77" s="346"/>
      <c r="E77" s="346"/>
      <c r="F77" s="346"/>
      <c r="G77" s="346"/>
      <c r="H77" s="346"/>
      <c r="I77" s="141">
        <f t="shared" si="20"/>
        <v>-2125</v>
      </c>
      <c r="J77" s="144">
        <f>Financing!J24</f>
        <v>0</v>
      </c>
      <c r="K77" s="144">
        <f>Financing!K24</f>
        <v>0</v>
      </c>
      <c r="L77" s="144">
        <f>Financing!L24</f>
        <v>0</v>
      </c>
      <c r="M77" s="144">
        <f>Financing!M24</f>
        <v>0</v>
      </c>
      <c r="N77" s="144">
        <f>Financing!N24</f>
        <v>-125</v>
      </c>
      <c r="O77" s="144">
        <f>Financing!O24</f>
        <v>-125</v>
      </c>
      <c r="P77" s="144">
        <f>Financing!P24</f>
        <v>-125</v>
      </c>
      <c r="Q77" s="144">
        <f>Financing!Q24</f>
        <v>-125</v>
      </c>
      <c r="R77" s="144">
        <f>Financing!R24</f>
        <v>-125</v>
      </c>
      <c r="S77" s="144">
        <f>Financing!S24</f>
        <v>-125</v>
      </c>
      <c r="T77" s="144">
        <f>Financing!T24</f>
        <v>-125</v>
      </c>
      <c r="U77" s="144">
        <f>Financing!U24</f>
        <v>-125</v>
      </c>
      <c r="V77" s="144">
        <f>Financing!V24</f>
        <v>-125</v>
      </c>
      <c r="W77" s="144">
        <f>Financing!W24</f>
        <v>-125</v>
      </c>
      <c r="X77" s="144">
        <f>Financing!X24</f>
        <v>-125</v>
      </c>
      <c r="Y77" s="144">
        <f>Financing!Y24</f>
        <v>-125</v>
      </c>
      <c r="Z77" s="144">
        <f>Financing!Z24</f>
        <v>-125</v>
      </c>
      <c r="AA77" s="144">
        <f>Financing!AA24</f>
        <v>-125</v>
      </c>
      <c r="AB77" s="144">
        <f>Financing!AB24</f>
        <v>-125</v>
      </c>
      <c r="AC77" s="144">
        <f>Financing!AC24</f>
        <v>-125</v>
      </c>
      <c r="AD77" s="144">
        <f>Financing!AD24</f>
        <v>-125</v>
      </c>
      <c r="AE77" s="144">
        <f>Financing!AE24</f>
        <v>0</v>
      </c>
      <c r="AF77" s="144">
        <f>Financing!AF24</f>
        <v>0</v>
      </c>
      <c r="AG77" s="144">
        <f>Financing!AG24</f>
        <v>0</v>
      </c>
    </row>
    <row r="78" spans="1:33" s="704" customFormat="1" ht="17.25" customHeight="1" outlineLevel="1">
      <c r="A78" s="894"/>
      <c r="B78" s="287"/>
      <c r="C78" s="704" t="s">
        <v>487</v>
      </c>
      <c r="D78" s="346"/>
      <c r="E78" s="346"/>
      <c r="F78" s="346"/>
      <c r="G78" s="346"/>
      <c r="H78" s="346"/>
      <c r="I78" s="141">
        <f t="shared" si="20"/>
        <v>-2750</v>
      </c>
      <c r="J78" s="144">
        <f>Financing!J25</f>
        <v>0</v>
      </c>
      <c r="K78" s="144">
        <f>Financing!K25</f>
        <v>0</v>
      </c>
      <c r="L78" s="144">
        <f>Financing!L25</f>
        <v>0</v>
      </c>
      <c r="M78" s="144">
        <f>Financing!M25</f>
        <v>0</v>
      </c>
      <c r="N78" s="144">
        <f>Financing!N25</f>
        <v>0</v>
      </c>
      <c r="O78" s="144">
        <f>Financing!O25</f>
        <v>0</v>
      </c>
      <c r="P78" s="144">
        <f>Financing!P25</f>
        <v>-1250</v>
      </c>
      <c r="Q78" s="144">
        <f>Financing!Q25</f>
        <v>0</v>
      </c>
      <c r="R78" s="144">
        <f>Financing!R25</f>
        <v>0</v>
      </c>
      <c r="S78" s="144">
        <f>Financing!S25</f>
        <v>0</v>
      </c>
      <c r="T78" s="144">
        <f>Financing!T25</f>
        <v>0</v>
      </c>
      <c r="U78" s="144">
        <f>Financing!U25</f>
        <v>0</v>
      </c>
      <c r="V78" s="144">
        <f>Financing!V25</f>
        <v>0</v>
      </c>
      <c r="W78" s="144">
        <f>Financing!W25</f>
        <v>0</v>
      </c>
      <c r="X78" s="144">
        <f>Financing!X25</f>
        <v>0</v>
      </c>
      <c r="Y78" s="144">
        <f>Financing!Y25</f>
        <v>0</v>
      </c>
      <c r="Z78" s="144">
        <f>Financing!Z25</f>
        <v>0</v>
      </c>
      <c r="AA78" s="144">
        <f>Financing!AA25</f>
        <v>0</v>
      </c>
      <c r="AB78" s="144">
        <f>Financing!AB25</f>
        <v>-1500</v>
      </c>
      <c r="AC78" s="144">
        <f>Financing!AC25</f>
        <v>0</v>
      </c>
      <c r="AD78" s="144">
        <f>Financing!AD25</f>
        <v>0</v>
      </c>
      <c r="AE78" s="144">
        <f>Financing!AE25</f>
        <v>0</v>
      </c>
      <c r="AF78" s="144">
        <f>Financing!AF25</f>
        <v>0</v>
      </c>
      <c r="AG78" s="144">
        <f>Financing!AG25</f>
        <v>0</v>
      </c>
    </row>
    <row r="79" spans="1:33" ht="17.25" customHeight="1" outlineLevel="1">
      <c r="A79" s="894"/>
      <c r="B79" s="241"/>
      <c r="C79" s="346" t="s">
        <v>427</v>
      </c>
      <c r="D79" s="126"/>
      <c r="E79" s="346"/>
      <c r="F79" s="126"/>
      <c r="G79" s="126"/>
      <c r="H79" s="126"/>
      <c r="I79" s="141">
        <f t="shared" si="20"/>
        <v>-5000</v>
      </c>
      <c r="J79" s="144">
        <f>Financing!J26</f>
        <v>0</v>
      </c>
      <c r="K79" s="144">
        <f>Financing!K26</f>
        <v>0</v>
      </c>
      <c r="L79" s="144">
        <f>Financing!L26</f>
        <v>0</v>
      </c>
      <c r="M79" s="144">
        <f>Financing!M26</f>
        <v>0</v>
      </c>
      <c r="N79" s="144">
        <f>Financing!N26</f>
        <v>0</v>
      </c>
      <c r="O79" s="144">
        <f>Financing!O26</f>
        <v>0</v>
      </c>
      <c r="P79" s="144">
        <f>Financing!P26</f>
        <v>0</v>
      </c>
      <c r="Q79" s="144">
        <f>Financing!Q26</f>
        <v>0</v>
      </c>
      <c r="R79" s="144">
        <f>Financing!R26</f>
        <v>-10000</v>
      </c>
      <c r="S79" s="144">
        <f>Financing!S26</f>
        <v>0</v>
      </c>
      <c r="T79" s="144">
        <f>Financing!T26</f>
        <v>0</v>
      </c>
      <c r="U79" s="144">
        <f>Financing!U26</f>
        <v>0</v>
      </c>
      <c r="V79" s="144">
        <f>Financing!V26</f>
        <v>0</v>
      </c>
      <c r="W79" s="144">
        <f>Financing!W26</f>
        <v>5000</v>
      </c>
      <c r="X79" s="144">
        <f>Financing!X26</f>
        <v>0</v>
      </c>
      <c r="Y79" s="144">
        <f>Financing!Y26</f>
        <v>0</v>
      </c>
      <c r="Z79" s="144">
        <f>Financing!Z26</f>
        <v>0</v>
      </c>
      <c r="AA79" s="144">
        <f>Financing!AA26</f>
        <v>0</v>
      </c>
      <c r="AB79" s="144">
        <f>Financing!AB26</f>
        <v>0</v>
      </c>
      <c r="AC79" s="144">
        <f>Financing!AC26</f>
        <v>0</v>
      </c>
      <c r="AD79" s="144">
        <f>Financing!AD26</f>
        <v>0</v>
      </c>
      <c r="AE79" s="144">
        <f>Financing!AE26</f>
        <v>0</v>
      </c>
      <c r="AF79" s="144">
        <f>Financing!AF26</f>
        <v>0</v>
      </c>
      <c r="AG79" s="144">
        <f>Financing!AG26</f>
        <v>0</v>
      </c>
    </row>
    <row r="80" spans="1:33" ht="17.25" customHeight="1" outlineLevel="1">
      <c r="A80" s="894"/>
      <c r="B80" s="241"/>
      <c r="C80" s="831" t="s">
        <v>939</v>
      </c>
      <c r="D80" s="126"/>
      <c r="E80" s="346"/>
      <c r="F80" s="126"/>
      <c r="G80" s="126"/>
      <c r="H80" s="126"/>
      <c r="I80" s="141">
        <f t="shared" si="20"/>
        <v>-2500</v>
      </c>
      <c r="J80" s="144">
        <f>Financing!J27</f>
        <v>0</v>
      </c>
      <c r="K80" s="144">
        <f>Financing!K27</f>
        <v>0</v>
      </c>
      <c r="L80" s="144">
        <f>Financing!L27</f>
        <v>0</v>
      </c>
      <c r="M80" s="144">
        <f>Financing!M27</f>
        <v>-2500</v>
      </c>
      <c r="N80" s="144">
        <f>Financing!N27</f>
        <v>0</v>
      </c>
      <c r="O80" s="144">
        <f>Financing!O27</f>
        <v>0</v>
      </c>
      <c r="P80" s="144">
        <f>Financing!P27</f>
        <v>0</v>
      </c>
      <c r="Q80" s="144">
        <f>Financing!Q27</f>
        <v>0</v>
      </c>
      <c r="R80" s="144">
        <f>Financing!R27</f>
        <v>0</v>
      </c>
      <c r="S80" s="144">
        <f>Financing!S27</f>
        <v>0</v>
      </c>
      <c r="T80" s="144">
        <f>Financing!T27</f>
        <v>0</v>
      </c>
      <c r="U80" s="144">
        <f>Financing!U27</f>
        <v>0</v>
      </c>
      <c r="V80" s="144">
        <f>Financing!V27</f>
        <v>0</v>
      </c>
      <c r="W80" s="144">
        <f>Financing!W27</f>
        <v>0</v>
      </c>
      <c r="X80" s="144">
        <f>Financing!X27</f>
        <v>0</v>
      </c>
      <c r="Y80" s="144">
        <f>Financing!Y27</f>
        <v>0</v>
      </c>
      <c r="Z80" s="144">
        <f>Financing!Z27</f>
        <v>0</v>
      </c>
      <c r="AA80" s="144">
        <f>Financing!AA27</f>
        <v>0</v>
      </c>
      <c r="AB80" s="144">
        <f>Financing!AB27</f>
        <v>0</v>
      </c>
      <c r="AC80" s="144">
        <f>Financing!AC27</f>
        <v>0</v>
      </c>
      <c r="AD80" s="144">
        <f>Financing!AD27</f>
        <v>0</v>
      </c>
      <c r="AE80" s="144">
        <f>Financing!AE27</f>
        <v>0</v>
      </c>
      <c r="AF80" s="144">
        <f>Financing!AF27</f>
        <v>0</v>
      </c>
      <c r="AG80" s="144">
        <f>Financing!AG27</f>
        <v>0</v>
      </c>
    </row>
    <row r="81" spans="1:33" s="203" customFormat="1" ht="17.25" customHeight="1" outlineLevel="1">
      <c r="A81" s="894"/>
      <c r="B81" s="241"/>
      <c r="C81" s="346" t="s">
        <v>691</v>
      </c>
      <c r="D81" s="126"/>
      <c r="E81" s="346"/>
      <c r="F81" s="126"/>
      <c r="G81" s="126"/>
      <c r="H81" s="126"/>
      <c r="I81" s="141">
        <f t="shared" ca="1" si="20"/>
        <v>-9084.254884486123</v>
      </c>
      <c r="J81" s="144">
        <f>Financing!J28*J6</f>
        <v>-35</v>
      </c>
      <c r="K81" s="144">
        <f ca="1">Financing!K28*K6</f>
        <v>-35</v>
      </c>
      <c r="L81" s="144">
        <f ca="1">Financing!L28*L6</f>
        <v>-641.71494972083315</v>
      </c>
      <c r="M81" s="144">
        <f ca="1">Financing!M28*M6</f>
        <v>-443.37326809862481</v>
      </c>
      <c r="N81" s="144">
        <f ca="1">Financing!N28*N6</f>
        <v>-372.91666666666669</v>
      </c>
      <c r="O81" s="144">
        <f ca="1">Financing!O28*O6</f>
        <v>-372.91666666666669</v>
      </c>
      <c r="P81" s="144">
        <f ca="1">Financing!P28*P6</f>
        <v>-372.91666666666669</v>
      </c>
      <c r="Q81" s="144">
        <f ca="1">Financing!Q28*Q6</f>
        <v>-372.91666666666669</v>
      </c>
      <c r="R81" s="144">
        <f ca="1">Financing!R28*R6</f>
        <v>-372.91666666666669</v>
      </c>
      <c r="S81" s="144">
        <f ca="1">Financing!S28*S6</f>
        <v>-372.91666666666669</v>
      </c>
      <c r="T81" s="144">
        <f ca="1">Financing!T28*T6</f>
        <v>-372.91666666666669</v>
      </c>
      <c r="U81" s="144">
        <f ca="1">Financing!U28*U6</f>
        <v>-343.75</v>
      </c>
      <c r="V81" s="144">
        <f ca="1">Financing!V28*V6</f>
        <v>-343.75</v>
      </c>
      <c r="W81" s="144">
        <f ca="1">Financing!W28*W6</f>
        <v>-343.75</v>
      </c>
      <c r="X81" s="144">
        <f ca="1">Financing!X28*X6</f>
        <v>-1093.75</v>
      </c>
      <c r="Y81" s="144">
        <f ca="1">Financing!Y28*Y6</f>
        <v>-302.08333333333337</v>
      </c>
      <c r="Z81" s="144">
        <f ca="1">Financing!Z28*Z6</f>
        <v>-295.83333333333337</v>
      </c>
      <c r="AA81" s="144">
        <f ca="1">Financing!AA28*AA6</f>
        <v>-1045.8333333333333</v>
      </c>
      <c r="AB81" s="144">
        <f ca="1">Financing!AB28*AB6</f>
        <v>-266.66666666666669</v>
      </c>
      <c r="AC81" s="144">
        <f ca="1">Financing!AC28*AC6</f>
        <v>-266.66666666666669</v>
      </c>
      <c r="AD81" s="144">
        <f ca="1">Financing!AD28*AD6</f>
        <v>-1016.6666666666667</v>
      </c>
      <c r="AE81" s="144">
        <f ca="1">Financing!AE28*AE6</f>
        <v>0</v>
      </c>
      <c r="AF81" s="144">
        <f ca="1">Financing!AF28*AF6</f>
        <v>0</v>
      </c>
      <c r="AG81" s="144">
        <f ca="1">Financing!AG28*AG6</f>
        <v>0</v>
      </c>
    </row>
    <row r="82" spans="1:33" ht="17.25" customHeight="1" outlineLevel="1">
      <c r="A82" s="894"/>
      <c r="B82" s="241"/>
      <c r="C82" s="649" t="s">
        <v>384</v>
      </c>
      <c r="D82" s="126"/>
      <c r="E82" s="346"/>
      <c r="F82" s="126"/>
      <c r="G82" s="126"/>
      <c r="H82" s="126"/>
      <c r="I82" s="141">
        <f t="shared" ca="1" si="20"/>
        <v>-3915.342099583333</v>
      </c>
      <c r="J82" s="144">
        <f>Financing!J29</f>
        <v>-1333.3333333333333</v>
      </c>
      <c r="K82" s="144">
        <f ca="1">Financing!K29</f>
        <v>-2582.00876625</v>
      </c>
      <c r="L82" s="144">
        <f ca="1">Financing!L29</f>
        <v>0</v>
      </c>
      <c r="M82" s="144">
        <f ca="1">Financing!M29</f>
        <v>0</v>
      </c>
      <c r="N82" s="144">
        <f ca="1">Financing!N29</f>
        <v>0</v>
      </c>
      <c r="O82" s="144">
        <f ca="1">Financing!O29</f>
        <v>0</v>
      </c>
      <c r="P82" s="144">
        <f ca="1">Financing!P29</f>
        <v>0</v>
      </c>
      <c r="Q82" s="144">
        <f ca="1">Financing!Q29</f>
        <v>0</v>
      </c>
      <c r="R82" s="144">
        <f ca="1">Financing!R29</f>
        <v>0</v>
      </c>
      <c r="S82" s="144">
        <f ca="1">Financing!S29</f>
        <v>0</v>
      </c>
      <c r="T82" s="144">
        <f ca="1">Financing!T29</f>
        <v>0</v>
      </c>
      <c r="U82" s="144">
        <f ca="1">Financing!U29</f>
        <v>0</v>
      </c>
      <c r="V82" s="144">
        <f ca="1">Financing!V29</f>
        <v>0</v>
      </c>
      <c r="W82" s="144">
        <f ca="1">Financing!W29</f>
        <v>0</v>
      </c>
      <c r="X82" s="144">
        <f ca="1">Financing!X29</f>
        <v>0</v>
      </c>
      <c r="Y82" s="144">
        <f ca="1">Financing!Y29</f>
        <v>0</v>
      </c>
      <c r="Z82" s="144">
        <f ca="1">Financing!Z29</f>
        <v>0</v>
      </c>
      <c r="AA82" s="144">
        <f ca="1">Financing!AA29</f>
        <v>0</v>
      </c>
      <c r="AB82" s="144">
        <f ca="1">Financing!AB29</f>
        <v>0</v>
      </c>
      <c r="AC82" s="144">
        <f ca="1">Financing!AC29</f>
        <v>0</v>
      </c>
      <c r="AD82" s="144">
        <f ca="1">Financing!AD29</f>
        <v>0</v>
      </c>
      <c r="AE82" s="144">
        <f ca="1">Financing!AE29</f>
        <v>0</v>
      </c>
      <c r="AF82" s="144">
        <f ca="1">Financing!AF29</f>
        <v>0</v>
      </c>
      <c r="AG82" s="144">
        <f ca="1">Financing!AG29</f>
        <v>0</v>
      </c>
    </row>
    <row r="83" spans="1:33" s="203" customFormat="1" ht="17.25" customHeight="1" outlineLevel="1">
      <c r="A83" s="894"/>
      <c r="B83" s="241"/>
      <c r="C83" s="346" t="s">
        <v>387</v>
      </c>
      <c r="D83" s="126"/>
      <c r="E83" s="346"/>
      <c r="F83" s="126"/>
      <c r="G83" s="126"/>
      <c r="H83" s="126"/>
      <c r="I83" s="141">
        <f t="shared" si="20"/>
        <v>-16301.25</v>
      </c>
      <c r="J83" s="144">
        <f>Financing!J31</f>
        <v>-832.5</v>
      </c>
      <c r="K83" s="144">
        <f>Financing!K31</f>
        <v>-832.5</v>
      </c>
      <c r="L83" s="144">
        <f>Financing!L31</f>
        <v>-832.5</v>
      </c>
      <c r="M83" s="144">
        <f>Financing!M31</f>
        <v>-813.75</v>
      </c>
      <c r="N83" s="144">
        <f>Financing!N31</f>
        <v>-813.75</v>
      </c>
      <c r="O83" s="144">
        <f>Financing!O31</f>
        <v>-813.75</v>
      </c>
      <c r="P83" s="144">
        <f>Financing!P31</f>
        <v>-795</v>
      </c>
      <c r="Q83" s="144">
        <f>Financing!Q31</f>
        <v>-795</v>
      </c>
      <c r="R83" s="144">
        <f>Financing!R31</f>
        <v>-795</v>
      </c>
      <c r="S83" s="144">
        <f>Financing!S31</f>
        <v>-776.25</v>
      </c>
      <c r="T83" s="144">
        <f>Financing!T31</f>
        <v>-776.25</v>
      </c>
      <c r="U83" s="144">
        <f>Financing!U31</f>
        <v>-776.25</v>
      </c>
      <c r="V83" s="144">
        <f>Financing!V31</f>
        <v>-757.5</v>
      </c>
      <c r="W83" s="144">
        <f>Financing!W31</f>
        <v>-757.5</v>
      </c>
      <c r="X83" s="144">
        <f>Financing!X31</f>
        <v>-757.5</v>
      </c>
      <c r="Y83" s="144">
        <f>Financing!Y31</f>
        <v>-738.75</v>
      </c>
      <c r="Z83" s="144">
        <f>Financing!Z31</f>
        <v>-738.75</v>
      </c>
      <c r="AA83" s="144">
        <f>Financing!AA31</f>
        <v>-738.75</v>
      </c>
      <c r="AB83" s="144">
        <f>Financing!AB31</f>
        <v>-720</v>
      </c>
      <c r="AC83" s="144">
        <f>Financing!AC31</f>
        <v>-720</v>
      </c>
      <c r="AD83" s="144">
        <f>Financing!AD31</f>
        <v>-720</v>
      </c>
      <c r="AE83" s="144">
        <f>Financing!AE31</f>
        <v>0</v>
      </c>
      <c r="AF83" s="144">
        <f>Financing!AF31</f>
        <v>0</v>
      </c>
      <c r="AG83" s="144">
        <f>Financing!AG31</f>
        <v>0</v>
      </c>
    </row>
    <row r="84" spans="1:33" s="203" customFormat="1" ht="17.25" customHeight="1" outlineLevel="1">
      <c r="A84" s="894"/>
      <c r="B84" s="241"/>
      <c r="C84" s="24" t="str">
        <f>Name_VAT &amp;" paid/recovered to/from tax authority"</f>
        <v>VAT paid/recovered to/from tax authority</v>
      </c>
      <c r="D84" s="126"/>
      <c r="E84" s="346"/>
      <c r="F84" s="126"/>
      <c r="G84" s="126"/>
      <c r="H84" s="126"/>
      <c r="I84" s="141">
        <f t="shared" ca="1" si="20"/>
        <v>-148202.62685655121</v>
      </c>
      <c r="J84" s="144">
        <f ca="1">Financing!J33</f>
        <v>0</v>
      </c>
      <c r="K84" s="144">
        <f ca="1">Financing!K33</f>
        <v>0</v>
      </c>
      <c r="L84" s="144">
        <f ca="1">Financing!L33</f>
        <v>0</v>
      </c>
      <c r="M84" s="144">
        <f ca="1">Financing!M33</f>
        <v>9226.9093736000068</v>
      </c>
      <c r="N84" s="144">
        <f ca="1">Financing!N33</f>
        <v>0</v>
      </c>
      <c r="O84" s="144">
        <f ca="1">Financing!O33</f>
        <v>0</v>
      </c>
      <c r="P84" s="144">
        <f ca="1">Financing!P33</f>
        <v>-29956.628098093737</v>
      </c>
      <c r="Q84" s="144">
        <f ca="1">Financing!Q33</f>
        <v>0</v>
      </c>
      <c r="R84" s="144">
        <f ca="1">Financing!R33</f>
        <v>0</v>
      </c>
      <c r="S84" s="144">
        <f ca="1">Financing!S33</f>
        <v>-35311.296441925857</v>
      </c>
      <c r="T84" s="144">
        <f ca="1">Financing!T33</f>
        <v>0</v>
      </c>
      <c r="U84" s="144">
        <f ca="1">Financing!U33</f>
        <v>0</v>
      </c>
      <c r="V84" s="144">
        <f ca="1">Financing!V33</f>
        <v>-30034.465842767782</v>
      </c>
      <c r="W84" s="144">
        <f ca="1">Financing!W33</f>
        <v>0</v>
      </c>
      <c r="X84" s="144">
        <f ca="1">Financing!X33</f>
        <v>0</v>
      </c>
      <c r="Y84" s="144">
        <f ca="1">Financing!Y33</f>
        <v>-26406.364184473347</v>
      </c>
      <c r="Z84" s="144">
        <f ca="1">Financing!Z33</f>
        <v>0</v>
      </c>
      <c r="AA84" s="144">
        <f ca="1">Financing!AA33</f>
        <v>0</v>
      </c>
      <c r="AB84" s="144">
        <f ca="1">Financing!AB33</f>
        <v>-35720.781662890484</v>
      </c>
      <c r="AC84" s="144">
        <f ca="1">Financing!AC33</f>
        <v>0</v>
      </c>
      <c r="AD84" s="144">
        <f ca="1">Financing!AD33</f>
        <v>0</v>
      </c>
      <c r="AE84" s="144">
        <f ca="1">Financing!AE33</f>
        <v>0</v>
      </c>
      <c r="AF84" s="144">
        <f ca="1">Financing!AF33</f>
        <v>0</v>
      </c>
      <c r="AG84" s="144">
        <f ca="1">Financing!AG33</f>
        <v>0</v>
      </c>
    </row>
    <row r="85" spans="1:33" ht="17.25" customHeight="1" outlineLevel="1">
      <c r="A85" s="894"/>
      <c r="B85" s="241"/>
      <c r="C85" s="649" t="str">
        <f>CHOOSE(language,"Taxes on profit paid","Taxes on income paid")</f>
        <v>Taxes on income paid</v>
      </c>
      <c r="D85" s="126"/>
      <c r="E85" s="649"/>
      <c r="F85" s="126"/>
      <c r="G85" s="126"/>
      <c r="H85" s="126"/>
      <c r="I85" s="141">
        <f t="shared" ca="1" si="20"/>
        <v>-188863.80181819468</v>
      </c>
      <c r="J85" s="144">
        <f>Financing!J34</f>
        <v>0</v>
      </c>
      <c r="K85" s="144">
        <f>Financing!K34</f>
        <v>0</v>
      </c>
      <c r="L85" s="144">
        <f>Financing!L34</f>
        <v>-26666.666666666668</v>
      </c>
      <c r="M85" s="144">
        <f>Financing!M34</f>
        <v>0</v>
      </c>
      <c r="N85" s="144">
        <f>Financing!N34</f>
        <v>0</v>
      </c>
      <c r="O85" s="144">
        <f>Financing!O34</f>
        <v>-26666.666666666668</v>
      </c>
      <c r="P85" s="144">
        <f>Financing!P34</f>
        <v>0</v>
      </c>
      <c r="Q85" s="144">
        <f>Financing!Q34</f>
        <v>0</v>
      </c>
      <c r="R85" s="144">
        <f>Financing!R34</f>
        <v>-26666.666666666668</v>
      </c>
      <c r="S85" s="144">
        <f ca="1">Financing!S34</f>
        <v>0</v>
      </c>
      <c r="T85" s="144">
        <f ca="1">Financing!T34</f>
        <v>0</v>
      </c>
      <c r="U85" s="144">
        <f ca="1">Financing!U34</f>
        <v>-25000</v>
      </c>
      <c r="V85" s="144">
        <f ca="1">Financing!V34</f>
        <v>-8863.8018181946973</v>
      </c>
      <c r="W85" s="144">
        <f ca="1">Financing!W34</f>
        <v>0</v>
      </c>
      <c r="X85" s="144">
        <f ca="1">Financing!X34</f>
        <v>-25000</v>
      </c>
      <c r="Y85" s="144">
        <f ca="1">Financing!Y34</f>
        <v>0</v>
      </c>
      <c r="Z85" s="144">
        <f ca="1">Financing!Z34</f>
        <v>0</v>
      </c>
      <c r="AA85" s="144">
        <f ca="1">Financing!AA34</f>
        <v>-25000</v>
      </c>
      <c r="AB85" s="144">
        <f ca="1">Financing!AB34</f>
        <v>0</v>
      </c>
      <c r="AC85" s="144">
        <f ca="1">Financing!AC34</f>
        <v>0</v>
      </c>
      <c r="AD85" s="144">
        <f ca="1">Financing!AD34</f>
        <v>-25000</v>
      </c>
      <c r="AE85" s="144">
        <f ca="1">Financing!AE34</f>
        <v>0</v>
      </c>
      <c r="AF85" s="144">
        <f ca="1">Financing!AF34</f>
        <v>0</v>
      </c>
      <c r="AG85" s="144">
        <f ca="1">Financing!AG34</f>
        <v>0</v>
      </c>
    </row>
    <row r="86" spans="1:33" ht="17.25" customHeight="1" outlineLevel="1">
      <c r="A86" s="894"/>
      <c r="B86" s="241"/>
      <c r="C86" s="135" t="s">
        <v>652</v>
      </c>
      <c r="D86" s="134"/>
      <c r="E86" s="134"/>
      <c r="F86" s="134"/>
      <c r="G86" s="134"/>
      <c r="H86" s="134"/>
      <c r="I86" s="141">
        <f t="shared" ca="1" si="20"/>
        <v>-3984074.1389046335</v>
      </c>
      <c r="J86" s="151">
        <f t="shared" ref="J86:AG86" ca="1" si="21">SUM(J69:J85)</f>
        <v>-216022.76425000004</v>
      </c>
      <c r="K86" s="151">
        <f t="shared" ca="1" si="21"/>
        <v>-383955.90015541663</v>
      </c>
      <c r="L86" s="151">
        <f t="shared" ca="1" si="21"/>
        <v>-153131.87251877916</v>
      </c>
      <c r="M86" s="151">
        <f t="shared" ca="1" si="21"/>
        <v>-123625.30040524754</v>
      </c>
      <c r="N86" s="151">
        <f t="shared" ca="1" si="21"/>
        <v>-178914.72704185641</v>
      </c>
      <c r="O86" s="151">
        <f t="shared" ca="1" si="21"/>
        <v>-163635.77216327499</v>
      </c>
      <c r="P86" s="151">
        <f t="shared" ca="1" si="21"/>
        <v>-171264.10485491814</v>
      </c>
      <c r="Q86" s="151">
        <f t="shared" ca="1" si="21"/>
        <v>-144156.79264493842</v>
      </c>
      <c r="R86" s="151">
        <f t="shared" ca="1" si="21"/>
        <v>-181039.99033666094</v>
      </c>
      <c r="S86" s="151">
        <f t="shared" ca="1" si="21"/>
        <v>-186473.73990285688</v>
      </c>
      <c r="T86" s="151">
        <f t="shared" ca="1" si="21"/>
        <v>-159366.55842152229</v>
      </c>
      <c r="U86" s="151">
        <f t="shared" ca="1" si="21"/>
        <v>-228240.66270805191</v>
      </c>
      <c r="V86" s="151">
        <f t="shared" ca="1" si="21"/>
        <v>-196276.06232882501</v>
      </c>
      <c r="W86" s="151">
        <f t="shared" ca="1" si="21"/>
        <v>-214047.61294634111</v>
      </c>
      <c r="X86" s="151">
        <f t="shared" ca="1" si="21"/>
        <v>-185955.71264002778</v>
      </c>
      <c r="Y86" s="151">
        <f t="shared" ca="1" si="21"/>
        <v>-189643.14379516916</v>
      </c>
      <c r="Z86" s="151">
        <f t="shared" ca="1" si="21"/>
        <v>-160192.11922845061</v>
      </c>
      <c r="AA86" s="151">
        <f t="shared" ca="1" si="21"/>
        <v>-187906.12767863201</v>
      </c>
      <c r="AB86" s="151">
        <f t="shared" ca="1" si="21"/>
        <v>-204462.74579693386</v>
      </c>
      <c r="AC86" s="151">
        <f t="shared" ca="1" si="21"/>
        <v>-163745.15596077344</v>
      </c>
      <c r="AD86" s="151">
        <f t="shared" ca="1" si="21"/>
        <v>-192017.27312595697</v>
      </c>
      <c r="AE86" s="151">
        <f t="shared" ca="1" si="21"/>
        <v>0</v>
      </c>
      <c r="AF86" s="151">
        <f t="shared" ca="1" si="21"/>
        <v>0</v>
      </c>
      <c r="AG86" s="151">
        <f t="shared" ca="1" si="21"/>
        <v>0</v>
      </c>
    </row>
    <row r="87" spans="1:33" ht="17.25" customHeight="1" outlineLevel="1">
      <c r="A87" s="894"/>
      <c r="B87" s="241"/>
      <c r="C87" s="241"/>
      <c r="D87" s="241"/>
      <c r="E87" s="241"/>
      <c r="F87" s="241"/>
      <c r="G87" s="241"/>
      <c r="H87" s="241"/>
      <c r="I87" s="329"/>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row>
    <row r="88" spans="1:33" ht="21.75" customHeight="1" outlineLevel="1">
      <c r="A88" s="894"/>
      <c r="B88" s="241"/>
      <c r="C88" s="279" t="s">
        <v>373</v>
      </c>
      <c r="D88" s="241"/>
      <c r="E88" s="241"/>
      <c r="F88" s="241"/>
      <c r="G88" s="241"/>
      <c r="H88" s="241"/>
      <c r="I88" s="329"/>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row>
    <row r="89" spans="1:33" ht="17.25" customHeight="1" outlineLevel="1">
      <c r="A89" s="894"/>
      <c r="B89" s="241"/>
      <c r="C89" s="66" t="s">
        <v>396</v>
      </c>
      <c r="D89" s="126"/>
      <c r="E89" s="126"/>
      <c r="F89" s="126"/>
      <c r="G89" s="126"/>
      <c r="H89" s="12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row>
    <row r="90" spans="1:33" ht="17.25" customHeight="1" outlineLevel="1">
      <c r="A90" s="894"/>
      <c r="B90" s="241"/>
      <c r="C90" s="40" t="s">
        <v>683</v>
      </c>
      <c r="D90" s="126"/>
      <c r="E90" s="36"/>
      <c r="F90" s="126"/>
      <c r="G90" s="126"/>
      <c r="H90" s="126"/>
      <c r="I90" s="141">
        <f ca="1">SUM(J90:AG90)</f>
        <v>75000</v>
      </c>
      <c r="J90" s="142">
        <f ca="1">Financing!J42</f>
        <v>75000</v>
      </c>
      <c r="K90" s="142">
        <f ca="1">Financing!K42</f>
        <v>0</v>
      </c>
      <c r="L90" s="142">
        <f ca="1">Financing!L42</f>
        <v>0</v>
      </c>
      <c r="M90" s="142">
        <f ca="1">Financing!M42</f>
        <v>0</v>
      </c>
      <c r="N90" s="142">
        <f ca="1">Financing!N42</f>
        <v>0</v>
      </c>
      <c r="O90" s="142">
        <f ca="1">Financing!O42</f>
        <v>0</v>
      </c>
      <c r="P90" s="142">
        <f ca="1">Financing!P42</f>
        <v>0</v>
      </c>
      <c r="Q90" s="142">
        <f ca="1">Financing!Q42</f>
        <v>0</v>
      </c>
      <c r="R90" s="142">
        <f ca="1">Financing!R42</f>
        <v>0</v>
      </c>
      <c r="S90" s="142">
        <f ca="1">Financing!S42</f>
        <v>0</v>
      </c>
      <c r="T90" s="142">
        <f ca="1">Financing!T42</f>
        <v>0</v>
      </c>
      <c r="U90" s="142">
        <f ca="1">Financing!U42</f>
        <v>0</v>
      </c>
      <c r="V90" s="142">
        <f ca="1">Financing!V42</f>
        <v>0</v>
      </c>
      <c r="W90" s="142">
        <f ca="1">Financing!W42</f>
        <v>0</v>
      </c>
      <c r="X90" s="142">
        <f ca="1">Financing!X42</f>
        <v>0</v>
      </c>
      <c r="Y90" s="142">
        <f ca="1">Financing!Y42</f>
        <v>0</v>
      </c>
      <c r="Z90" s="142">
        <f ca="1">Financing!Z42</f>
        <v>0</v>
      </c>
      <c r="AA90" s="142">
        <f ca="1">Financing!AA42</f>
        <v>0</v>
      </c>
      <c r="AB90" s="142">
        <f ca="1">Financing!AB42</f>
        <v>0</v>
      </c>
      <c r="AC90" s="142">
        <f ca="1">Financing!AC42</f>
        <v>0</v>
      </c>
      <c r="AD90" s="142">
        <f ca="1">Financing!AD42</f>
        <v>0</v>
      </c>
      <c r="AE90" s="142">
        <f ca="1">Financing!AE42</f>
        <v>0</v>
      </c>
      <c r="AF90" s="142">
        <f ca="1">Financing!AF42</f>
        <v>0</v>
      </c>
      <c r="AG90" s="142">
        <f ca="1">Financing!AG42</f>
        <v>0</v>
      </c>
    </row>
    <row r="91" spans="1:33" ht="17.25" customHeight="1" outlineLevel="1">
      <c r="A91" s="894"/>
      <c r="B91" s="241"/>
      <c r="C91" s="66" t="s">
        <v>395</v>
      </c>
      <c r="D91" s="412" t="s">
        <v>397</v>
      </c>
      <c r="E91" s="36"/>
      <c r="F91" s="126"/>
      <c r="G91" s="126"/>
      <c r="H91" s="12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row>
    <row r="92" spans="1:33" s="203" customFormat="1" ht="17.25" customHeight="1" outlineLevel="1">
      <c r="A92" s="894"/>
      <c r="B92" s="241"/>
      <c r="C92" s="40" t="s">
        <v>394</v>
      </c>
      <c r="D92" s="126"/>
      <c r="E92" s="36"/>
      <c r="F92" s="126"/>
      <c r="G92" s="126"/>
      <c r="H92" s="126"/>
      <c r="I92" s="141">
        <f t="shared" ref="I92:I98" si="22">SUM(J92:AG92)</f>
        <v>-35000</v>
      </c>
      <c r="J92" s="142">
        <f>Financing!J32</f>
        <v>0</v>
      </c>
      <c r="K92" s="142">
        <f>Financing!K32</f>
        <v>0</v>
      </c>
      <c r="L92" s="142">
        <f>Financing!L32</f>
        <v>-5000</v>
      </c>
      <c r="M92" s="142">
        <f>Financing!M32</f>
        <v>0</v>
      </c>
      <c r="N92" s="142">
        <f>Financing!N32</f>
        <v>0</v>
      </c>
      <c r="O92" s="142">
        <f>Financing!O32</f>
        <v>-5000</v>
      </c>
      <c r="P92" s="142">
        <f>Financing!P32</f>
        <v>0</v>
      </c>
      <c r="Q92" s="142">
        <f>Financing!Q32</f>
        <v>0</v>
      </c>
      <c r="R92" s="142">
        <f>Financing!R32</f>
        <v>-5000</v>
      </c>
      <c r="S92" s="142">
        <f>Financing!S32</f>
        <v>0</v>
      </c>
      <c r="T92" s="142">
        <f>Financing!T32</f>
        <v>0</v>
      </c>
      <c r="U92" s="142">
        <f>Financing!U32</f>
        <v>-5000</v>
      </c>
      <c r="V92" s="142">
        <f>Financing!V32</f>
        <v>0</v>
      </c>
      <c r="W92" s="142">
        <f>Financing!W32</f>
        <v>0</v>
      </c>
      <c r="X92" s="142">
        <f>Financing!X32</f>
        <v>-5000</v>
      </c>
      <c r="Y92" s="142">
        <f>Financing!Y32</f>
        <v>0</v>
      </c>
      <c r="Z92" s="142">
        <f>Financing!Z32</f>
        <v>0</v>
      </c>
      <c r="AA92" s="142">
        <f>Financing!AA32</f>
        <v>-5000</v>
      </c>
      <c r="AB92" s="142">
        <f>Financing!AB32</f>
        <v>0</v>
      </c>
      <c r="AC92" s="142">
        <f>Financing!AC32</f>
        <v>0</v>
      </c>
      <c r="AD92" s="142">
        <f>Financing!AD32</f>
        <v>-5000</v>
      </c>
      <c r="AE92" s="142">
        <f>Financing!AE32</f>
        <v>0</v>
      </c>
      <c r="AF92" s="142">
        <f>Financing!AF32</f>
        <v>0</v>
      </c>
      <c r="AG92" s="142">
        <f>Financing!AG32</f>
        <v>0</v>
      </c>
    </row>
    <row r="93" spans="1:33" ht="17.25" customHeight="1" outlineLevel="1">
      <c r="A93" s="894"/>
      <c r="B93" s="241"/>
      <c r="C93" s="24" t="str">
        <f>"Debt 1: "&amp;Inputs!$F$99</f>
        <v>Debt 1: UL Bank</v>
      </c>
      <c r="D93" s="126"/>
      <c r="E93" s="126"/>
      <c r="F93" s="126"/>
      <c r="G93" s="126"/>
      <c r="H93" s="126"/>
      <c r="I93" s="141">
        <f t="shared" ca="1" si="22"/>
        <v>78237.76816925389</v>
      </c>
      <c r="J93" s="144">
        <f ca="1">(Financing!J45+Financing!J99)*J$6</f>
        <v>794.74024999998801</v>
      </c>
      <c r="K93" s="144">
        <f ca="1">(Financing!K45+Financing!K99)*K$6</f>
        <v>79205.259750000012</v>
      </c>
      <c r="L93" s="144">
        <f ca="1">(Financing!L45+Financing!L99)*L$6</f>
        <v>0</v>
      </c>
      <c r="M93" s="144">
        <f ca="1">(Financing!M45+Financing!M99)*M$6</f>
        <v>0</v>
      </c>
      <c r="N93" s="144">
        <f ca="1">(Financing!N45+Financing!N99)*N$6</f>
        <v>0</v>
      </c>
      <c r="O93" s="144">
        <f ca="1">(Financing!O45+Financing!O99)*O$6</f>
        <v>0</v>
      </c>
      <c r="P93" s="144">
        <f ca="1">(Financing!P45+Financing!P99)*P$6</f>
        <v>0</v>
      </c>
      <c r="Q93" s="144">
        <f ca="1">(Financing!Q45+Financing!Q99)*Q$6</f>
        <v>0</v>
      </c>
      <c r="R93" s="144">
        <f ca="1">(Financing!R45+Financing!R99)*R$6</f>
        <v>0</v>
      </c>
      <c r="S93" s="144">
        <f ca="1">(Financing!S45+Financing!S99)*S$6</f>
        <v>0</v>
      </c>
      <c r="T93" s="144">
        <f ca="1">(Financing!T45+Financing!T99)*T$6</f>
        <v>0</v>
      </c>
      <c r="U93" s="144">
        <f ca="1">(Financing!U45+Financing!U99)*U$6</f>
        <v>0</v>
      </c>
      <c r="V93" s="144">
        <f ca="1">(Financing!V45+Financing!V99)*V$6</f>
        <v>0</v>
      </c>
      <c r="W93" s="144">
        <f ca="1">(Financing!W45+Financing!W99)*W$6</f>
        <v>0</v>
      </c>
      <c r="X93" s="144">
        <f ca="1">(Financing!X45+Financing!X99)*X$6</f>
        <v>0</v>
      </c>
      <c r="Y93" s="144">
        <f ca="1">(Financing!Y45+Financing!Y99)*Y$6</f>
        <v>0</v>
      </c>
      <c r="Z93" s="144">
        <f ca="1">(Financing!Z45+Financing!Z99)*Z$6</f>
        <v>0</v>
      </c>
      <c r="AA93" s="144">
        <f ca="1">(Financing!AA45+Financing!AA99)*AA$6</f>
        <v>0</v>
      </c>
      <c r="AB93" s="144">
        <f ca="1">(Financing!AB45+Financing!AB99)*AB$6</f>
        <v>0</v>
      </c>
      <c r="AC93" s="144">
        <f ca="1">(Financing!AC45+Financing!AC99)*AC$6</f>
        <v>0</v>
      </c>
      <c r="AD93" s="144">
        <f ca="1">(Financing!AD45+Financing!AD99)*AD$6</f>
        <v>-1762.2318307461082</v>
      </c>
      <c r="AE93" s="144">
        <f ca="1">(Financing!AE45+Financing!AE99)*AE$6</f>
        <v>0</v>
      </c>
      <c r="AF93" s="144">
        <f ca="1">(Financing!AF45+Financing!AF99)*AF$6</f>
        <v>0</v>
      </c>
      <c r="AG93" s="144">
        <f ca="1">(Financing!AG45+Financing!AG99)*AG$6</f>
        <v>0</v>
      </c>
    </row>
    <row r="94" spans="1:33" ht="17.25" customHeight="1" outlineLevel="1">
      <c r="A94" s="894"/>
      <c r="B94" s="241"/>
      <c r="C94" s="24" t="str">
        <f>"Debt 2: "&amp;Inputs!$F$118</f>
        <v>Debt 2: HSBC Bank</v>
      </c>
      <c r="D94" s="126"/>
      <c r="E94" s="126"/>
      <c r="F94" s="126"/>
      <c r="G94" s="126"/>
      <c r="H94" s="126"/>
      <c r="I94" s="141">
        <f t="shared" si="22"/>
        <v>20000</v>
      </c>
      <c r="J94" s="144">
        <f>(Financing!J49+Financing!J50)*J$6</f>
        <v>0</v>
      </c>
      <c r="K94" s="144">
        <f>(Financing!K49+Financing!K50)*K$6</f>
        <v>40000</v>
      </c>
      <c r="L94" s="144">
        <f>(Financing!L49+Financing!L50)*L$6</f>
        <v>0</v>
      </c>
      <c r="M94" s="144">
        <f>(Financing!M49+Financing!M50)*M$6</f>
        <v>0</v>
      </c>
      <c r="N94" s="144">
        <f>(Financing!N49+Financing!N50)*N$6</f>
        <v>0</v>
      </c>
      <c r="O94" s="144">
        <f>(Financing!O49+Financing!O50)*O$6</f>
        <v>0</v>
      </c>
      <c r="P94" s="144">
        <f>(Financing!P49+Financing!P50)*P$6</f>
        <v>0</v>
      </c>
      <c r="Q94" s="144">
        <f>(Financing!Q49+Financing!Q50)*Q$6</f>
        <v>0</v>
      </c>
      <c r="R94" s="144">
        <f>(Financing!R49+Financing!R50)*R$6</f>
        <v>0</v>
      </c>
      <c r="S94" s="144">
        <f>(Financing!S49+Financing!S50)*S$6</f>
        <v>0</v>
      </c>
      <c r="T94" s="144">
        <f>(Financing!T49+Financing!T50)*T$6</f>
        <v>-10000</v>
      </c>
      <c r="U94" s="144">
        <f>(Financing!U49+Financing!U50)*U$6</f>
        <v>0</v>
      </c>
      <c r="V94" s="144">
        <f>(Financing!V49+Financing!V50)*V$6</f>
        <v>0</v>
      </c>
      <c r="W94" s="144">
        <f>(Financing!W49+Financing!W50)*W$6</f>
        <v>0</v>
      </c>
      <c r="X94" s="144">
        <f>(Financing!X49+Financing!X50)*X$6</f>
        <v>0</v>
      </c>
      <c r="Y94" s="144">
        <f>(Financing!Y49+Financing!Y50)*Y$6</f>
        <v>0</v>
      </c>
      <c r="Z94" s="144">
        <f>(Financing!Z49+Financing!Z50)*Z$6</f>
        <v>0</v>
      </c>
      <c r="AA94" s="144">
        <f>(Financing!AA49+Financing!AA50)*AA$6</f>
        <v>-10000</v>
      </c>
      <c r="AB94" s="144">
        <f>(Financing!AB49+Financing!AB50)*AB$6</f>
        <v>0</v>
      </c>
      <c r="AC94" s="144">
        <f>(Financing!AC49+Financing!AC50)*AC$6</f>
        <v>0</v>
      </c>
      <c r="AD94" s="144">
        <f>(Financing!AD49+Financing!AD50)*AD$6</f>
        <v>0</v>
      </c>
      <c r="AE94" s="144">
        <f>(Financing!AE49+Financing!AE50)*AE$6</f>
        <v>0</v>
      </c>
      <c r="AF94" s="144">
        <f>(Financing!AF49+Financing!AF50)*AF$6</f>
        <v>0</v>
      </c>
      <c r="AG94" s="144">
        <f>(Financing!AG49+Financing!AG50)*AG$6</f>
        <v>0</v>
      </c>
    </row>
    <row r="95" spans="1:33" ht="17.25" customHeight="1" outlineLevel="1">
      <c r="A95" s="894"/>
      <c r="B95" s="241"/>
      <c r="C95" s="24" t="str">
        <f>"Debt 3: "&amp;Inputs!$F$123</f>
        <v>Debt 3: UBS</v>
      </c>
      <c r="D95" s="126"/>
      <c r="E95" s="126"/>
      <c r="F95" s="126"/>
      <c r="G95" s="126"/>
      <c r="H95" s="126"/>
      <c r="I95" s="141">
        <f t="shared" si="22"/>
        <v>50000</v>
      </c>
      <c r="J95" s="144">
        <f>(Financing!J54+Financing!J55)*J$6</f>
        <v>0</v>
      </c>
      <c r="K95" s="144">
        <f>(Financing!K54+Financing!K55)*K$6</f>
        <v>60000</v>
      </c>
      <c r="L95" s="144">
        <f>(Financing!L54+Financing!L55)*L$6</f>
        <v>0</v>
      </c>
      <c r="M95" s="144">
        <f>(Financing!M54+Financing!M55)*M$6</f>
        <v>0</v>
      </c>
      <c r="N95" s="144">
        <f>(Financing!N54+Financing!N55)*N$6</f>
        <v>0</v>
      </c>
      <c r="O95" s="144">
        <f>(Financing!O54+Financing!O55)*O$6</f>
        <v>0</v>
      </c>
      <c r="P95" s="144">
        <f>(Financing!P54+Financing!P55)*P$6</f>
        <v>0</v>
      </c>
      <c r="Q95" s="144">
        <f>(Financing!Q54+Financing!Q55)*Q$6</f>
        <v>0</v>
      </c>
      <c r="R95" s="144">
        <f>(Financing!R54+Financing!R55)*R$6</f>
        <v>0</v>
      </c>
      <c r="S95" s="144">
        <f>(Financing!S54+Financing!S55)*S$6</f>
        <v>0</v>
      </c>
      <c r="T95" s="144">
        <f>(Financing!T54+Financing!T55)*T$6</f>
        <v>0</v>
      </c>
      <c r="U95" s="144">
        <f>(Financing!U54+Financing!U55)*U$6</f>
        <v>0</v>
      </c>
      <c r="V95" s="144">
        <f>(Financing!V54+Financing!V55)*V$6</f>
        <v>0</v>
      </c>
      <c r="W95" s="144">
        <f>(Financing!W54+Financing!W55)*W$6</f>
        <v>0</v>
      </c>
      <c r="X95" s="144">
        <f>(Financing!X54+Financing!X55)*X$6</f>
        <v>-10000</v>
      </c>
      <c r="Y95" s="144">
        <f>(Financing!Y54+Financing!Y55)*Y$6</f>
        <v>0</v>
      </c>
      <c r="Z95" s="144">
        <f>(Financing!Z54+Financing!Z55)*Z$6</f>
        <v>0</v>
      </c>
      <c r="AA95" s="144">
        <f>(Financing!AA54+Financing!AA55)*AA$6</f>
        <v>0</v>
      </c>
      <c r="AB95" s="144">
        <f>(Financing!AB54+Financing!AB55)*AB$6</f>
        <v>0</v>
      </c>
      <c r="AC95" s="144">
        <f>(Financing!AC54+Financing!AC55)*AC$6</f>
        <v>0</v>
      </c>
      <c r="AD95" s="144">
        <f>(Financing!AD54+Financing!AD55)*AD$6</f>
        <v>0</v>
      </c>
      <c r="AE95" s="144">
        <f>(Financing!AE54+Financing!AE55)*AE$6</f>
        <v>0</v>
      </c>
      <c r="AF95" s="144">
        <f>(Financing!AF54+Financing!AF55)*AF$6</f>
        <v>0</v>
      </c>
      <c r="AG95" s="144">
        <f>(Financing!AG54+Financing!AG55)*AG$6</f>
        <v>0</v>
      </c>
    </row>
    <row r="96" spans="1:33" ht="17.25" customHeight="1" outlineLevel="1">
      <c r="A96" s="894"/>
      <c r="B96" s="241"/>
      <c r="C96" s="24" t="str">
        <f>"Debt 4: "&amp;Inputs!$F$128</f>
        <v>Debt 4: Shareholder Loan</v>
      </c>
      <c r="D96" s="126"/>
      <c r="E96" s="126"/>
      <c r="F96" s="126"/>
      <c r="G96" s="126"/>
      <c r="H96" s="126"/>
      <c r="I96" s="141">
        <f t="shared" si="22"/>
        <v>0</v>
      </c>
      <c r="J96" s="144">
        <f>(Financing!J59+Financing!J60)*J$6</f>
        <v>0</v>
      </c>
      <c r="K96" s="144">
        <f>(Financing!K59+Financing!K60)*K$6</f>
        <v>7500</v>
      </c>
      <c r="L96" s="144">
        <f>(Financing!L59+Financing!L60)*L$6</f>
        <v>0</v>
      </c>
      <c r="M96" s="144">
        <f>(Financing!M59+Financing!M60)*M$6</f>
        <v>0</v>
      </c>
      <c r="N96" s="144">
        <f>(Financing!N59+Financing!N60)*N$6</f>
        <v>0</v>
      </c>
      <c r="O96" s="144">
        <f>(Financing!O59+Financing!O60)*O$6</f>
        <v>0</v>
      </c>
      <c r="P96" s="144">
        <f>(Financing!P59+Financing!P60)*P$6</f>
        <v>0</v>
      </c>
      <c r="Q96" s="144">
        <f>(Financing!Q59+Financing!Q60)*Q$6</f>
        <v>0</v>
      </c>
      <c r="R96" s="144">
        <f>(Financing!R59+Financing!R60)*R$6</f>
        <v>0</v>
      </c>
      <c r="S96" s="144">
        <f>(Financing!S59+Financing!S60)*S$6</f>
        <v>0</v>
      </c>
      <c r="T96" s="144">
        <f>(Financing!T59+Financing!T60)*T$6</f>
        <v>0</v>
      </c>
      <c r="U96" s="144">
        <f>(Financing!U59+Financing!U60)*U$6</f>
        <v>0</v>
      </c>
      <c r="V96" s="144">
        <f>(Financing!V59+Financing!V60)*V$6</f>
        <v>0</v>
      </c>
      <c r="W96" s="144">
        <f>(Financing!W59+Financing!W60)*W$6</f>
        <v>0</v>
      </c>
      <c r="X96" s="144">
        <f>(Financing!X59+Financing!X60)*X$6</f>
        <v>0</v>
      </c>
      <c r="Y96" s="144">
        <f>(Financing!Y59+Financing!Y60)*Y$6</f>
        <v>-7500</v>
      </c>
      <c r="Z96" s="144">
        <f>(Financing!Z59+Financing!Z60)*Z$6</f>
        <v>0</v>
      </c>
      <c r="AA96" s="144">
        <f>(Financing!AA59+Financing!AA60)*AA$6</f>
        <v>0</v>
      </c>
      <c r="AB96" s="144">
        <f>(Financing!AB59+Financing!AB60)*AB$6</f>
        <v>0</v>
      </c>
      <c r="AC96" s="144">
        <f>(Financing!AC59+Financing!AC60)*AC$6</f>
        <v>0</v>
      </c>
      <c r="AD96" s="144">
        <f>(Financing!AD59+Financing!AD60)*AD$6</f>
        <v>0</v>
      </c>
      <c r="AE96" s="144">
        <f>(Financing!AE59+Financing!AE60)*AE$6</f>
        <v>0</v>
      </c>
      <c r="AF96" s="144">
        <f>(Financing!AF59+Financing!AF60)*AF$6</f>
        <v>0</v>
      </c>
      <c r="AG96" s="144">
        <f>(Financing!AG59+Financing!AG60)*AG$6</f>
        <v>0</v>
      </c>
    </row>
    <row r="97" spans="1:33" ht="17.25" customHeight="1" outlineLevel="1">
      <c r="A97" s="894"/>
      <c r="B97" s="241"/>
      <c r="C97" s="117" t="s">
        <v>403</v>
      </c>
      <c r="D97" s="126"/>
      <c r="E97" s="126"/>
      <c r="F97" s="126"/>
      <c r="G97" s="126"/>
      <c r="H97" s="126"/>
      <c r="I97" s="141">
        <f t="shared" ca="1" si="22"/>
        <v>-3500</v>
      </c>
      <c r="J97" s="144">
        <f ca="1">(Financing!J67+Financing!J68)*J$6</f>
        <v>0</v>
      </c>
      <c r="K97" s="144">
        <f ca="1">(Financing!K67+Financing!K68)*K$6</f>
        <v>23379.828305416639</v>
      </c>
      <c r="L97" s="144">
        <f ca="1">(Financing!L67+Financing!L68)*L$6</f>
        <v>-19834.168162220823</v>
      </c>
      <c r="M97" s="144">
        <f ca="1">(Financing!M67+Financing!M68)*M$6</f>
        <v>-7045.6601431958152</v>
      </c>
      <c r="N97" s="144">
        <f ca="1">(Financing!N67+Financing!N68)*N$6</f>
        <v>0</v>
      </c>
      <c r="O97" s="144">
        <f ca="1">(Financing!O67+Financing!O68)*O$6</f>
        <v>0</v>
      </c>
      <c r="P97" s="144">
        <f ca="1">(Financing!P67+Financing!P68)*P$6</f>
        <v>0</v>
      </c>
      <c r="Q97" s="144">
        <f ca="1">(Financing!Q67+Financing!Q68)*Q$6</f>
        <v>0</v>
      </c>
      <c r="R97" s="144">
        <f ca="1">(Financing!R67+Financing!R68)*R$6</f>
        <v>0</v>
      </c>
      <c r="S97" s="144">
        <f ca="1">(Financing!S67+Financing!S68)*S$6</f>
        <v>0</v>
      </c>
      <c r="T97" s="144">
        <f ca="1">(Financing!T67+Financing!T68)*T$6</f>
        <v>0</v>
      </c>
      <c r="U97" s="144">
        <f ca="1">(Financing!U67+Financing!U68)*U$6</f>
        <v>0</v>
      </c>
      <c r="V97" s="144">
        <f ca="1">(Financing!V67+Financing!V68)*V$6</f>
        <v>0</v>
      </c>
      <c r="W97" s="144">
        <f ca="1">(Financing!W67+Financing!W68)*W$6</f>
        <v>0</v>
      </c>
      <c r="X97" s="144">
        <f ca="1">(Financing!X67+Financing!X68)*X$6</f>
        <v>0</v>
      </c>
      <c r="Y97" s="144">
        <f ca="1">(Financing!Y67+Financing!Y68)*Y$6</f>
        <v>0</v>
      </c>
      <c r="Z97" s="144">
        <f ca="1">(Financing!Z67+Financing!Z68)*Z$6</f>
        <v>0</v>
      </c>
      <c r="AA97" s="144">
        <f ca="1">(Financing!AA67+Financing!AA68)*AA$6</f>
        <v>0</v>
      </c>
      <c r="AB97" s="144">
        <f ca="1">(Financing!AB67+Financing!AB68)*AB$6</f>
        <v>0</v>
      </c>
      <c r="AC97" s="144">
        <f ca="1">(Financing!AC67+Financing!AC68)*AC$6</f>
        <v>0</v>
      </c>
      <c r="AD97" s="144">
        <f ca="1">(Financing!AD67+Financing!AD68)*AD$6</f>
        <v>0</v>
      </c>
      <c r="AE97" s="144">
        <f ca="1">(Financing!AE67+Financing!AE68)*AE$6</f>
        <v>0</v>
      </c>
      <c r="AF97" s="144">
        <f ca="1">(Financing!AF67+Financing!AF68)*AF$6</f>
        <v>0</v>
      </c>
      <c r="AG97" s="144">
        <f ca="1">(Financing!AG67+Financing!AG68)*AG$6</f>
        <v>0</v>
      </c>
    </row>
    <row r="98" spans="1:33" ht="17.25" customHeight="1" outlineLevel="1">
      <c r="A98" s="894"/>
      <c r="B98" s="241"/>
      <c r="C98" s="135" t="s">
        <v>393</v>
      </c>
      <c r="D98" s="134"/>
      <c r="E98" s="134"/>
      <c r="F98" s="134"/>
      <c r="G98" s="134"/>
      <c r="H98" s="134"/>
      <c r="I98" s="141">
        <f t="shared" ca="1" si="22"/>
        <v>184737.76816925386</v>
      </c>
      <c r="J98" s="151">
        <f t="shared" ref="J98:AG98" ca="1" si="23">SUM(J90:J97)</f>
        <v>75794.740249999988</v>
      </c>
      <c r="K98" s="151">
        <f t="shared" ca="1" si="23"/>
        <v>210085.08805541665</v>
      </c>
      <c r="L98" s="151">
        <f t="shared" ca="1" si="23"/>
        <v>-24834.168162220823</v>
      </c>
      <c r="M98" s="151">
        <f t="shared" ca="1" si="23"/>
        <v>-7045.6601431958152</v>
      </c>
      <c r="N98" s="151">
        <f t="shared" ca="1" si="23"/>
        <v>0</v>
      </c>
      <c r="O98" s="151">
        <f t="shared" ca="1" si="23"/>
        <v>-5000</v>
      </c>
      <c r="P98" s="151">
        <f t="shared" ca="1" si="23"/>
        <v>0</v>
      </c>
      <c r="Q98" s="151">
        <f t="shared" ca="1" si="23"/>
        <v>0</v>
      </c>
      <c r="R98" s="151">
        <f t="shared" ca="1" si="23"/>
        <v>-5000</v>
      </c>
      <c r="S98" s="151">
        <f t="shared" ca="1" si="23"/>
        <v>0</v>
      </c>
      <c r="T98" s="151">
        <f t="shared" ca="1" si="23"/>
        <v>-10000</v>
      </c>
      <c r="U98" s="151">
        <f t="shared" ca="1" si="23"/>
        <v>-5000</v>
      </c>
      <c r="V98" s="151">
        <f t="shared" ca="1" si="23"/>
        <v>0</v>
      </c>
      <c r="W98" s="151">
        <f t="shared" ca="1" si="23"/>
        <v>0</v>
      </c>
      <c r="X98" s="151">
        <f t="shared" ca="1" si="23"/>
        <v>-15000</v>
      </c>
      <c r="Y98" s="151">
        <f t="shared" ca="1" si="23"/>
        <v>-7500</v>
      </c>
      <c r="Z98" s="151">
        <f t="shared" ca="1" si="23"/>
        <v>0</v>
      </c>
      <c r="AA98" s="151">
        <f t="shared" ca="1" si="23"/>
        <v>-15000</v>
      </c>
      <c r="AB98" s="151">
        <f t="shared" ca="1" si="23"/>
        <v>0</v>
      </c>
      <c r="AC98" s="151">
        <f t="shared" ca="1" si="23"/>
        <v>0</v>
      </c>
      <c r="AD98" s="151">
        <f t="shared" ca="1" si="23"/>
        <v>-6762.2318307461082</v>
      </c>
      <c r="AE98" s="151">
        <f t="shared" ca="1" si="23"/>
        <v>0</v>
      </c>
      <c r="AF98" s="151">
        <f t="shared" ca="1" si="23"/>
        <v>0</v>
      </c>
      <c r="AG98" s="151">
        <f t="shared" ca="1" si="23"/>
        <v>0</v>
      </c>
    </row>
    <row r="99" spans="1:33" ht="7.5" customHeight="1" outlineLevel="1">
      <c r="A99" s="894"/>
      <c r="B99" s="241"/>
      <c r="C99" s="241"/>
      <c r="D99" s="241"/>
      <c r="E99" s="241"/>
      <c r="F99" s="241"/>
      <c r="G99" s="241"/>
      <c r="H99" s="241"/>
      <c r="I99" s="329"/>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row>
    <row r="100" spans="1:33" s="203" customFormat="1" ht="15" customHeight="1" outlineLevel="1">
      <c r="A100" s="894"/>
      <c r="B100" s="241"/>
      <c r="C100" s="203" t="s">
        <v>637</v>
      </c>
      <c r="D100" s="126"/>
      <c r="E100" s="126"/>
      <c r="F100" s="126"/>
      <c r="G100" s="126"/>
      <c r="H100" s="126"/>
      <c r="I100" s="140"/>
      <c r="J100" s="142">
        <f t="shared" ref="J100:AG100" ca="1" si="24">ROUND(J66+J86+J98,5)</f>
        <v>-5000</v>
      </c>
      <c r="K100" s="142">
        <f t="shared" ca="1" si="24"/>
        <v>0</v>
      </c>
      <c r="L100" s="142">
        <f t="shared" ca="1" si="24"/>
        <v>0</v>
      </c>
      <c r="M100" s="142">
        <f t="shared" ca="1" si="24"/>
        <v>52319.131600000001</v>
      </c>
      <c r="N100" s="142">
        <f t="shared" ca="1" si="24"/>
        <v>-3253.3989999999999</v>
      </c>
      <c r="O100" s="142">
        <f t="shared" ca="1" si="24"/>
        <v>7254.6344799999997</v>
      </c>
      <c r="P100" s="142">
        <f t="shared" ca="1" si="24"/>
        <v>103390.54689</v>
      </c>
      <c r="Q100" s="142">
        <f t="shared" ca="1" si="24"/>
        <v>35337.840859999997</v>
      </c>
      <c r="R100" s="142">
        <f t="shared" ca="1" si="24"/>
        <v>-11205.85665</v>
      </c>
      <c r="S100" s="142">
        <f t="shared" ca="1" si="24"/>
        <v>89055.058449999997</v>
      </c>
      <c r="T100" s="142">
        <f t="shared" ca="1" si="24"/>
        <v>10534.28687</v>
      </c>
      <c r="U100" s="142">
        <f t="shared" ca="1" si="24"/>
        <v>-54528.943169999999</v>
      </c>
      <c r="V100" s="142">
        <f t="shared" ca="1" si="24"/>
        <v>88461.118520000004</v>
      </c>
      <c r="W100" s="142">
        <f t="shared" ca="1" si="24"/>
        <v>-34900.740980000002</v>
      </c>
      <c r="X100" s="142">
        <f t="shared" ca="1" si="24"/>
        <v>-24542.129239999998</v>
      </c>
      <c r="Y100" s="142">
        <f t="shared" ca="1" si="24"/>
        <v>81102.452680000002</v>
      </c>
      <c r="Z100" s="142">
        <f t="shared" ca="1" si="24"/>
        <v>20494.268459999999</v>
      </c>
      <c r="AA100" s="142">
        <f t="shared" ca="1" si="24"/>
        <v>-21731.359260000001</v>
      </c>
      <c r="AB100" s="142">
        <f t="shared" ca="1" si="24"/>
        <v>75566.896729999993</v>
      </c>
      <c r="AC100" s="142">
        <f t="shared" ca="1" si="24"/>
        <v>14899.987880000001</v>
      </c>
      <c r="AD100" s="142">
        <f t="shared" ca="1" si="24"/>
        <v>-10427.37177</v>
      </c>
      <c r="AE100" s="142">
        <f t="shared" ca="1" si="24"/>
        <v>0</v>
      </c>
      <c r="AF100" s="142">
        <f t="shared" ca="1" si="24"/>
        <v>0</v>
      </c>
      <c r="AG100" s="142">
        <f t="shared" ca="1" si="24"/>
        <v>0</v>
      </c>
    </row>
    <row r="101" spans="1:33" s="203" customFormat="1" ht="7.5" customHeight="1" outlineLevel="1">
      <c r="A101" s="894"/>
      <c r="B101" s="241"/>
      <c r="C101" s="241"/>
      <c r="D101" s="241"/>
      <c r="E101" s="241"/>
      <c r="F101" s="241"/>
      <c r="G101" s="241"/>
      <c r="H101" s="241"/>
      <c r="I101" s="329"/>
      <c r="J101" s="329"/>
      <c r="K101" s="329"/>
      <c r="L101" s="329"/>
      <c r="M101" s="329"/>
      <c r="N101" s="329"/>
      <c r="O101" s="329"/>
      <c r="P101" s="329"/>
      <c r="Q101" s="329"/>
      <c r="R101" s="329"/>
      <c r="S101" s="329"/>
      <c r="T101" s="329"/>
      <c r="U101" s="329"/>
      <c r="V101" s="329"/>
      <c r="W101" s="329"/>
      <c r="X101" s="329"/>
      <c r="Y101" s="329"/>
      <c r="Z101" s="329"/>
      <c r="AA101" s="329"/>
      <c r="AB101" s="329"/>
      <c r="AC101" s="329"/>
      <c r="AD101" s="329"/>
      <c r="AE101" s="329"/>
      <c r="AF101" s="329"/>
      <c r="AG101" s="329"/>
    </row>
    <row r="102" spans="1:33" s="203" customFormat="1" ht="15" customHeight="1" outlineLevel="1">
      <c r="A102" s="894"/>
      <c r="B102" s="241"/>
      <c r="C102" s="203" t="s">
        <v>390</v>
      </c>
      <c r="D102" s="831"/>
      <c r="E102" s="831"/>
      <c r="F102" s="831"/>
      <c r="G102" s="831"/>
      <c r="H102" s="126"/>
      <c r="I102" s="141">
        <f>SUM(J102:AG102)</f>
        <v>-175000</v>
      </c>
      <c r="J102" s="144">
        <f>Financing!J75*J6</f>
        <v>0</v>
      </c>
      <c r="K102" s="144">
        <f>Financing!K75*K6</f>
        <v>0</v>
      </c>
      <c r="L102" s="144">
        <f>Financing!L75*L6</f>
        <v>0</v>
      </c>
      <c r="M102" s="144">
        <f>Financing!M75*M6</f>
        <v>0</v>
      </c>
      <c r="N102" s="144">
        <f>Financing!N75*N6</f>
        <v>0</v>
      </c>
      <c r="O102" s="144">
        <f>Financing!O75*O6</f>
        <v>0</v>
      </c>
      <c r="P102" s="144">
        <f>Financing!P75*P6</f>
        <v>0</v>
      </c>
      <c r="Q102" s="144">
        <f>Financing!Q75*Q6</f>
        <v>0</v>
      </c>
      <c r="R102" s="144">
        <f>Financing!R75*R6</f>
        <v>0</v>
      </c>
      <c r="S102" s="144">
        <f>Financing!S75*S6</f>
        <v>0</v>
      </c>
      <c r="T102" s="144">
        <f>Financing!T75*T6</f>
        <v>0</v>
      </c>
      <c r="U102" s="144">
        <f>Financing!U75*U6</f>
        <v>0</v>
      </c>
      <c r="V102" s="144">
        <f>Financing!V75*V6</f>
        <v>-175000</v>
      </c>
      <c r="W102" s="144">
        <f>Financing!W75*W6</f>
        <v>0</v>
      </c>
      <c r="X102" s="144">
        <f>Financing!X75*X6</f>
        <v>0</v>
      </c>
      <c r="Y102" s="144">
        <f>Financing!Y75*Y6</f>
        <v>0</v>
      </c>
      <c r="Z102" s="144">
        <f>Financing!Z75*Z6</f>
        <v>0</v>
      </c>
      <c r="AA102" s="144">
        <f>Financing!AA75*AA6</f>
        <v>0</v>
      </c>
      <c r="AB102" s="144">
        <f>Financing!AB75*AB6</f>
        <v>0</v>
      </c>
      <c r="AC102" s="144">
        <f>Financing!AC75*AC6</f>
        <v>0</v>
      </c>
      <c r="AD102" s="144">
        <f>Financing!AD75*AD6</f>
        <v>0</v>
      </c>
      <c r="AE102" s="144">
        <f>Financing!AE75*AE6</f>
        <v>0</v>
      </c>
      <c r="AF102" s="144">
        <f>Financing!AF75*AF6</f>
        <v>0</v>
      </c>
      <c r="AG102" s="144">
        <f>Financing!AG75*AG6</f>
        <v>0</v>
      </c>
    </row>
    <row r="103" spans="1:33" s="203" customFormat="1" ht="7.5" customHeight="1" outlineLevel="1">
      <c r="A103" s="894"/>
      <c r="B103" s="241"/>
      <c r="C103" s="241"/>
      <c r="D103" s="241"/>
      <c r="E103" s="241"/>
      <c r="F103" s="241"/>
      <c r="G103" s="241"/>
      <c r="H103" s="241"/>
      <c r="I103" s="329"/>
      <c r="J103" s="329"/>
      <c r="K103" s="329"/>
      <c r="L103" s="329"/>
      <c r="M103" s="329"/>
      <c r="N103" s="329"/>
      <c r="O103" s="329"/>
      <c r="P103" s="329"/>
      <c r="Q103" s="329"/>
      <c r="R103" s="329"/>
      <c r="S103" s="329"/>
      <c r="T103" s="329"/>
      <c r="U103" s="329"/>
      <c r="V103" s="329"/>
      <c r="W103" s="329"/>
      <c r="X103" s="329"/>
      <c r="Y103" s="329"/>
      <c r="Z103" s="329"/>
      <c r="AA103" s="329"/>
      <c r="AB103" s="329"/>
      <c r="AC103" s="329"/>
      <c r="AD103" s="329"/>
      <c r="AE103" s="329"/>
      <c r="AF103" s="329"/>
      <c r="AG103" s="329"/>
    </row>
    <row r="104" spans="1:33" ht="21.75" customHeight="1" outlineLevel="1">
      <c r="A104" s="894"/>
      <c r="B104" s="241"/>
      <c r="C104" s="279" t="s">
        <v>391</v>
      </c>
      <c r="D104" s="241"/>
      <c r="E104" s="241"/>
      <c r="F104" s="241"/>
      <c r="G104" s="241"/>
      <c r="H104" s="241"/>
      <c r="I104" s="329"/>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row>
    <row r="105" spans="1:33" ht="15" customHeight="1" outlineLevel="1">
      <c r="A105" s="894"/>
      <c r="B105" s="241"/>
      <c r="C105" s="117" t="s">
        <v>389</v>
      </c>
      <c r="D105" s="126"/>
      <c r="E105" s="126"/>
      <c r="F105" s="126"/>
      <c r="G105" s="126"/>
      <c r="H105" s="126"/>
      <c r="I105" s="141">
        <f ca="1">SUM(J105:AG105)</f>
        <v>237826.42335</v>
      </c>
      <c r="J105" s="150">
        <f t="shared" ref="J105:AG105" ca="1" si="25">ROUND(J100+J102,5)</f>
        <v>-5000</v>
      </c>
      <c r="K105" s="150">
        <f t="shared" ca="1" si="25"/>
        <v>0</v>
      </c>
      <c r="L105" s="150">
        <f t="shared" ca="1" si="25"/>
        <v>0</v>
      </c>
      <c r="M105" s="150">
        <f t="shared" ca="1" si="25"/>
        <v>52319.131600000001</v>
      </c>
      <c r="N105" s="150">
        <f t="shared" ca="1" si="25"/>
        <v>-3253.3989999999999</v>
      </c>
      <c r="O105" s="150">
        <f t="shared" ca="1" si="25"/>
        <v>7254.6344799999997</v>
      </c>
      <c r="P105" s="150">
        <f t="shared" ca="1" si="25"/>
        <v>103390.54689</v>
      </c>
      <c r="Q105" s="150">
        <f t="shared" ca="1" si="25"/>
        <v>35337.840859999997</v>
      </c>
      <c r="R105" s="150">
        <f t="shared" ca="1" si="25"/>
        <v>-11205.85665</v>
      </c>
      <c r="S105" s="150">
        <f t="shared" ca="1" si="25"/>
        <v>89055.058449999997</v>
      </c>
      <c r="T105" s="150">
        <f t="shared" ca="1" si="25"/>
        <v>10534.28687</v>
      </c>
      <c r="U105" s="150">
        <f t="shared" ca="1" si="25"/>
        <v>-54528.943169999999</v>
      </c>
      <c r="V105" s="150">
        <f t="shared" ca="1" si="25"/>
        <v>-86538.881479999996</v>
      </c>
      <c r="W105" s="150">
        <f t="shared" ca="1" si="25"/>
        <v>-34900.740980000002</v>
      </c>
      <c r="X105" s="150">
        <f t="shared" ca="1" si="25"/>
        <v>-24542.129239999998</v>
      </c>
      <c r="Y105" s="150">
        <f t="shared" ca="1" si="25"/>
        <v>81102.452680000002</v>
      </c>
      <c r="Z105" s="150">
        <f t="shared" ca="1" si="25"/>
        <v>20494.268459999999</v>
      </c>
      <c r="AA105" s="150">
        <f t="shared" ca="1" si="25"/>
        <v>-21731.359260000001</v>
      </c>
      <c r="AB105" s="150">
        <f t="shared" ca="1" si="25"/>
        <v>75566.896729999993</v>
      </c>
      <c r="AC105" s="150">
        <f t="shared" ca="1" si="25"/>
        <v>14899.987880000001</v>
      </c>
      <c r="AD105" s="150">
        <f t="shared" ca="1" si="25"/>
        <v>-10427.37177</v>
      </c>
      <c r="AE105" s="150">
        <f t="shared" ca="1" si="25"/>
        <v>0</v>
      </c>
      <c r="AF105" s="150">
        <f t="shared" ca="1" si="25"/>
        <v>0</v>
      </c>
      <c r="AG105" s="150">
        <f t="shared" ca="1" si="25"/>
        <v>0</v>
      </c>
    </row>
    <row r="106" spans="1:33" ht="15" customHeight="1" outlineLevel="1">
      <c r="A106" s="894"/>
      <c r="B106" s="241"/>
      <c r="C106" s="117" t="s">
        <v>642</v>
      </c>
      <c r="D106" s="126"/>
      <c r="E106" s="126"/>
      <c r="F106" s="126"/>
      <c r="G106" s="126"/>
      <c r="H106" s="126"/>
      <c r="I106" s="86"/>
      <c r="J106" s="259">
        <f t="shared" ref="J106:AG106" si="26">I107*J6</f>
        <v>5000</v>
      </c>
      <c r="K106" s="259">
        <f t="shared" ca="1" si="26"/>
        <v>0</v>
      </c>
      <c r="L106" s="259">
        <f t="shared" ca="1" si="26"/>
        <v>0</v>
      </c>
      <c r="M106" s="259">
        <f t="shared" ca="1" si="26"/>
        <v>0</v>
      </c>
      <c r="N106" s="259">
        <f t="shared" ca="1" si="26"/>
        <v>52319.131600000001</v>
      </c>
      <c r="O106" s="259">
        <f t="shared" ca="1" si="26"/>
        <v>49065.732600000003</v>
      </c>
      <c r="P106" s="259">
        <f t="shared" ca="1" si="26"/>
        <v>56320.367080000004</v>
      </c>
      <c r="Q106" s="259">
        <f t="shared" ca="1" si="26"/>
        <v>159710.91396999999</v>
      </c>
      <c r="R106" s="259">
        <f t="shared" ca="1" si="26"/>
        <v>195048.75482999999</v>
      </c>
      <c r="S106" s="259">
        <f t="shared" ca="1" si="26"/>
        <v>183842.89817999999</v>
      </c>
      <c r="T106" s="259">
        <f t="shared" ca="1" si="26"/>
        <v>272897.95662999997</v>
      </c>
      <c r="U106" s="259">
        <f t="shared" ca="1" si="26"/>
        <v>283432.24349999998</v>
      </c>
      <c r="V106" s="259">
        <f t="shared" ca="1" si="26"/>
        <v>228903.30033</v>
      </c>
      <c r="W106" s="259">
        <f t="shared" ca="1" si="26"/>
        <v>142364.41885000002</v>
      </c>
      <c r="X106" s="259">
        <f t="shared" ca="1" si="26"/>
        <v>107463.67787000001</v>
      </c>
      <c r="Y106" s="259">
        <f t="shared" ca="1" si="26"/>
        <v>82921.548630000019</v>
      </c>
      <c r="Z106" s="259">
        <f t="shared" ca="1" si="26"/>
        <v>164024.00131000002</v>
      </c>
      <c r="AA106" s="259">
        <f t="shared" ca="1" si="26"/>
        <v>184518.26977000001</v>
      </c>
      <c r="AB106" s="259">
        <f t="shared" ca="1" si="26"/>
        <v>162786.91051000002</v>
      </c>
      <c r="AC106" s="259">
        <f t="shared" ca="1" si="26"/>
        <v>238353.80723999999</v>
      </c>
      <c r="AD106" s="259">
        <f t="shared" ca="1" si="26"/>
        <v>253253.79512</v>
      </c>
      <c r="AE106" s="259">
        <f t="shared" ca="1" si="26"/>
        <v>0</v>
      </c>
      <c r="AF106" s="259">
        <f t="shared" si="26"/>
        <v>0</v>
      </c>
      <c r="AG106" s="259">
        <f t="shared" si="26"/>
        <v>0</v>
      </c>
    </row>
    <row r="107" spans="1:33" ht="15" customHeight="1" outlineLevel="1" thickBot="1">
      <c r="A107" s="894"/>
      <c r="B107" s="241"/>
      <c r="C107" s="830" t="s">
        <v>643</v>
      </c>
      <c r="D107" s="126"/>
      <c r="E107" s="126"/>
      <c r="F107" s="126"/>
      <c r="G107" s="126"/>
      <c r="H107" s="126"/>
      <c r="I107" s="147">
        <f>Inputs!F233</f>
        <v>5000</v>
      </c>
      <c r="J107" s="146">
        <f t="shared" ref="J107:AG107" ca="1" si="27">IF(J6=0,0,IF(ABS(J106+J105)&lt;0.001,0,J106+J105))</f>
        <v>0</v>
      </c>
      <c r="K107" s="146">
        <f t="shared" ca="1" si="27"/>
        <v>0</v>
      </c>
      <c r="L107" s="146">
        <f t="shared" ca="1" si="27"/>
        <v>0</v>
      </c>
      <c r="M107" s="146">
        <f t="shared" ca="1" si="27"/>
        <v>52319.131600000001</v>
      </c>
      <c r="N107" s="146">
        <f t="shared" ca="1" si="27"/>
        <v>49065.732600000003</v>
      </c>
      <c r="O107" s="146">
        <f t="shared" ca="1" si="27"/>
        <v>56320.367080000004</v>
      </c>
      <c r="P107" s="146">
        <f t="shared" ca="1" si="27"/>
        <v>159710.91396999999</v>
      </c>
      <c r="Q107" s="146">
        <f t="shared" ca="1" si="27"/>
        <v>195048.75482999999</v>
      </c>
      <c r="R107" s="146">
        <f t="shared" ca="1" si="27"/>
        <v>183842.89817999999</v>
      </c>
      <c r="S107" s="146">
        <f t="shared" ca="1" si="27"/>
        <v>272897.95662999997</v>
      </c>
      <c r="T107" s="146">
        <f t="shared" ca="1" si="27"/>
        <v>283432.24349999998</v>
      </c>
      <c r="U107" s="146">
        <f t="shared" ca="1" si="27"/>
        <v>228903.30033</v>
      </c>
      <c r="V107" s="146">
        <f t="shared" ca="1" si="27"/>
        <v>142364.41885000002</v>
      </c>
      <c r="W107" s="146">
        <f t="shared" ca="1" si="27"/>
        <v>107463.67787000001</v>
      </c>
      <c r="X107" s="146">
        <f t="shared" ca="1" si="27"/>
        <v>82921.548630000019</v>
      </c>
      <c r="Y107" s="146">
        <f t="shared" ca="1" si="27"/>
        <v>164024.00131000002</v>
      </c>
      <c r="Z107" s="146">
        <f t="shared" ca="1" si="27"/>
        <v>184518.26977000001</v>
      </c>
      <c r="AA107" s="146">
        <f t="shared" ca="1" si="27"/>
        <v>162786.91051000002</v>
      </c>
      <c r="AB107" s="146">
        <f t="shared" ca="1" si="27"/>
        <v>238353.80723999999</v>
      </c>
      <c r="AC107" s="146">
        <f t="shared" ca="1" si="27"/>
        <v>253253.79512</v>
      </c>
      <c r="AD107" s="146">
        <f t="shared" ca="1" si="27"/>
        <v>242826.42335</v>
      </c>
      <c r="AE107" s="146">
        <f t="shared" si="27"/>
        <v>0</v>
      </c>
      <c r="AF107" s="146">
        <f t="shared" si="27"/>
        <v>0</v>
      </c>
      <c r="AG107" s="146">
        <f t="shared" si="27"/>
        <v>0</v>
      </c>
    </row>
    <row r="108" spans="1:33" ht="15" customHeight="1" outlineLevel="1" thickTop="1">
      <c r="A108" s="894"/>
      <c r="B108" s="241"/>
      <c r="C108" s="117" t="s">
        <v>392</v>
      </c>
      <c r="D108" s="126"/>
      <c r="E108" s="126"/>
      <c r="F108" s="126"/>
      <c r="G108" s="126"/>
      <c r="H108" s="126"/>
      <c r="I108" s="685">
        <f ca="1">SUM(J108:AG108)</f>
        <v>0</v>
      </c>
      <c r="J108" s="22">
        <f t="shared" ref="J108:AG108" ca="1" si="28">IF(J107&lt;0,1,0)</f>
        <v>0</v>
      </c>
      <c r="K108" s="22">
        <f t="shared" ca="1" si="28"/>
        <v>0</v>
      </c>
      <c r="L108" s="22">
        <f t="shared" ca="1" si="28"/>
        <v>0</v>
      </c>
      <c r="M108" s="22">
        <f t="shared" ca="1" si="28"/>
        <v>0</v>
      </c>
      <c r="N108" s="22">
        <f t="shared" ca="1" si="28"/>
        <v>0</v>
      </c>
      <c r="O108" s="22">
        <f t="shared" ca="1" si="28"/>
        <v>0</v>
      </c>
      <c r="P108" s="22">
        <f t="shared" ca="1" si="28"/>
        <v>0</v>
      </c>
      <c r="Q108" s="22">
        <f t="shared" ca="1" si="28"/>
        <v>0</v>
      </c>
      <c r="R108" s="22">
        <f t="shared" ca="1" si="28"/>
        <v>0</v>
      </c>
      <c r="S108" s="22">
        <f t="shared" ca="1" si="28"/>
        <v>0</v>
      </c>
      <c r="T108" s="22">
        <f t="shared" ca="1" si="28"/>
        <v>0</v>
      </c>
      <c r="U108" s="22">
        <f t="shared" ca="1" si="28"/>
        <v>0</v>
      </c>
      <c r="V108" s="22">
        <f t="shared" ca="1" si="28"/>
        <v>0</v>
      </c>
      <c r="W108" s="22">
        <f t="shared" ca="1" si="28"/>
        <v>0</v>
      </c>
      <c r="X108" s="22">
        <f t="shared" ca="1" si="28"/>
        <v>0</v>
      </c>
      <c r="Y108" s="22">
        <f t="shared" ca="1" si="28"/>
        <v>0</v>
      </c>
      <c r="Z108" s="22">
        <f t="shared" ca="1" si="28"/>
        <v>0</v>
      </c>
      <c r="AA108" s="22">
        <f t="shared" ca="1" si="28"/>
        <v>0</v>
      </c>
      <c r="AB108" s="22">
        <f t="shared" ca="1" si="28"/>
        <v>0</v>
      </c>
      <c r="AC108" s="22">
        <f t="shared" ca="1" si="28"/>
        <v>0</v>
      </c>
      <c r="AD108" s="22">
        <f t="shared" ca="1" si="28"/>
        <v>0</v>
      </c>
      <c r="AE108" s="22">
        <f t="shared" si="28"/>
        <v>0</v>
      </c>
      <c r="AF108" s="22">
        <f t="shared" si="28"/>
        <v>0</v>
      </c>
      <c r="AG108" s="22">
        <f t="shared" si="28"/>
        <v>0</v>
      </c>
    </row>
    <row r="109" spans="1:33" ht="15" customHeight="1" outlineLevel="1">
      <c r="A109" s="894"/>
      <c r="B109" s="241"/>
      <c r="C109" s="241"/>
      <c r="D109" s="241"/>
      <c r="E109" s="241"/>
      <c r="F109" s="241"/>
      <c r="G109" s="241"/>
      <c r="H109" s="241"/>
      <c r="I109" s="241"/>
      <c r="J109" s="241"/>
      <c r="K109" s="241"/>
      <c r="L109" s="241"/>
      <c r="M109" s="241"/>
      <c r="N109" s="241"/>
      <c r="O109" s="414"/>
      <c r="P109" s="241"/>
      <c r="Q109" s="241"/>
      <c r="R109" s="241"/>
      <c r="S109" s="241"/>
      <c r="T109" s="241"/>
      <c r="U109" s="241"/>
      <c r="V109" s="241"/>
      <c r="W109" s="241"/>
      <c r="X109" s="241"/>
      <c r="Y109" s="241"/>
      <c r="Z109" s="241"/>
      <c r="AA109" s="241"/>
      <c r="AB109" s="241"/>
      <c r="AC109" s="241"/>
      <c r="AD109" s="241"/>
      <c r="AE109" s="241"/>
      <c r="AF109" s="241"/>
      <c r="AG109" s="241"/>
    </row>
    <row r="110" spans="1:33" ht="21.75" customHeight="1" thickBot="1">
      <c r="A110" s="323"/>
      <c r="B110" s="323"/>
      <c r="C110" s="323" t="s">
        <v>399</v>
      </c>
      <c r="D110" s="335" t="str">
        <f>"(all figures in " &amp;Currency_Label &amp;")"</f>
        <v>(all figures in USD)</v>
      </c>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c r="AD110" s="323"/>
      <c r="AE110" s="323"/>
      <c r="AF110" s="323"/>
      <c r="AG110" s="323"/>
    </row>
    <row r="111" spans="1:33" ht="15" customHeight="1" outlineLevel="1">
      <c r="A111" s="894"/>
      <c r="B111" s="241"/>
      <c r="C111" s="241"/>
      <c r="D111" s="241"/>
      <c r="E111" s="241"/>
      <c r="F111" s="241"/>
      <c r="G111" s="241"/>
      <c r="H111" s="241"/>
      <c r="I111" s="237" t="s">
        <v>398</v>
      </c>
      <c r="J111" s="716">
        <f t="shared" ref="J111:AG111" si="29">J$4</f>
        <v>43525</v>
      </c>
      <c r="K111" s="716">
        <f t="shared" si="29"/>
        <v>43556</v>
      </c>
      <c r="L111" s="716">
        <f t="shared" si="29"/>
        <v>43586</v>
      </c>
      <c r="M111" s="716">
        <f t="shared" si="29"/>
        <v>43617</v>
      </c>
      <c r="N111" s="716">
        <f t="shared" si="29"/>
        <v>43647</v>
      </c>
      <c r="O111" s="716">
        <f t="shared" si="29"/>
        <v>43678</v>
      </c>
      <c r="P111" s="716">
        <f t="shared" si="29"/>
        <v>43709</v>
      </c>
      <c r="Q111" s="716">
        <f t="shared" si="29"/>
        <v>43739</v>
      </c>
      <c r="R111" s="716">
        <f t="shared" si="29"/>
        <v>43770</v>
      </c>
      <c r="S111" s="716">
        <f t="shared" si="29"/>
        <v>43800</v>
      </c>
      <c r="T111" s="716">
        <f t="shared" si="29"/>
        <v>43831</v>
      </c>
      <c r="U111" s="716">
        <f t="shared" si="29"/>
        <v>43862</v>
      </c>
      <c r="V111" s="716">
        <f t="shared" si="29"/>
        <v>43891</v>
      </c>
      <c r="W111" s="716">
        <f t="shared" si="29"/>
        <v>43922</v>
      </c>
      <c r="X111" s="716">
        <f t="shared" si="29"/>
        <v>43952</v>
      </c>
      <c r="Y111" s="716">
        <f t="shared" si="29"/>
        <v>43983</v>
      </c>
      <c r="Z111" s="716">
        <f t="shared" si="29"/>
        <v>44013</v>
      </c>
      <c r="AA111" s="716">
        <f t="shared" si="29"/>
        <v>44044</v>
      </c>
      <c r="AB111" s="716">
        <f t="shared" si="29"/>
        <v>44075</v>
      </c>
      <c r="AC111" s="716">
        <f t="shared" si="29"/>
        <v>44105</v>
      </c>
      <c r="AD111" s="716">
        <f t="shared" si="29"/>
        <v>44136</v>
      </c>
      <c r="AE111" s="716">
        <f t="shared" si="29"/>
        <v>44166</v>
      </c>
      <c r="AF111" s="716">
        <f t="shared" si="29"/>
        <v>44197</v>
      </c>
      <c r="AG111" s="716">
        <f t="shared" si="29"/>
        <v>44228</v>
      </c>
    </row>
    <row r="112" spans="1:33" ht="11.25" customHeight="1" outlineLevel="1">
      <c r="A112" s="894"/>
      <c r="B112" s="287"/>
      <c r="C112" s="128"/>
      <c r="D112" s="287"/>
      <c r="E112" s="287"/>
      <c r="F112" s="287"/>
      <c r="G112" s="287"/>
      <c r="H112" s="287"/>
      <c r="I112" s="329"/>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row>
    <row r="113" spans="1:33" ht="17.25" customHeight="1" outlineLevel="1">
      <c r="A113" s="894"/>
      <c r="B113" s="241"/>
      <c r="C113" s="40" t="str">
        <f>Capex!$C$9</f>
        <v>Intangible Assets</v>
      </c>
      <c r="D113" s="126"/>
      <c r="E113" s="346"/>
      <c r="F113" s="346"/>
      <c r="G113" s="346"/>
      <c r="H113" s="346"/>
      <c r="I113" s="147">
        <f>Inputs!$F$223</f>
        <v>2000</v>
      </c>
      <c r="J113" s="80">
        <f>Capex!J38</f>
        <v>76983.333333333328</v>
      </c>
      <c r="K113" s="80">
        <f>Capex!K38</f>
        <v>76341.666666666657</v>
      </c>
      <c r="L113" s="80">
        <f>Capex!L38</f>
        <v>75699.999999999985</v>
      </c>
      <c r="M113" s="80">
        <f>Capex!M38</f>
        <v>75058.333333333314</v>
      </c>
      <c r="N113" s="80">
        <f>Capex!N38</f>
        <v>74416.666666666642</v>
      </c>
      <c r="O113" s="80">
        <f>Capex!O38</f>
        <v>73774.999999999971</v>
      </c>
      <c r="P113" s="80">
        <f>Capex!P38</f>
        <v>73133.333333333299</v>
      </c>
      <c r="Q113" s="80">
        <f>Capex!Q38</f>
        <v>72491.666666666628</v>
      </c>
      <c r="R113" s="80">
        <f>Capex!R38</f>
        <v>71849.999999999956</v>
      </c>
      <c r="S113" s="80">
        <f>Capex!S38</f>
        <v>71208.333333333285</v>
      </c>
      <c r="T113" s="80">
        <f>Capex!T38</f>
        <v>70566.666666666613</v>
      </c>
      <c r="U113" s="80">
        <f>Capex!U38</f>
        <v>69924.999999999942</v>
      </c>
      <c r="V113" s="80">
        <f>Capex!V38</f>
        <v>69283.33333333327</v>
      </c>
      <c r="W113" s="80">
        <f>Capex!W38</f>
        <v>68641.666666666599</v>
      </c>
      <c r="X113" s="80">
        <f>Capex!X38</f>
        <v>67999.999999999927</v>
      </c>
      <c r="Y113" s="80">
        <f>Capex!Y38</f>
        <v>67358.333333333256</v>
      </c>
      <c r="Z113" s="80">
        <f>Capex!Z38</f>
        <v>66716.666666666584</v>
      </c>
      <c r="AA113" s="80">
        <f>Capex!AA38</f>
        <v>66074.999999999913</v>
      </c>
      <c r="AB113" s="80">
        <f>Capex!AB38</f>
        <v>65433.333333333248</v>
      </c>
      <c r="AC113" s="80">
        <f>Capex!AC38</f>
        <v>64791.666666666584</v>
      </c>
      <c r="AD113" s="80">
        <f>Capex!AD38</f>
        <v>64149.99999999992</v>
      </c>
      <c r="AE113" s="80">
        <f>Capex!AE38</f>
        <v>0</v>
      </c>
      <c r="AF113" s="80">
        <f>Capex!AF38</f>
        <v>0</v>
      </c>
      <c r="AG113" s="80">
        <f>Capex!AG38</f>
        <v>0</v>
      </c>
    </row>
    <row r="114" spans="1:33" ht="17.25" customHeight="1" outlineLevel="1">
      <c r="A114" s="894"/>
      <c r="B114" s="241"/>
      <c r="C114" s="40" t="str">
        <f>Capex!$C$40</f>
        <v>Tangible Assets</v>
      </c>
      <c r="D114" s="126"/>
      <c r="E114" s="126"/>
      <c r="F114" s="126"/>
      <c r="G114" s="126"/>
      <c r="H114" s="126"/>
      <c r="I114" s="147">
        <f>Inputs!$F$224</f>
        <v>255000</v>
      </c>
      <c r="J114" s="80">
        <f>Capex!J123</f>
        <v>300486.11111111112</v>
      </c>
      <c r="K114" s="80">
        <f>Capex!K123</f>
        <v>515277.77777777781</v>
      </c>
      <c r="L114" s="80">
        <f>Capex!L123</f>
        <v>506402.77777777781</v>
      </c>
      <c r="M114" s="80">
        <f>Capex!M123</f>
        <v>537527.77777777775</v>
      </c>
      <c r="N114" s="80">
        <f>Capex!N123</f>
        <v>527986.11111111112</v>
      </c>
      <c r="O114" s="80">
        <f>Capex!O123</f>
        <v>518444.44444444444</v>
      </c>
      <c r="P114" s="80">
        <f>Capex!P123</f>
        <v>508902.77777777775</v>
      </c>
      <c r="Q114" s="80">
        <f>Capex!Q123</f>
        <v>499361.11111111107</v>
      </c>
      <c r="R114" s="80">
        <f>Capex!R123</f>
        <v>489819.44444444438</v>
      </c>
      <c r="S114" s="80">
        <f>Capex!S123</f>
        <v>480277.77777777769</v>
      </c>
      <c r="T114" s="80">
        <f>Capex!T123</f>
        <v>470736.11111111101</v>
      </c>
      <c r="U114" s="80">
        <f>Capex!U123</f>
        <v>493694.44444444432</v>
      </c>
      <c r="V114" s="80">
        <f>Capex!V123</f>
        <v>483611.11111111101</v>
      </c>
      <c r="W114" s="80">
        <f>Capex!W123</f>
        <v>523527.77777777769</v>
      </c>
      <c r="X114" s="80">
        <f>Capex!X123</f>
        <v>512749.99999999994</v>
      </c>
      <c r="Y114" s="80">
        <f>Capex!Y123</f>
        <v>501972.22222222219</v>
      </c>
      <c r="Z114" s="80">
        <f>Capex!Z123</f>
        <v>491194.44444444444</v>
      </c>
      <c r="AA114" s="80">
        <f>Capex!AA123</f>
        <v>480416.66666666669</v>
      </c>
      <c r="AB114" s="80">
        <f>Capex!AB123</f>
        <v>469638.88888888893</v>
      </c>
      <c r="AC114" s="80">
        <f>Capex!AC123</f>
        <v>458861.11111111118</v>
      </c>
      <c r="AD114" s="80">
        <f>Capex!AD123</f>
        <v>448083.33333333343</v>
      </c>
      <c r="AE114" s="80">
        <f>Capex!AE123</f>
        <v>0</v>
      </c>
      <c r="AF114" s="80">
        <f>Capex!AF123</f>
        <v>0</v>
      </c>
      <c r="AG114" s="80">
        <f>Capex!AG123</f>
        <v>0</v>
      </c>
    </row>
    <row r="115" spans="1:33" ht="17.25" customHeight="1" outlineLevel="1">
      <c r="A115" s="894"/>
      <c r="B115" s="241"/>
      <c r="C115" s="40" t="str">
        <f>Capex!$C$126</f>
        <v>Financial Assets / Investments</v>
      </c>
      <c r="D115" s="126"/>
      <c r="E115" s="126"/>
      <c r="F115" s="126"/>
      <c r="G115" s="126"/>
      <c r="H115" s="126"/>
      <c r="I115" s="147">
        <f>Inputs!$F$228</f>
        <v>0</v>
      </c>
      <c r="J115" s="80">
        <f>Capex!J155</f>
        <v>0</v>
      </c>
      <c r="K115" s="80">
        <f>Capex!K155</f>
        <v>0</v>
      </c>
      <c r="L115" s="80">
        <f>Capex!L155</f>
        <v>0</v>
      </c>
      <c r="M115" s="80">
        <f>Capex!M155</f>
        <v>0</v>
      </c>
      <c r="N115" s="80">
        <f>Capex!N155</f>
        <v>55000</v>
      </c>
      <c r="O115" s="80">
        <f>Capex!O155</f>
        <v>55000</v>
      </c>
      <c r="P115" s="80">
        <f>Capex!P155</f>
        <v>55000</v>
      </c>
      <c r="Q115" s="80">
        <f>Capex!Q155</f>
        <v>55000</v>
      </c>
      <c r="R115" s="80">
        <f>Capex!R155</f>
        <v>55000</v>
      </c>
      <c r="S115" s="80">
        <f>Capex!S155</f>
        <v>55000</v>
      </c>
      <c r="T115" s="80">
        <f>Capex!T155</f>
        <v>55000</v>
      </c>
      <c r="U115" s="80">
        <f>Capex!U155</f>
        <v>66250</v>
      </c>
      <c r="V115" s="80">
        <f>Capex!V155</f>
        <v>66250</v>
      </c>
      <c r="W115" s="80">
        <f>Capex!W155</f>
        <v>66250</v>
      </c>
      <c r="X115" s="80">
        <f>Capex!X155</f>
        <v>66250</v>
      </c>
      <c r="Y115" s="80">
        <f>Capex!Y155</f>
        <v>66250</v>
      </c>
      <c r="Z115" s="80">
        <f>Capex!Z155</f>
        <v>66250</v>
      </c>
      <c r="AA115" s="80">
        <f>Capex!AA155</f>
        <v>66250</v>
      </c>
      <c r="AB115" s="80">
        <f>Capex!AB155</f>
        <v>66250</v>
      </c>
      <c r="AC115" s="80">
        <f>Capex!AC155</f>
        <v>66250</v>
      </c>
      <c r="AD115" s="80">
        <f>Capex!AD155</f>
        <v>66250</v>
      </c>
      <c r="AE115" s="80">
        <f>Capex!AE155</f>
        <v>0</v>
      </c>
      <c r="AF115" s="80">
        <f>Capex!AF155</f>
        <v>0</v>
      </c>
      <c r="AG115" s="80">
        <f>Capex!AG155</f>
        <v>0</v>
      </c>
    </row>
    <row r="116" spans="1:33" ht="17.25" customHeight="1" outlineLevel="1" thickBot="1">
      <c r="A116" s="894"/>
      <c r="B116" s="241"/>
      <c r="C116" s="3" t="s">
        <v>931</v>
      </c>
      <c r="D116" s="126"/>
      <c r="E116" s="126"/>
      <c r="F116" s="126"/>
      <c r="G116" s="126"/>
      <c r="H116" s="126"/>
      <c r="I116" s="725">
        <f t="shared" ref="I116:AG116" si="30">SUM(I113:I115)</f>
        <v>257000</v>
      </c>
      <c r="J116" s="725">
        <f t="shared" si="30"/>
        <v>377469.44444444444</v>
      </c>
      <c r="K116" s="725">
        <f t="shared" si="30"/>
        <v>591619.4444444445</v>
      </c>
      <c r="L116" s="725">
        <f t="shared" si="30"/>
        <v>582102.77777777775</v>
      </c>
      <c r="M116" s="725">
        <f t="shared" si="30"/>
        <v>612586.11111111101</v>
      </c>
      <c r="N116" s="725">
        <f t="shared" si="30"/>
        <v>657402.77777777775</v>
      </c>
      <c r="O116" s="725">
        <f t="shared" si="30"/>
        <v>647219.44444444438</v>
      </c>
      <c r="P116" s="725">
        <f t="shared" si="30"/>
        <v>637036.11111111101</v>
      </c>
      <c r="Q116" s="725">
        <f t="shared" si="30"/>
        <v>626852.77777777775</v>
      </c>
      <c r="R116" s="725">
        <f t="shared" si="30"/>
        <v>616669.44444444438</v>
      </c>
      <c r="S116" s="725">
        <f t="shared" si="30"/>
        <v>606486.11111111101</v>
      </c>
      <c r="T116" s="725">
        <f t="shared" si="30"/>
        <v>596302.77777777764</v>
      </c>
      <c r="U116" s="725">
        <f t="shared" si="30"/>
        <v>629869.44444444426</v>
      </c>
      <c r="V116" s="725">
        <f t="shared" si="30"/>
        <v>619144.44444444426</v>
      </c>
      <c r="W116" s="725">
        <f t="shared" si="30"/>
        <v>658419.44444444426</v>
      </c>
      <c r="X116" s="725">
        <f t="shared" si="30"/>
        <v>646999.99999999988</v>
      </c>
      <c r="Y116" s="725">
        <f t="shared" si="30"/>
        <v>635580.5555555555</v>
      </c>
      <c r="Z116" s="725">
        <f t="shared" si="30"/>
        <v>624161.11111111101</v>
      </c>
      <c r="AA116" s="725">
        <f t="shared" si="30"/>
        <v>612741.66666666663</v>
      </c>
      <c r="AB116" s="725">
        <f t="shared" si="30"/>
        <v>601322.22222222213</v>
      </c>
      <c r="AC116" s="725">
        <f t="shared" si="30"/>
        <v>589902.77777777775</v>
      </c>
      <c r="AD116" s="725">
        <f t="shared" si="30"/>
        <v>578483.33333333337</v>
      </c>
      <c r="AE116" s="725">
        <f t="shared" si="30"/>
        <v>0</v>
      </c>
      <c r="AF116" s="725">
        <f t="shared" si="30"/>
        <v>0</v>
      </c>
      <c r="AG116" s="725">
        <f t="shared" si="30"/>
        <v>0</v>
      </c>
    </row>
    <row r="117" spans="1:33" s="649" customFormat="1" ht="17.25" customHeight="1" outlineLevel="1" thickTop="1">
      <c r="A117" s="894"/>
      <c r="B117" s="287"/>
      <c r="C117" s="128"/>
      <c r="D117" s="287"/>
      <c r="E117" s="287"/>
      <c r="F117" s="287"/>
      <c r="G117" s="287"/>
      <c r="H117" s="287"/>
      <c r="I117" s="329"/>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row>
    <row r="118" spans="1:33" s="203" customFormat="1" ht="17.25" customHeight="1" outlineLevel="1">
      <c r="A118" s="894"/>
      <c r="B118" s="241"/>
      <c r="C118" s="36" t="str">
        <f>CHOOSE(language,"Stocks","Inventory")</f>
        <v>Inventory</v>
      </c>
      <c r="D118" s="126"/>
      <c r="E118" s="126"/>
      <c r="F118" s="126"/>
      <c r="G118" s="126"/>
      <c r="H118" s="126"/>
      <c r="I118" s="147">
        <f>Inputs!$F$231</f>
        <v>12000</v>
      </c>
      <c r="J118" s="80">
        <f>'Costs 01'!J211</f>
        <v>16570</v>
      </c>
      <c r="K118" s="80">
        <f>'Costs 01'!K211</f>
        <v>18390</v>
      </c>
      <c r="L118" s="80">
        <f>'Costs 01'!L211</f>
        <v>18390</v>
      </c>
      <c r="M118" s="80">
        <f>'Costs 01'!M211</f>
        <v>18390</v>
      </c>
      <c r="N118" s="80">
        <f>'Costs 01'!N211</f>
        <v>18390</v>
      </c>
      <c r="O118" s="80">
        <f>'Costs 01'!O211</f>
        <v>18390</v>
      </c>
      <c r="P118" s="80">
        <f>'Costs 01'!P211</f>
        <v>18390</v>
      </c>
      <c r="Q118" s="80">
        <f>'Costs 01'!Q211</f>
        <v>17845</v>
      </c>
      <c r="R118" s="80">
        <f>'Costs 01'!R211</f>
        <v>17845</v>
      </c>
      <c r="S118" s="80">
        <f>'Costs 01'!S211</f>
        <v>19225</v>
      </c>
      <c r="T118" s="80">
        <f>'Costs 01'!T211</f>
        <v>19225</v>
      </c>
      <c r="U118" s="80">
        <f>'Costs 01'!U211</f>
        <v>19225</v>
      </c>
      <c r="V118" s="80">
        <f>'Costs 01'!V211</f>
        <v>19225</v>
      </c>
      <c r="W118" s="80">
        <f>'Costs 01'!W211</f>
        <v>19225</v>
      </c>
      <c r="X118" s="80">
        <f>'Costs 01'!X211</f>
        <v>19225</v>
      </c>
      <c r="Y118" s="80">
        <f>'Costs 01'!Y211</f>
        <v>19225</v>
      </c>
      <c r="Z118" s="80">
        <f>'Costs 01'!Z211</f>
        <v>19390</v>
      </c>
      <c r="AA118" s="80">
        <f>'Costs 01'!AA211</f>
        <v>19390</v>
      </c>
      <c r="AB118" s="80">
        <f>'Costs 01'!AB211</f>
        <v>19390</v>
      </c>
      <c r="AC118" s="80">
        <f>'Costs 01'!AC211</f>
        <v>18700</v>
      </c>
      <c r="AD118" s="80">
        <f>'Costs 01'!AD211</f>
        <v>20240</v>
      </c>
      <c r="AE118" s="80">
        <f>'Costs 01'!AE211</f>
        <v>0</v>
      </c>
      <c r="AF118" s="80">
        <f>'Costs 01'!AF211</f>
        <v>0</v>
      </c>
      <c r="AG118" s="80">
        <f>'Costs 01'!AG211</f>
        <v>0</v>
      </c>
    </row>
    <row r="119" spans="1:33" s="203" customFormat="1" ht="17.25" customHeight="1" outlineLevel="1">
      <c r="A119" s="894"/>
      <c r="B119" s="241"/>
      <c r="C119" s="346" t="s">
        <v>427</v>
      </c>
      <c r="D119" s="126"/>
      <c r="E119" s="126"/>
      <c r="F119" s="126"/>
      <c r="G119" s="126"/>
      <c r="H119" s="126"/>
      <c r="I119" s="80"/>
      <c r="J119" s="80">
        <f>Inputs!J323</f>
        <v>0</v>
      </c>
      <c r="K119" s="80">
        <f>Inputs!K323</f>
        <v>0</v>
      </c>
      <c r="L119" s="80">
        <f>Inputs!L323</f>
        <v>0</v>
      </c>
      <c r="M119" s="80">
        <f>Inputs!M323</f>
        <v>0</v>
      </c>
      <c r="N119" s="80">
        <f>Inputs!N323</f>
        <v>0</v>
      </c>
      <c r="O119" s="80">
        <f>Inputs!O323</f>
        <v>0</v>
      </c>
      <c r="P119" s="80">
        <f>Inputs!P323</f>
        <v>0</v>
      </c>
      <c r="Q119" s="80">
        <f>Inputs!Q323</f>
        <v>0</v>
      </c>
      <c r="R119" s="80">
        <f>Inputs!R323</f>
        <v>10000</v>
      </c>
      <c r="S119" s="80">
        <f>Inputs!S323</f>
        <v>10000</v>
      </c>
      <c r="T119" s="80">
        <f>Inputs!T323</f>
        <v>10000</v>
      </c>
      <c r="U119" s="80">
        <f>Inputs!U323</f>
        <v>10000</v>
      </c>
      <c r="V119" s="80">
        <f>Inputs!V323</f>
        <v>10000</v>
      </c>
      <c r="W119" s="80">
        <f>Inputs!W323</f>
        <v>5000</v>
      </c>
      <c r="X119" s="80">
        <f>Inputs!X323</f>
        <v>5000</v>
      </c>
      <c r="Y119" s="80">
        <f>Inputs!Y323</f>
        <v>5000</v>
      </c>
      <c r="Z119" s="80">
        <f>Inputs!Z323</f>
        <v>5000</v>
      </c>
      <c r="AA119" s="80">
        <f>Inputs!AA323</f>
        <v>5000</v>
      </c>
      <c r="AB119" s="80">
        <f>Inputs!AB323</f>
        <v>5000</v>
      </c>
      <c r="AC119" s="80">
        <f>Inputs!AC323</f>
        <v>5000</v>
      </c>
      <c r="AD119" s="80">
        <f>Inputs!AD323</f>
        <v>5000</v>
      </c>
      <c r="AE119" s="80">
        <f>Inputs!AE323</f>
        <v>0</v>
      </c>
      <c r="AF119" s="80">
        <f>Inputs!AF323</f>
        <v>0</v>
      </c>
      <c r="AG119" s="80">
        <f>Inputs!AG323</f>
        <v>0</v>
      </c>
    </row>
    <row r="120" spans="1:33" ht="17.25" customHeight="1" outlineLevel="1">
      <c r="A120" s="894"/>
      <c r="B120" s="241"/>
      <c r="C120" s="36" t="str">
        <f>CHOOSE(language,"Trade debtors","Accounts receivables")</f>
        <v>Accounts receivables</v>
      </c>
      <c r="D120" s="126"/>
      <c r="E120" s="126"/>
      <c r="F120" s="126"/>
      <c r="G120" s="126"/>
      <c r="H120" s="126"/>
      <c r="I120" s="147">
        <f>Inputs!$F$232</f>
        <v>12500</v>
      </c>
      <c r="J120" s="80">
        <f>'Debtors+Creditors'!J32*J6</f>
        <v>38683.674999999988</v>
      </c>
      <c r="K120" s="80">
        <f>'Debtors+Creditors'!K32*K6</f>
        <v>43384.5</v>
      </c>
      <c r="L120" s="80">
        <f>'Debtors+Creditors'!L32*L6</f>
        <v>40505.75</v>
      </c>
      <c r="M120" s="80">
        <f>'Debtors+Creditors'!M32*M6</f>
        <v>37380.75</v>
      </c>
      <c r="N120" s="80">
        <f>'Debtors+Creditors'!N32*N6</f>
        <v>37380.75</v>
      </c>
      <c r="O120" s="80">
        <f>'Debtors+Creditors'!O32*O6</f>
        <v>37380.75</v>
      </c>
      <c r="P120" s="80">
        <f>'Debtors+Creditors'!P32*P6</f>
        <v>37380.75</v>
      </c>
      <c r="Q120" s="80">
        <f>'Debtors+Creditors'!Q32*Q6</f>
        <v>35822.48000000001</v>
      </c>
      <c r="R120" s="80">
        <f>'Debtors+Creditors'!R32*R6</f>
        <v>35359.53</v>
      </c>
      <c r="S120" s="80">
        <f>'Debtors+Creditors'!S32*S6</f>
        <v>37625.030000000028</v>
      </c>
      <c r="T120" s="80">
        <f>'Debtors+Creditors'!T32*T6</f>
        <v>37625.030000000028</v>
      </c>
      <c r="U120" s="80">
        <f>'Debtors+Creditors'!U32*U6</f>
        <v>37625.030000000057</v>
      </c>
      <c r="V120" s="80">
        <f>'Debtors+Creditors'!V32*V6</f>
        <v>37625.030000000057</v>
      </c>
      <c r="W120" s="80">
        <f>'Debtors+Creditors'!W32*W6</f>
        <v>37625.030000000086</v>
      </c>
      <c r="X120" s="80">
        <f>'Debtors+Creditors'!X32*X6</f>
        <v>37625.030000000086</v>
      </c>
      <c r="Y120" s="80">
        <f>'Debtors+Creditors'!Y32*Y6</f>
        <v>37625.030000000057</v>
      </c>
      <c r="Z120" s="80">
        <f>'Debtors+Creditors'!Z32*Z6</f>
        <v>37755.050000000047</v>
      </c>
      <c r="AA120" s="80">
        <f>'Debtors+Creditors'!AA32*AA6</f>
        <v>37755.050000000047</v>
      </c>
      <c r="AB120" s="80">
        <f>'Debtors+Creditors'!AB32*AB6</f>
        <v>37755.050000000047</v>
      </c>
      <c r="AC120" s="80">
        <f>'Debtors+Creditors'!AC32*AC6</f>
        <v>36622.300000000047</v>
      </c>
      <c r="AD120" s="80">
        <f>'Debtors+Creditors'!AD32*AD6</f>
        <v>39966.375000000058</v>
      </c>
      <c r="AE120" s="80">
        <f>'Debtors+Creditors'!AE32*AE6</f>
        <v>0</v>
      </c>
      <c r="AF120" s="80">
        <f>'Debtors+Creditors'!AF32*AF6</f>
        <v>0</v>
      </c>
      <c r="AG120" s="80">
        <f>'Debtors+Creditors'!AG32*AG6</f>
        <v>0</v>
      </c>
    </row>
    <row r="121" spans="1:33" ht="17.25" customHeight="1" outlineLevel="1">
      <c r="A121" s="894"/>
      <c r="B121" s="241"/>
      <c r="C121" s="40" t="str">
        <f>Name_VAT &amp;" owed to company"</f>
        <v>VAT owed to company</v>
      </c>
      <c r="D121" s="346"/>
      <c r="E121" s="346"/>
      <c r="F121" s="346"/>
      <c r="G121" s="126"/>
      <c r="H121" s="126"/>
      <c r="I121" s="80"/>
      <c r="J121" s="80">
        <f>'Debtors+Creditors'!J51*J6</f>
        <v>4691.5550000000003</v>
      </c>
      <c r="K121" s="80">
        <f>'Debtors+Creditors'!K51*K6</f>
        <v>6030.1699999999983</v>
      </c>
      <c r="L121" s="80">
        <f>'Debtors+Creditors'!L51*L6</f>
        <v>6079.4199999999983</v>
      </c>
      <c r="M121" s="80">
        <f>'Debtors+Creditors'!M51*M6</f>
        <v>6079.4199999999983</v>
      </c>
      <c r="N121" s="80">
        <f>'Debtors+Creditors'!N51*N6</f>
        <v>6079.4199999999983</v>
      </c>
      <c r="O121" s="80">
        <f>'Debtors+Creditors'!O51*O6</f>
        <v>6079.4199999999983</v>
      </c>
      <c r="P121" s="80">
        <f>'Debtors+Creditors'!P51*P6</f>
        <v>6079.4199999999983</v>
      </c>
      <c r="Q121" s="80">
        <f>'Debtors+Creditors'!Q51*Q6</f>
        <v>5741.3680000000022</v>
      </c>
      <c r="R121" s="80">
        <f>'Debtors+Creditors'!R51*R6</f>
        <v>5648.7780000000021</v>
      </c>
      <c r="S121" s="80">
        <f>'Debtors+Creditors'!S51*S6</f>
        <v>5875.3280000000013</v>
      </c>
      <c r="T121" s="80">
        <f>'Debtors+Creditors'!T51*T6</f>
        <v>5875.3280000000013</v>
      </c>
      <c r="U121" s="80">
        <f>'Debtors+Creditors'!U51*U6</f>
        <v>5875.3280000000013</v>
      </c>
      <c r="V121" s="80">
        <f>'Debtors+Creditors'!V51*V6</f>
        <v>5875.3280000000013</v>
      </c>
      <c r="W121" s="80">
        <f>'Debtors+Creditors'!W51*W6</f>
        <v>5875.3280000000013</v>
      </c>
      <c r="X121" s="80">
        <f>'Debtors+Creditors'!X51*X6</f>
        <v>5875.3280000000013</v>
      </c>
      <c r="Y121" s="80">
        <f>'Debtors+Creditors'!Y51*Y6</f>
        <v>5875.3280000000013</v>
      </c>
      <c r="Z121" s="80">
        <f>'Debtors+Creditors'!Z51*Z6</f>
        <v>5888.3300000000017</v>
      </c>
      <c r="AA121" s="80">
        <f>'Debtors+Creditors'!AA51*AA6</f>
        <v>5888.3300000000017</v>
      </c>
      <c r="AB121" s="80">
        <f>'Debtors+Creditors'!AB51*AB6</f>
        <v>5888.3300000000017</v>
      </c>
      <c r="AC121" s="80">
        <f>'Debtors+Creditors'!AC51*AC6</f>
        <v>5775.0550000000076</v>
      </c>
      <c r="AD121" s="80">
        <f>'Debtors+Creditors'!AD51*AD6</f>
        <v>6443.8700000000026</v>
      </c>
      <c r="AE121" s="80">
        <f>'Debtors+Creditors'!AE51*AE6</f>
        <v>0</v>
      </c>
      <c r="AF121" s="80">
        <f>'Debtors+Creditors'!AF51*AF6</f>
        <v>0</v>
      </c>
      <c r="AG121" s="80">
        <f>'Debtors+Creditors'!AG51*AG6</f>
        <v>0</v>
      </c>
    </row>
    <row r="122" spans="1:33" ht="17.25" customHeight="1" outlineLevel="1">
      <c r="A122" s="894"/>
      <c r="B122" s="241"/>
      <c r="C122" s="40" t="s">
        <v>400</v>
      </c>
      <c r="D122" s="126"/>
      <c r="E122" s="126"/>
      <c r="F122" s="126"/>
      <c r="G122" s="126"/>
      <c r="H122" s="126"/>
      <c r="I122" s="147">
        <f>Inputs!$F$233</f>
        <v>5000</v>
      </c>
      <c r="J122" s="80">
        <f t="shared" ref="J122:AG122" ca="1" si="31">J107</f>
        <v>0</v>
      </c>
      <c r="K122" s="80">
        <f t="shared" ca="1" si="31"/>
        <v>0</v>
      </c>
      <c r="L122" s="80">
        <f t="shared" ca="1" si="31"/>
        <v>0</v>
      </c>
      <c r="M122" s="80">
        <f t="shared" ca="1" si="31"/>
        <v>52319.131600000001</v>
      </c>
      <c r="N122" s="80">
        <f t="shared" ca="1" si="31"/>
        <v>49065.732600000003</v>
      </c>
      <c r="O122" s="80">
        <f t="shared" ca="1" si="31"/>
        <v>56320.367080000004</v>
      </c>
      <c r="P122" s="80">
        <f t="shared" ca="1" si="31"/>
        <v>159710.91396999999</v>
      </c>
      <c r="Q122" s="80">
        <f t="shared" ca="1" si="31"/>
        <v>195048.75482999999</v>
      </c>
      <c r="R122" s="80">
        <f t="shared" ca="1" si="31"/>
        <v>183842.89817999999</v>
      </c>
      <c r="S122" s="80">
        <f t="shared" ca="1" si="31"/>
        <v>272897.95662999997</v>
      </c>
      <c r="T122" s="80">
        <f t="shared" ca="1" si="31"/>
        <v>283432.24349999998</v>
      </c>
      <c r="U122" s="80">
        <f t="shared" ca="1" si="31"/>
        <v>228903.30033</v>
      </c>
      <c r="V122" s="80">
        <f t="shared" ca="1" si="31"/>
        <v>142364.41885000002</v>
      </c>
      <c r="W122" s="80">
        <f t="shared" ca="1" si="31"/>
        <v>107463.67787000001</v>
      </c>
      <c r="X122" s="80">
        <f t="shared" ca="1" si="31"/>
        <v>82921.548630000019</v>
      </c>
      <c r="Y122" s="80">
        <f t="shared" ca="1" si="31"/>
        <v>164024.00131000002</v>
      </c>
      <c r="Z122" s="80">
        <f t="shared" ca="1" si="31"/>
        <v>184518.26977000001</v>
      </c>
      <c r="AA122" s="80">
        <f t="shared" ca="1" si="31"/>
        <v>162786.91051000002</v>
      </c>
      <c r="AB122" s="80">
        <f t="shared" ca="1" si="31"/>
        <v>238353.80723999999</v>
      </c>
      <c r="AC122" s="80">
        <f t="shared" ca="1" si="31"/>
        <v>253253.79512</v>
      </c>
      <c r="AD122" s="80">
        <f t="shared" ca="1" si="31"/>
        <v>242826.42335</v>
      </c>
      <c r="AE122" s="80">
        <f t="shared" si="31"/>
        <v>0</v>
      </c>
      <c r="AF122" s="80">
        <f t="shared" si="31"/>
        <v>0</v>
      </c>
      <c r="AG122" s="80">
        <f t="shared" si="31"/>
        <v>0</v>
      </c>
    </row>
    <row r="123" spans="1:33" ht="17.25" customHeight="1" outlineLevel="1" thickBot="1">
      <c r="A123" s="894"/>
      <c r="B123" s="241"/>
      <c r="C123" s="3" t="s">
        <v>409</v>
      </c>
      <c r="D123" s="126"/>
      <c r="E123" s="126"/>
      <c r="F123" s="126"/>
      <c r="G123" s="126"/>
      <c r="H123" s="126"/>
      <c r="I123" s="725">
        <f t="shared" ref="I123" si="32">SUM(I118:I122)</f>
        <v>29500</v>
      </c>
      <c r="J123" s="725">
        <f t="shared" ref="J123:AG123" ca="1" si="33">SUM(J118:J122)</f>
        <v>59945.229999999989</v>
      </c>
      <c r="K123" s="725">
        <f t="shared" ca="1" si="33"/>
        <v>67804.67</v>
      </c>
      <c r="L123" s="725">
        <f t="shared" ca="1" si="33"/>
        <v>64975.17</v>
      </c>
      <c r="M123" s="725">
        <f t="shared" ca="1" si="33"/>
        <v>114169.30160000001</v>
      </c>
      <c r="N123" s="725">
        <f t="shared" ca="1" si="33"/>
        <v>110915.9026</v>
      </c>
      <c r="O123" s="725">
        <f t="shared" ca="1" si="33"/>
        <v>118170.53708000001</v>
      </c>
      <c r="P123" s="725">
        <f t="shared" ca="1" si="33"/>
        <v>221561.08396999998</v>
      </c>
      <c r="Q123" s="725">
        <f t="shared" ca="1" si="33"/>
        <v>254457.60282999999</v>
      </c>
      <c r="R123" s="725">
        <f t="shared" ca="1" si="33"/>
        <v>252696.20617999998</v>
      </c>
      <c r="S123" s="725">
        <f t="shared" ca="1" si="33"/>
        <v>345623.31463000004</v>
      </c>
      <c r="T123" s="725">
        <f t="shared" ca="1" si="33"/>
        <v>356157.60149999999</v>
      </c>
      <c r="U123" s="725">
        <f t="shared" ca="1" si="33"/>
        <v>301628.65833000006</v>
      </c>
      <c r="V123" s="725">
        <f t="shared" ca="1" si="33"/>
        <v>215089.77685000008</v>
      </c>
      <c r="W123" s="725">
        <f t="shared" ca="1" si="33"/>
        <v>175189.03587000011</v>
      </c>
      <c r="X123" s="725">
        <f t="shared" ca="1" si="33"/>
        <v>150646.9066300001</v>
      </c>
      <c r="Y123" s="725">
        <f t="shared" ca="1" si="33"/>
        <v>231749.35931000009</v>
      </c>
      <c r="Z123" s="725">
        <f t="shared" ca="1" si="33"/>
        <v>252551.64977000008</v>
      </c>
      <c r="AA123" s="725">
        <f t="shared" ca="1" si="33"/>
        <v>230820.29051000008</v>
      </c>
      <c r="AB123" s="725">
        <f t="shared" ca="1" si="33"/>
        <v>306387.18724000006</v>
      </c>
      <c r="AC123" s="725">
        <f t="shared" ca="1" si="33"/>
        <v>319351.15012000006</v>
      </c>
      <c r="AD123" s="725">
        <f t="shared" ca="1" si="33"/>
        <v>314476.66835000005</v>
      </c>
      <c r="AE123" s="725">
        <f t="shared" si="33"/>
        <v>0</v>
      </c>
      <c r="AF123" s="725">
        <f t="shared" si="33"/>
        <v>0</v>
      </c>
      <c r="AG123" s="725">
        <f t="shared" si="33"/>
        <v>0</v>
      </c>
    </row>
    <row r="124" spans="1:33" ht="17.25" customHeight="1" outlineLevel="1" thickTop="1">
      <c r="A124" s="894"/>
      <c r="B124" s="241"/>
      <c r="C124" s="128"/>
      <c r="D124" s="241"/>
      <c r="E124" s="241"/>
      <c r="F124" s="241"/>
      <c r="G124" s="241"/>
      <c r="H124" s="241"/>
      <c r="I124" s="32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row>
    <row r="125" spans="1:33" s="649" customFormat="1" ht="17.25" customHeight="1" outlineLevel="1">
      <c r="A125" s="894"/>
      <c r="B125" s="241"/>
      <c r="C125" s="40" t="str">
        <f>C97</f>
        <v>Overdraft facility</v>
      </c>
      <c r="D125" s="126"/>
      <c r="E125" s="126"/>
      <c r="F125" s="126"/>
      <c r="G125" s="126"/>
      <c r="H125" s="126"/>
      <c r="I125" s="147">
        <f>Inputs!$F$236</f>
        <v>3500</v>
      </c>
      <c r="J125" s="80">
        <f ca="1">Financing!J69*J6</f>
        <v>3500</v>
      </c>
      <c r="K125" s="80">
        <f ca="1">Financing!K69*K6</f>
        <v>26879.828305416639</v>
      </c>
      <c r="L125" s="80">
        <f ca="1">Financing!L69*L6</f>
        <v>7045.6601431958152</v>
      </c>
      <c r="M125" s="80">
        <f ca="1">Financing!M69*M6</f>
        <v>0</v>
      </c>
      <c r="N125" s="80">
        <f ca="1">Financing!N69*N6</f>
        <v>0</v>
      </c>
      <c r="O125" s="80">
        <f ca="1">Financing!O69*O6</f>
        <v>0</v>
      </c>
      <c r="P125" s="80">
        <f ca="1">Financing!P69*P6</f>
        <v>0</v>
      </c>
      <c r="Q125" s="80">
        <f ca="1">Financing!Q69*Q6</f>
        <v>0</v>
      </c>
      <c r="R125" s="80">
        <f ca="1">Financing!R69*R6</f>
        <v>0</v>
      </c>
      <c r="S125" s="80">
        <f ca="1">Financing!S69*S6</f>
        <v>0</v>
      </c>
      <c r="T125" s="80">
        <f ca="1">Financing!T69*T6</f>
        <v>0</v>
      </c>
      <c r="U125" s="80">
        <f ca="1">Financing!U69*U6</f>
        <v>0</v>
      </c>
      <c r="V125" s="80">
        <f ca="1">Financing!V69*V6</f>
        <v>0</v>
      </c>
      <c r="W125" s="80">
        <f ca="1">Financing!W69*W6</f>
        <v>0</v>
      </c>
      <c r="X125" s="80">
        <f ca="1">Financing!X69*X6</f>
        <v>0</v>
      </c>
      <c r="Y125" s="80">
        <f ca="1">Financing!Y69*Y6</f>
        <v>0</v>
      </c>
      <c r="Z125" s="80">
        <f ca="1">Financing!Z69*Z6</f>
        <v>0</v>
      </c>
      <c r="AA125" s="80">
        <f ca="1">Financing!AA69*AA6</f>
        <v>0</v>
      </c>
      <c r="AB125" s="80">
        <f ca="1">Financing!AB69*AB6</f>
        <v>0</v>
      </c>
      <c r="AC125" s="80">
        <f ca="1">Financing!AC69*AC6</f>
        <v>0</v>
      </c>
      <c r="AD125" s="80">
        <f ca="1">Financing!AD69*AD6</f>
        <v>0</v>
      </c>
      <c r="AE125" s="80">
        <f ca="1">Financing!AE69*AE6</f>
        <v>0</v>
      </c>
      <c r="AF125" s="80">
        <f ca="1">Financing!AF69*AF6</f>
        <v>0</v>
      </c>
      <c r="AG125" s="80">
        <f ca="1">Financing!AG69*AG6</f>
        <v>0</v>
      </c>
    </row>
    <row r="126" spans="1:33" s="649" customFormat="1" ht="17.25" customHeight="1" outlineLevel="1">
      <c r="A126" s="894"/>
      <c r="B126" s="241"/>
      <c r="C126" s="346" t="str">
        <f>C62</f>
        <v>Changes in advances received</v>
      </c>
      <c r="D126" s="126"/>
      <c r="E126" s="126"/>
      <c r="F126" s="126"/>
      <c r="G126" s="126"/>
      <c r="H126" s="126"/>
      <c r="I126" s="346"/>
      <c r="J126" s="80">
        <f>Inputs!J317</f>
        <v>0</v>
      </c>
      <c r="K126" s="80">
        <f>Inputs!K317</f>
        <v>5000</v>
      </c>
      <c r="L126" s="80">
        <f>Inputs!L317</f>
        <v>5000</v>
      </c>
      <c r="M126" s="80">
        <f>Inputs!M317</f>
        <v>5000</v>
      </c>
      <c r="N126" s="80">
        <f>Inputs!N317</f>
        <v>5000</v>
      </c>
      <c r="O126" s="80">
        <f>Inputs!O317</f>
        <v>5000</v>
      </c>
      <c r="P126" s="80">
        <f>Inputs!P317</f>
        <v>5000</v>
      </c>
      <c r="Q126" s="80">
        <f>Inputs!Q317</f>
        <v>5000</v>
      </c>
      <c r="R126" s="80">
        <f>Inputs!R317</f>
        <v>5000</v>
      </c>
      <c r="S126" s="80">
        <f>Inputs!S317</f>
        <v>5000</v>
      </c>
      <c r="T126" s="80">
        <f>Inputs!T317</f>
        <v>5000</v>
      </c>
      <c r="U126" s="80">
        <f>Inputs!U317</f>
        <v>5000</v>
      </c>
      <c r="V126" s="80">
        <f>Inputs!V317</f>
        <v>5000</v>
      </c>
      <c r="W126" s="80">
        <f>Inputs!W317</f>
        <v>5000</v>
      </c>
      <c r="X126" s="80">
        <f>Inputs!X317</f>
        <v>2000</v>
      </c>
      <c r="Y126" s="80">
        <f>Inputs!Y317</f>
        <v>2000</v>
      </c>
      <c r="Z126" s="80">
        <f>Inputs!Z317</f>
        <v>2000</v>
      </c>
      <c r="AA126" s="80">
        <f>Inputs!AA317</f>
        <v>2000</v>
      </c>
      <c r="AB126" s="80">
        <f>Inputs!AB317</f>
        <v>2000</v>
      </c>
      <c r="AC126" s="80">
        <f>Inputs!AC317</f>
        <v>0</v>
      </c>
      <c r="AD126" s="80">
        <f>Inputs!AD317</f>
        <v>0</v>
      </c>
      <c r="AE126" s="80">
        <f>Inputs!AE317</f>
        <v>0</v>
      </c>
      <c r="AF126" s="80">
        <f>Inputs!AF317</f>
        <v>0</v>
      </c>
      <c r="AG126" s="80">
        <f>Inputs!AG317</f>
        <v>0</v>
      </c>
    </row>
    <row r="127" spans="1:33" s="649" customFormat="1" ht="17.25" customHeight="1" outlineLevel="1">
      <c r="A127" s="894"/>
      <c r="B127" s="241"/>
      <c r="C127" s="36" t="str">
        <f>CHOOSE(language,"Trade Creditors","Accounts Payables")</f>
        <v>Accounts Payables</v>
      </c>
      <c r="D127" s="126"/>
      <c r="E127" s="126"/>
      <c r="F127" s="126"/>
      <c r="G127" s="126"/>
      <c r="H127" s="126"/>
      <c r="I127" s="147">
        <f>Inputs!$F$237</f>
        <v>10000</v>
      </c>
      <c r="J127" s="80">
        <f>'Debtors+Creditors'!J74*J6</f>
        <v>42992.133749999994</v>
      </c>
      <c r="K127" s="80">
        <f>'Debtors+Creditors'!K74*K6</f>
        <v>40924.045937499992</v>
      </c>
      <c r="L127" s="80">
        <f>'Debtors+Creditors'!L74*L6</f>
        <v>40735.814746874996</v>
      </c>
      <c r="M127" s="80">
        <f>'Debtors+Creditors'!M74*M6</f>
        <v>40843.691244343747</v>
      </c>
      <c r="N127" s="80">
        <f>'Debtors+Creditors'!N74*N6</f>
        <v>40854.676506787175</v>
      </c>
      <c r="O127" s="80">
        <f>'Debtors+Creditors'!O74*O6</f>
        <v>40865.771621855049</v>
      </c>
      <c r="P127" s="80">
        <f>'Debtors+Creditors'!P74*P6</f>
        <v>40876.977688073588</v>
      </c>
      <c r="Q127" s="80">
        <f>'Debtors+Creditors'!Q74*Q6</f>
        <v>38579.795814954326</v>
      </c>
      <c r="R127" s="80">
        <f>'Debtors+Creditors'!R74*R6</f>
        <v>39126.227123103861</v>
      </c>
      <c r="S127" s="80">
        <f>'Debtors+Creditors'!S74*S6</f>
        <v>41405.772744334914</v>
      </c>
      <c r="T127" s="80">
        <f>'Debtors+Creditors'!T74*T6</f>
        <v>40587.513821778266</v>
      </c>
      <c r="U127" s="80">
        <f>'Debtors+Creditors'!U74*U6</f>
        <v>40459.371509996054</v>
      </c>
      <c r="V127" s="80">
        <f>'Debtors+Creditors'!V74*V6</f>
        <v>40471.266975096019</v>
      </c>
      <c r="W127" s="80">
        <f>'Debtors+Creditors'!W74*W6</f>
        <v>40483.281394846985</v>
      </c>
      <c r="X127" s="80">
        <f>'Debtors+Creditors'!X74*X6</f>
        <v>40495.415958795449</v>
      </c>
      <c r="Y127" s="80">
        <f>'Debtors+Creditors'!Y74*Y6</f>
        <v>40507.671868383404</v>
      </c>
      <c r="Z127" s="80">
        <f>'Debtors+Creditors'!Z74*Z6</f>
        <v>40586.050337067238</v>
      </c>
      <c r="AA127" s="80">
        <f>'Debtors+Creditors'!AA74*AA6</f>
        <v>40532.552590437903</v>
      </c>
      <c r="AB127" s="80">
        <f>'Debtors+Creditors'!AB74*AB6</f>
        <v>40545.179866342281</v>
      </c>
      <c r="AC127" s="80">
        <f>'Debtors+Creditors'!AC74*AC6</f>
        <v>39412.933415005711</v>
      </c>
      <c r="AD127" s="80">
        <f>'Debtors+Creditors'!AD74*AD6</f>
        <v>44990.189499155764</v>
      </c>
      <c r="AE127" s="80">
        <f>'Debtors+Creditors'!AE74*AE6</f>
        <v>0</v>
      </c>
      <c r="AF127" s="80">
        <f>'Debtors+Creditors'!AF74*AF6</f>
        <v>0</v>
      </c>
      <c r="AG127" s="80">
        <f>'Debtors+Creditors'!AG74*AG6</f>
        <v>0</v>
      </c>
    </row>
    <row r="128" spans="1:33" s="649" customFormat="1" ht="17.25" customHeight="1" outlineLevel="1">
      <c r="A128" s="894"/>
      <c r="B128" s="287"/>
      <c r="C128" s="36" t="s">
        <v>404</v>
      </c>
      <c r="D128" s="346"/>
      <c r="E128" s="346"/>
      <c r="F128" s="346"/>
      <c r="G128" s="346"/>
      <c r="H128" s="346"/>
      <c r="I128" s="346"/>
      <c r="J128" s="80">
        <f ca="1">('Debtors+Creditors'!J123+'Debtors+Creditors'!J179)*J6</f>
        <v>4149.9999999999982</v>
      </c>
      <c r="K128" s="80">
        <f ca="1">('Debtors+Creditors'!K123+'Debtors+Creditors'!K179)*K6</f>
        <v>4492</v>
      </c>
      <c r="L128" s="80">
        <f ca="1">('Debtors+Creditors'!L123+'Debtors+Creditors'!L179)*L6</f>
        <v>4564.0200000000041</v>
      </c>
      <c r="M128" s="80">
        <f ca="1">('Debtors+Creditors'!M123+'Debtors+Creditors'!M179)*M6</f>
        <v>4636.0602000000035</v>
      </c>
      <c r="N128" s="80">
        <f ca="1">('Debtors+Creditors'!N123+'Debtors+Creditors'!N179)*N6</f>
        <v>4708.1208020000049</v>
      </c>
      <c r="O128" s="80">
        <f ca="1">('Debtors+Creditors'!O123+'Debtors+Creditors'!O179)*O6</f>
        <v>4780.2020100200043</v>
      </c>
      <c r="P128" s="80">
        <f ca="1">('Debtors+Creditors'!P123+'Debtors+Creditors'!P179)*P6</f>
        <v>4852.3040301202091</v>
      </c>
      <c r="Q128" s="80">
        <f ca="1">('Debtors+Creditors'!Q123+'Debtors+Creditors'!Q179)*Q6</f>
        <v>4924.4270704214141</v>
      </c>
      <c r="R128" s="80">
        <f ca="1">('Debtors+Creditors'!R123+'Debtors+Creditors'!R179)*R6</f>
        <v>4996.5713411256329</v>
      </c>
      <c r="S128" s="80">
        <f ca="1">('Debtors+Creditors'!S123+'Debtors+Creditors'!S179)*S6</f>
        <v>5068.7370545368904</v>
      </c>
      <c r="T128" s="80">
        <f ca="1">('Debtors+Creditors'!T123+'Debtors+Creditors'!T179)*T6</f>
        <v>5140.9244250822612</v>
      </c>
      <c r="U128" s="80">
        <f ca="1">('Debtors+Creditors'!U123+'Debtors+Creditors'!U179)*U6</f>
        <v>5213.133669333085</v>
      </c>
      <c r="V128" s="80">
        <f ca="1">('Debtors+Creditors'!V123+'Debtors+Creditors'!V179)*V6</f>
        <v>5285.3650060264154</v>
      </c>
      <c r="W128" s="80">
        <f ca="1">('Debtors+Creditors'!W123+'Debtors+Creditors'!W179)*W6</f>
        <v>5357.6186560866845</v>
      </c>
      <c r="X128" s="80">
        <f ca="1">('Debtors+Creditors'!X123+'Debtors+Creditors'!X179)*X6</f>
        <v>5429.8948426475508</v>
      </c>
      <c r="Y128" s="80">
        <f ca="1">('Debtors+Creditors'!Y123+'Debtors+Creditors'!Y179)*Y6</f>
        <v>5502.1937910740235</v>
      </c>
      <c r="Z128" s="80">
        <f ca="1">('Debtors+Creditors'!Z123+'Debtors+Creditors'!Z179)*Z6</f>
        <v>5574.515728984763</v>
      </c>
      <c r="AA128" s="80">
        <f ca="1">('Debtors+Creditors'!AA123+'Debtors+Creditors'!AA179)*AA6</f>
        <v>5646.8608862746041</v>
      </c>
      <c r="AB128" s="80">
        <f ca="1">('Debtors+Creditors'!AB123+'Debtors+Creditors'!AB179)*AB6</f>
        <v>5719.2294951373588</v>
      </c>
      <c r="AC128" s="80">
        <f ca="1">('Debtors+Creditors'!AC123+'Debtors+Creditors'!AC179)*AC6</f>
        <v>5791.6217900887259</v>
      </c>
      <c r="AD128" s="80">
        <f ca="1">('Debtors+Creditors'!AD123+'Debtors+Creditors'!AD179)*AD6</f>
        <v>5864.0380079896167</v>
      </c>
      <c r="AE128" s="80">
        <f ca="1">('Debtors+Creditors'!AE123+'Debtors+Creditors'!AE179)*AE6</f>
        <v>0</v>
      </c>
      <c r="AF128" s="80">
        <f ca="1">('Debtors+Creditors'!AF123+'Debtors+Creditors'!AF179)*AF6</f>
        <v>0</v>
      </c>
      <c r="AG128" s="80">
        <f ca="1">('Debtors+Creditors'!AG123+'Debtors+Creditors'!AG179)*AG6</f>
        <v>0</v>
      </c>
    </row>
    <row r="129" spans="1:33" s="649" customFormat="1" ht="17.25" customHeight="1" outlineLevel="1">
      <c r="A129" s="894"/>
      <c r="B129" s="287"/>
      <c r="C129" s="36" t="s">
        <v>419</v>
      </c>
      <c r="D129" s="346"/>
      <c r="E129" s="346"/>
      <c r="F129" s="346"/>
      <c r="G129" s="346"/>
      <c r="H129" s="346"/>
      <c r="I129" s="80"/>
      <c r="J129" s="80">
        <f>'Debtors+Creditors'!J97</f>
        <v>707.5</v>
      </c>
      <c r="K129" s="80">
        <f>'Debtors+Creditors'!K97</f>
        <v>914</v>
      </c>
      <c r="L129" s="80">
        <f>'Debtors+Creditors'!L97</f>
        <v>917</v>
      </c>
      <c r="M129" s="80">
        <f>'Debtors+Creditors'!M97</f>
        <v>917</v>
      </c>
      <c r="N129" s="80">
        <f>'Debtors+Creditors'!N97</f>
        <v>917</v>
      </c>
      <c r="O129" s="80">
        <f>'Debtors+Creditors'!O97</f>
        <v>917</v>
      </c>
      <c r="P129" s="80">
        <f>'Debtors+Creditors'!P97</f>
        <v>917</v>
      </c>
      <c r="Q129" s="80">
        <f>'Debtors+Creditors'!Q97</f>
        <v>908</v>
      </c>
      <c r="R129" s="80">
        <f>'Debtors+Creditors'!R97</f>
        <v>905</v>
      </c>
      <c r="S129" s="80">
        <f>'Debtors+Creditors'!S97</f>
        <v>1020</v>
      </c>
      <c r="T129" s="80">
        <f>'Debtors+Creditors'!T97</f>
        <v>1020</v>
      </c>
      <c r="U129" s="80">
        <f>'Debtors+Creditors'!U97</f>
        <v>1020</v>
      </c>
      <c r="V129" s="80">
        <f>'Debtors+Creditors'!V97</f>
        <v>1020</v>
      </c>
      <c r="W129" s="80">
        <f>'Debtors+Creditors'!W97</f>
        <v>1020</v>
      </c>
      <c r="X129" s="80">
        <f>'Debtors+Creditors'!X97</f>
        <v>1020</v>
      </c>
      <c r="Y129" s="80">
        <f>'Debtors+Creditors'!Y97</f>
        <v>1020</v>
      </c>
      <c r="Z129" s="80">
        <f>'Debtors+Creditors'!Z97</f>
        <v>1020</v>
      </c>
      <c r="AA129" s="80">
        <f>'Debtors+Creditors'!AA97</f>
        <v>1020</v>
      </c>
      <c r="AB129" s="80">
        <f>'Debtors+Creditors'!AB97</f>
        <v>1020</v>
      </c>
      <c r="AC129" s="80">
        <f>'Debtors+Creditors'!AC97</f>
        <v>962.5</v>
      </c>
      <c r="AD129" s="80">
        <f>'Debtors+Creditors'!AD97</f>
        <v>994</v>
      </c>
      <c r="AE129" s="80">
        <f>'Debtors+Creditors'!AE97</f>
        <v>93</v>
      </c>
      <c r="AF129" s="80">
        <f>'Debtors+Creditors'!AF97</f>
        <v>0</v>
      </c>
      <c r="AG129" s="80">
        <f>'Debtors+Creditors'!AG97</f>
        <v>0</v>
      </c>
    </row>
    <row r="130" spans="1:33" s="649" customFormat="1" ht="17.25" customHeight="1" outlineLevel="1">
      <c r="A130" s="894"/>
      <c r="B130" s="287"/>
      <c r="C130" s="346" t="s">
        <v>425</v>
      </c>
      <c r="D130" s="346"/>
      <c r="E130" s="346"/>
      <c r="F130" s="346"/>
      <c r="G130" s="346"/>
      <c r="H130" s="346"/>
      <c r="I130" s="147">
        <f>Inputs!$F$238</f>
        <v>10000</v>
      </c>
      <c r="J130" s="80">
        <f>Inputs!J311</f>
        <v>10000</v>
      </c>
      <c r="K130" s="80">
        <f>Inputs!K311</f>
        <v>11000</v>
      </c>
      <c r="L130" s="80">
        <f>Inputs!L311</f>
        <v>11000</v>
      </c>
      <c r="M130" s="80">
        <f>Inputs!M311</f>
        <v>8500</v>
      </c>
      <c r="N130" s="80">
        <f>Inputs!N311</f>
        <v>8500</v>
      </c>
      <c r="O130" s="80">
        <f>Inputs!O311</f>
        <v>8500</v>
      </c>
      <c r="P130" s="80">
        <f>Inputs!P311</f>
        <v>8500</v>
      </c>
      <c r="Q130" s="80">
        <f>Inputs!Q311</f>
        <v>8500</v>
      </c>
      <c r="R130" s="80">
        <f>Inputs!R311</f>
        <v>8500</v>
      </c>
      <c r="S130" s="80">
        <f>Inputs!S311</f>
        <v>8500</v>
      </c>
      <c r="T130" s="80">
        <f>Inputs!T311</f>
        <v>8500</v>
      </c>
      <c r="U130" s="80">
        <f>Inputs!U311</f>
        <v>8500</v>
      </c>
      <c r="V130" s="80">
        <f>Inputs!V311</f>
        <v>8500</v>
      </c>
      <c r="W130" s="80">
        <f>Inputs!W311</f>
        <v>8500</v>
      </c>
      <c r="X130" s="80">
        <f>Inputs!X311</f>
        <v>8500</v>
      </c>
      <c r="Y130" s="80">
        <f>Inputs!Y311</f>
        <v>8500</v>
      </c>
      <c r="Z130" s="80">
        <f>Inputs!Z311</f>
        <v>8500</v>
      </c>
      <c r="AA130" s="80">
        <f>Inputs!AA311</f>
        <v>8500</v>
      </c>
      <c r="AB130" s="80">
        <f>Inputs!AB311</f>
        <v>8500</v>
      </c>
      <c r="AC130" s="80">
        <f>Inputs!AC311</f>
        <v>8500</v>
      </c>
      <c r="AD130" s="80">
        <f>Inputs!AD311</f>
        <v>8500</v>
      </c>
      <c r="AE130" s="80">
        <f>Inputs!AE311</f>
        <v>0</v>
      </c>
      <c r="AF130" s="80">
        <f>Inputs!AF311</f>
        <v>0</v>
      </c>
      <c r="AG130" s="80">
        <f>Inputs!AG311</f>
        <v>0</v>
      </c>
    </row>
    <row r="131" spans="1:33" s="704" customFormat="1" ht="17.25" customHeight="1" outlineLevel="1">
      <c r="A131" s="894"/>
      <c r="B131" s="287"/>
      <c r="C131" s="346" t="s">
        <v>489</v>
      </c>
      <c r="D131" s="346"/>
      <c r="E131" s="346"/>
      <c r="F131" s="346"/>
      <c r="G131" s="346"/>
      <c r="H131" s="346"/>
      <c r="I131" s="80"/>
      <c r="J131" s="80">
        <f>Capex!J175</f>
        <v>0</v>
      </c>
      <c r="K131" s="80">
        <f>Capex!K175</f>
        <v>0</v>
      </c>
      <c r="L131" s="80">
        <f>Capex!L175</f>
        <v>0</v>
      </c>
      <c r="M131" s="80">
        <f>Capex!M175</f>
        <v>40000</v>
      </c>
      <c r="N131" s="80">
        <f>Capex!N175</f>
        <v>40000</v>
      </c>
      <c r="O131" s="80">
        <f>Capex!O175</f>
        <v>40000</v>
      </c>
      <c r="P131" s="80">
        <f>Capex!P175</f>
        <v>38750</v>
      </c>
      <c r="Q131" s="80">
        <f>Capex!Q175</f>
        <v>38750</v>
      </c>
      <c r="R131" s="80">
        <f>Capex!R175</f>
        <v>38750</v>
      </c>
      <c r="S131" s="80">
        <f>Capex!S175</f>
        <v>38750</v>
      </c>
      <c r="T131" s="80">
        <f>Capex!T175</f>
        <v>38750</v>
      </c>
      <c r="U131" s="80">
        <f>Capex!U175</f>
        <v>38750</v>
      </c>
      <c r="V131" s="80">
        <f>Capex!V175</f>
        <v>38750</v>
      </c>
      <c r="W131" s="80">
        <f>Capex!W175</f>
        <v>38750</v>
      </c>
      <c r="X131" s="80">
        <f>Capex!X175</f>
        <v>38750</v>
      </c>
      <c r="Y131" s="80">
        <f>Capex!Y175</f>
        <v>38750</v>
      </c>
      <c r="Z131" s="80">
        <f>Capex!Z175</f>
        <v>38750</v>
      </c>
      <c r="AA131" s="80">
        <f>Capex!AA175</f>
        <v>38750</v>
      </c>
      <c r="AB131" s="80">
        <f>Capex!AB175</f>
        <v>37250</v>
      </c>
      <c r="AC131" s="80">
        <f>Capex!AC175</f>
        <v>37250</v>
      </c>
      <c r="AD131" s="80">
        <f>Capex!AD175</f>
        <v>37250</v>
      </c>
      <c r="AE131" s="80">
        <f>Capex!AE175</f>
        <v>0</v>
      </c>
      <c r="AF131" s="80">
        <f>Capex!AF175</f>
        <v>0</v>
      </c>
      <c r="AG131" s="80">
        <f>Capex!AG175</f>
        <v>0</v>
      </c>
    </row>
    <row r="132" spans="1:33" s="649" customFormat="1" ht="17.25" customHeight="1" outlineLevel="1">
      <c r="A132" s="894"/>
      <c r="B132" s="287"/>
      <c r="C132" s="40" t="str">
        <f>CHOOSE(language,"PAYE owed","Payroll withholdings owed")</f>
        <v>Payroll withholdings owed</v>
      </c>
      <c r="D132" s="346"/>
      <c r="E132" s="346"/>
      <c r="F132" s="346"/>
      <c r="G132" s="346"/>
      <c r="H132" s="346"/>
      <c r="I132" s="147">
        <f>Inputs!$F$239</f>
        <v>4500</v>
      </c>
      <c r="J132" s="80">
        <f>'Debtors+Creditors'!J196</f>
        <v>7937.5</v>
      </c>
      <c r="K132" s="80">
        <f>'Debtors+Creditors'!K196</f>
        <v>7937.5</v>
      </c>
      <c r="L132" s="80">
        <f>'Debtors+Creditors'!L196</f>
        <v>5437.5</v>
      </c>
      <c r="M132" s="80">
        <f>'Debtors+Creditors'!M196</f>
        <v>5437.5</v>
      </c>
      <c r="N132" s="80">
        <f>'Debtors+Creditors'!N196</f>
        <v>5437.5</v>
      </c>
      <c r="O132" s="80">
        <f>'Debtors+Creditors'!O196</f>
        <v>5208.3333333333321</v>
      </c>
      <c r="P132" s="80">
        <f>'Debtors+Creditors'!P196</f>
        <v>5624.9999999999991</v>
      </c>
      <c r="Q132" s="80">
        <f>'Debtors+Creditors'!Q196</f>
        <v>7604.1666666666661</v>
      </c>
      <c r="R132" s="80">
        <f>'Debtors+Creditors'!R196</f>
        <v>7604.1666666666652</v>
      </c>
      <c r="S132" s="80">
        <f>'Debtors+Creditors'!S196</f>
        <v>7604.1666666666652</v>
      </c>
      <c r="T132" s="80">
        <f>'Debtors+Creditors'!T196</f>
        <v>8618.7499999999964</v>
      </c>
      <c r="U132" s="80">
        <f>'Debtors+Creditors'!U196</f>
        <v>8618.7499999999964</v>
      </c>
      <c r="V132" s="80">
        <f>'Debtors+Creditors'!V196</f>
        <v>8618.7499999999964</v>
      </c>
      <c r="W132" s="80">
        <f>'Debtors+Creditors'!W196</f>
        <v>9472.9166666666642</v>
      </c>
      <c r="X132" s="80">
        <f>'Debtors+Creditors'!X196</f>
        <v>9472.9166666666642</v>
      </c>
      <c r="Y132" s="80">
        <f>'Debtors+Creditors'!Y196</f>
        <v>9472.9166666666642</v>
      </c>
      <c r="Z132" s="80">
        <f>'Debtors+Creditors'!Z196</f>
        <v>9472.9166666666642</v>
      </c>
      <c r="AA132" s="80">
        <f>'Debtors+Creditors'!AA196</f>
        <v>9472.9166666666642</v>
      </c>
      <c r="AB132" s="80">
        <f>'Debtors+Creditors'!AB196</f>
        <v>10220.312499999996</v>
      </c>
      <c r="AC132" s="80">
        <f>'Debtors+Creditors'!AC196</f>
        <v>10220.312499999996</v>
      </c>
      <c r="AD132" s="80">
        <f>'Debtors+Creditors'!AD196</f>
        <v>10220.312499999996</v>
      </c>
      <c r="AE132" s="80">
        <f>'Debtors+Creditors'!AE196</f>
        <v>0</v>
      </c>
      <c r="AF132" s="80">
        <f>'Debtors+Creditors'!AF196</f>
        <v>0</v>
      </c>
      <c r="AG132" s="80">
        <f>'Debtors+Creditors'!AG196</f>
        <v>0</v>
      </c>
    </row>
    <row r="133" spans="1:33" s="649" customFormat="1" ht="17.25" customHeight="1" outlineLevel="1">
      <c r="A133" s="894"/>
      <c r="B133" s="287"/>
      <c r="C133" s="40" t="str">
        <f>Name_VAT &amp;" owed by company"</f>
        <v>VAT owed by company</v>
      </c>
      <c r="D133" s="346"/>
      <c r="E133" s="346"/>
      <c r="F133" s="346"/>
      <c r="G133" s="346"/>
      <c r="H133" s="346"/>
      <c r="I133" s="80"/>
      <c r="J133" s="80">
        <f ca="1">'Debtors+Creditors'!J189*J6</f>
        <v>6659.741399999999</v>
      </c>
      <c r="K133" s="80">
        <f ca="1">'Debtors+Creditors'!K189*K6</f>
        <v>7176.7273499999992</v>
      </c>
      <c r="L133" s="80">
        <f ca="1">'Debtors+Creditors'!L189*L6</f>
        <v>7156.6931594999969</v>
      </c>
      <c r="M133" s="80">
        <f ca="1">'Debtors+Creditors'!M189*M6</f>
        <v>7184.0390270949974</v>
      </c>
      <c r="N133" s="80">
        <f ca="1">'Debtors+Creditors'!N189*N6</f>
        <v>7195.8851533659472</v>
      </c>
      <c r="O133" s="80">
        <f ca="1">'Debtors+Creditors'!O189*O6</f>
        <v>7207.7517408996046</v>
      </c>
      <c r="P133" s="80">
        <f ca="1">'Debtors+Creditors'!P189*P6</f>
        <v>7219.6389943085996</v>
      </c>
      <c r="Q133" s="80">
        <f ca="1">'Debtors+Creditors'!Q189*Q6</f>
        <v>6862.1871202516886</v>
      </c>
      <c r="R133" s="80">
        <f ca="1">'Debtors+Creditors'!R189*R6</f>
        <v>6959.7163274542017</v>
      </c>
      <c r="S133" s="80">
        <f ca="1">'Debtors+Creditors'!S189*S6</f>
        <v>7334.5468267287433</v>
      </c>
      <c r="T133" s="80">
        <f ca="1">'Debtors+Creditors'!T189*T6</f>
        <v>7213.7316309960297</v>
      </c>
      <c r="U133" s="80">
        <f ca="1">'Debtors+Creditors'!U189*U6</f>
        <v>7203.3381553059899</v>
      </c>
      <c r="V133" s="80">
        <f ca="1">'Debtors+Creditors'!V189*V6</f>
        <v>7215.353816859053</v>
      </c>
      <c r="W133" s="80">
        <f ca="1">'Debtors+Creditors'!W189*W6</f>
        <v>7227.3916350276468</v>
      </c>
      <c r="X133" s="80">
        <f ca="1">'Debtors+Creditors'!X189*X6</f>
        <v>7239.4518313779226</v>
      </c>
      <c r="Y133" s="80">
        <f ca="1">'Debtors+Creditors'!Y189*Y6</f>
        <v>7251.5346296917032</v>
      </c>
      <c r="Z133" s="80">
        <f ca="1">'Debtors+Creditors'!Z189*Z6</f>
        <v>7274.2002559886205</v>
      </c>
      <c r="AA133" s="80">
        <f ca="1">'Debtors+Creditors'!AA189*AA6</f>
        <v>7275.7689385485046</v>
      </c>
      <c r="AB133" s="80">
        <f ca="1">'Debtors+Creditors'!AB189*AB6</f>
        <v>7287.9209079339889</v>
      </c>
      <c r="AC133" s="80">
        <f ca="1">'Debtors+Creditors'!AC189*AC6</f>
        <v>7116.8963970133282</v>
      </c>
      <c r="AD133" s="80">
        <f ca="1">'Debtors+Creditors'!AD189*AD6</f>
        <v>8019.3956409834627</v>
      </c>
      <c r="AE133" s="80">
        <f ca="1">'Debtors+Creditors'!AE189*AE6</f>
        <v>0</v>
      </c>
      <c r="AF133" s="80">
        <f ca="1">'Debtors+Creditors'!AF189*AF6</f>
        <v>0</v>
      </c>
      <c r="AG133" s="80">
        <f ca="1">'Debtors+Creditors'!AG189*AG6</f>
        <v>0</v>
      </c>
    </row>
    <row r="134" spans="1:33" s="649" customFormat="1" ht="17.25" customHeight="1" outlineLevel="1">
      <c r="A134" s="894"/>
      <c r="B134" s="241"/>
      <c r="C134" s="40" t="str">
        <f>CHOOSE(language,"Taxes on profit owed","Taxes on income owed")</f>
        <v>Taxes on income owed</v>
      </c>
      <c r="D134" s="126"/>
      <c r="E134" s="346"/>
      <c r="F134" s="346"/>
      <c r="G134" s="346"/>
      <c r="H134" s="126"/>
      <c r="I134" s="80"/>
      <c r="J134" s="80">
        <f ca="1">Taxes!J71</f>
        <v>9873.755757577188</v>
      </c>
      <c r="K134" s="80">
        <f ca="1">Taxes!K71</f>
        <v>19747.511515154376</v>
      </c>
      <c r="L134" s="80">
        <f ca="1">Taxes!L71</f>
        <v>2954.6006060648979</v>
      </c>
      <c r="M134" s="80">
        <f ca="1">Taxes!M71</f>
        <v>12828.356363642086</v>
      </c>
      <c r="N134" s="80">
        <f ca="1">Taxes!N71</f>
        <v>22702.112121219274</v>
      </c>
      <c r="O134" s="80">
        <f ca="1">Taxes!O71</f>
        <v>5909.2012121297921</v>
      </c>
      <c r="P134" s="80">
        <f ca="1">Taxes!P71</f>
        <v>15782.95696970698</v>
      </c>
      <c r="Q134" s="80">
        <f ca="1">Taxes!Q71</f>
        <v>25656.712727284168</v>
      </c>
      <c r="R134" s="80">
        <f ca="1">Taxes!R71</f>
        <v>8863.8018181946863</v>
      </c>
      <c r="S134" s="80">
        <f ca="1">Taxes!S71</f>
        <v>17892.634134803935</v>
      </c>
      <c r="T134" s="80">
        <f ca="1">Taxes!T71</f>
        <v>26921.46645141318</v>
      </c>
      <c r="U134" s="80">
        <f ca="1">Taxes!U71</f>
        <v>10950.298768022425</v>
      </c>
      <c r="V134" s="80">
        <f ca="1">Taxes!V71</f>
        <v>11115.329266436973</v>
      </c>
      <c r="W134" s="80">
        <f ca="1">Taxes!W71</f>
        <v>20144.161583046218</v>
      </c>
      <c r="X134" s="80">
        <f ca="1">Taxes!X71</f>
        <v>4172.9938996554629</v>
      </c>
      <c r="Y134" s="80">
        <f ca="1">Taxes!Y71</f>
        <v>13201.82621626471</v>
      </c>
      <c r="Z134" s="80">
        <f ca="1">Taxes!Z71</f>
        <v>22230.658532873957</v>
      </c>
      <c r="AA134" s="80">
        <f ca="1">Taxes!AA71</f>
        <v>6259.4908494832052</v>
      </c>
      <c r="AB134" s="80">
        <f ca="1">Taxes!AB71</f>
        <v>15288.323166092452</v>
      </c>
      <c r="AC134" s="80">
        <f ca="1">Taxes!AC71</f>
        <v>24317.155482701699</v>
      </c>
      <c r="AD134" s="80">
        <f ca="1">Taxes!AD71</f>
        <v>8345.9877993109476</v>
      </c>
      <c r="AE134" s="80">
        <f ca="1">Taxes!AE71</f>
        <v>0</v>
      </c>
      <c r="AF134" s="80">
        <f ca="1">Taxes!AF71</f>
        <v>0</v>
      </c>
      <c r="AG134" s="80">
        <f ca="1">Taxes!AG71</f>
        <v>0</v>
      </c>
    </row>
    <row r="135" spans="1:33" s="649" customFormat="1" ht="17.25" customHeight="1" outlineLevel="1">
      <c r="A135" s="894"/>
      <c r="B135" s="241"/>
      <c r="C135" s="40" t="str">
        <f>Name_VAT&amp;" owed to tax authority"</f>
        <v>VAT owed to tax authority</v>
      </c>
      <c r="D135" s="264"/>
      <c r="E135" s="126"/>
      <c r="F135" s="126"/>
      <c r="G135" s="126"/>
      <c r="H135" s="126"/>
      <c r="I135" s="80"/>
      <c r="J135" s="80">
        <f ca="1">Taxes!J30*J6</f>
        <v>2081.4295999999977</v>
      </c>
      <c r="K135" s="80">
        <f ca="1">Taxes!K30*K6</f>
        <v>-21326.930160000004</v>
      </c>
      <c r="L135" s="80">
        <f ca="1">Taxes!L30*L6</f>
        <v>-9226.9093736000068</v>
      </c>
      <c r="M135" s="80">
        <f ca="1">Taxes!M30*M6</f>
        <v>5670.9771382639956</v>
      </c>
      <c r="N135" s="80">
        <f ca="1">Taxes!N30*N6</f>
        <v>17805.271491910633</v>
      </c>
      <c r="O135" s="80">
        <f ca="1">Taxes!O30*O6</f>
        <v>29956.628098093737</v>
      </c>
      <c r="P135" s="80">
        <f ca="1">Taxes!P30*P6</f>
        <v>11678.263139494935</v>
      </c>
      <c r="Q135" s="80">
        <f ca="1">Taxes!Q30*Q6</f>
        <v>23359.633358797324</v>
      </c>
      <c r="R135" s="80">
        <f ca="1">Taxes!R30*R6</f>
        <v>35311.296441925857</v>
      </c>
      <c r="S135" s="80">
        <f ca="1">Taxes!S30*S6</f>
        <v>11295.381887474599</v>
      </c>
      <c r="T135" s="80">
        <f ca="1">Taxes!T30*T6</f>
        <v>23345.711539814467</v>
      </c>
      <c r="U135" s="80">
        <f ca="1">Taxes!U30*U6</f>
        <v>30034.465842767782</v>
      </c>
      <c r="V135" s="80">
        <f ca="1">Taxes!V30*V6</f>
        <v>11532.537765577395</v>
      </c>
      <c r="W135" s="80">
        <f ca="1">Taxes!W30*W6</f>
        <v>14495.791613384839</v>
      </c>
      <c r="X135" s="80">
        <f ca="1">Taxes!X30*X6</f>
        <v>26406.364184473347</v>
      </c>
      <c r="Y135" s="80">
        <f ca="1">Taxes!Y30*Y6</f>
        <v>11577.424499842538</v>
      </c>
      <c r="Z135" s="80">
        <f ca="1">Taxes!Z30*Z6</f>
        <v>23627.673166878798</v>
      </c>
      <c r="AA135" s="80">
        <f ca="1">Taxes!AA30*AA6</f>
        <v>35720.781662890484</v>
      </c>
      <c r="AB135" s="80">
        <f ca="1">Taxes!AB30*AB6</f>
        <v>11688.967718392116</v>
      </c>
      <c r="AC135" s="80">
        <f ca="1">Taxes!AC30*AC6</f>
        <v>23917.22600625948</v>
      </c>
      <c r="AD135" s="80">
        <f ca="1">Taxes!AD30*AD6</f>
        <v>36882.134295911412</v>
      </c>
      <c r="AE135" s="80">
        <f ca="1">Taxes!AE30*AE6</f>
        <v>0</v>
      </c>
      <c r="AF135" s="80">
        <f ca="1">Taxes!AF30*AF6</f>
        <v>0</v>
      </c>
      <c r="AG135" s="80">
        <f ca="1">Taxes!AG30*AG6</f>
        <v>0</v>
      </c>
    </row>
    <row r="136" spans="1:33" s="649" customFormat="1" ht="17.25" customHeight="1" outlineLevel="1" thickBot="1">
      <c r="A136" s="894"/>
      <c r="B136" s="241"/>
      <c r="C136" s="3" t="s">
        <v>410</v>
      </c>
      <c r="D136" s="346"/>
      <c r="E136" s="346"/>
      <c r="F136" s="346"/>
      <c r="G136" s="346"/>
      <c r="H136" s="346"/>
      <c r="I136" s="725">
        <f t="shared" ref="I136:AG136" si="34">SUM(I125:I135)</f>
        <v>28000</v>
      </c>
      <c r="J136" s="725">
        <f t="shared" ca="1" si="34"/>
        <v>87902.060507577189</v>
      </c>
      <c r="K136" s="725">
        <f t="shared" ca="1" si="34"/>
        <v>102744.682948071</v>
      </c>
      <c r="L136" s="725">
        <f t="shared" ca="1" si="34"/>
        <v>75584.37928203569</v>
      </c>
      <c r="M136" s="725">
        <f t="shared" ca="1" si="34"/>
        <v>131017.62397334483</v>
      </c>
      <c r="N136" s="725">
        <f t="shared" ca="1" si="34"/>
        <v>153120.56607528302</v>
      </c>
      <c r="O136" s="725">
        <f t="shared" ca="1" si="34"/>
        <v>148344.8880163315</v>
      </c>
      <c r="P136" s="725">
        <f t="shared" ca="1" si="34"/>
        <v>139202.14082170432</v>
      </c>
      <c r="Q136" s="725">
        <f t="shared" ca="1" si="34"/>
        <v>160144.92275837559</v>
      </c>
      <c r="R136" s="725">
        <f t="shared" ca="1" si="34"/>
        <v>156016.77971847091</v>
      </c>
      <c r="S136" s="725">
        <f t="shared" ca="1" si="34"/>
        <v>143871.23931454573</v>
      </c>
      <c r="T136" s="725">
        <f t="shared" ca="1" si="34"/>
        <v>165098.09786908422</v>
      </c>
      <c r="U136" s="725">
        <f t="shared" ca="1" si="34"/>
        <v>155749.35794542535</v>
      </c>
      <c r="V136" s="725">
        <f t="shared" ca="1" si="34"/>
        <v>137508.60282999589</v>
      </c>
      <c r="W136" s="725">
        <f t="shared" ca="1" si="34"/>
        <v>150451.16154905903</v>
      </c>
      <c r="X136" s="725">
        <f t="shared" ca="1" si="34"/>
        <v>143487.03738361641</v>
      </c>
      <c r="Y136" s="725">
        <f t="shared" ca="1" si="34"/>
        <v>137783.56767192303</v>
      </c>
      <c r="Z136" s="725">
        <f t="shared" ca="1" si="34"/>
        <v>159036.01468846004</v>
      </c>
      <c r="AA136" s="725">
        <f t="shared" ca="1" si="34"/>
        <v>155178.37159430137</v>
      </c>
      <c r="AB136" s="725">
        <f t="shared" ca="1" si="34"/>
        <v>139519.93365389819</v>
      </c>
      <c r="AC136" s="725">
        <f t="shared" ca="1" si="34"/>
        <v>157488.64559106895</v>
      </c>
      <c r="AD136" s="725">
        <f t="shared" ca="1" si="34"/>
        <v>161066.05774335121</v>
      </c>
      <c r="AE136" s="725">
        <f t="shared" ca="1" si="34"/>
        <v>93</v>
      </c>
      <c r="AF136" s="725">
        <f t="shared" ca="1" si="34"/>
        <v>0</v>
      </c>
      <c r="AG136" s="725">
        <f t="shared" ca="1" si="34"/>
        <v>0</v>
      </c>
    </row>
    <row r="137" spans="1:33" s="649" customFormat="1" ht="17.25" customHeight="1" outlineLevel="1" thickTop="1">
      <c r="A137" s="894"/>
      <c r="B137" s="287"/>
      <c r="C137" s="128"/>
      <c r="D137" s="287"/>
      <c r="E137" s="287"/>
      <c r="F137" s="287"/>
      <c r="G137" s="287"/>
      <c r="H137" s="287"/>
      <c r="I137" s="329"/>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row>
    <row r="138" spans="1:33" s="649" customFormat="1" ht="17.25" customHeight="1" outlineLevel="1">
      <c r="A138" s="894"/>
      <c r="B138" s="287"/>
      <c r="C138" s="3" t="s">
        <v>412</v>
      </c>
      <c r="D138" s="346"/>
      <c r="E138" s="346"/>
      <c r="F138" s="346"/>
      <c r="G138" s="346"/>
      <c r="H138" s="346"/>
      <c r="I138" s="80">
        <f t="shared" ref="I138:AG138" si="35">I123-I136</f>
        <v>1500</v>
      </c>
      <c r="J138" s="80">
        <f t="shared" ca="1" si="35"/>
        <v>-27956.8305075772</v>
      </c>
      <c r="K138" s="80">
        <f t="shared" ca="1" si="35"/>
        <v>-34940.012948071002</v>
      </c>
      <c r="L138" s="80">
        <f t="shared" ca="1" si="35"/>
        <v>-10609.209282035692</v>
      </c>
      <c r="M138" s="80">
        <f t="shared" ca="1" si="35"/>
        <v>-16848.322373344825</v>
      </c>
      <c r="N138" s="80">
        <f t="shared" ca="1" si="35"/>
        <v>-42204.663475283014</v>
      </c>
      <c r="O138" s="80">
        <f t="shared" ca="1" si="35"/>
        <v>-30174.350936331495</v>
      </c>
      <c r="P138" s="80">
        <f t="shared" ca="1" si="35"/>
        <v>82358.943148295657</v>
      </c>
      <c r="Q138" s="80">
        <f t="shared" ca="1" si="35"/>
        <v>94312.680071624403</v>
      </c>
      <c r="R138" s="80">
        <f t="shared" ca="1" si="35"/>
        <v>96679.426461529074</v>
      </c>
      <c r="S138" s="80">
        <f t="shared" ca="1" si="35"/>
        <v>201752.07531545431</v>
      </c>
      <c r="T138" s="80">
        <f t="shared" ca="1" si="35"/>
        <v>191059.50363091577</v>
      </c>
      <c r="U138" s="80">
        <f t="shared" ca="1" si="35"/>
        <v>145879.30038457472</v>
      </c>
      <c r="V138" s="80">
        <f t="shared" ca="1" si="35"/>
        <v>77581.174020004197</v>
      </c>
      <c r="W138" s="80">
        <f t="shared" ca="1" si="35"/>
        <v>24737.874320941075</v>
      </c>
      <c r="X138" s="80">
        <f t="shared" ca="1" si="35"/>
        <v>7159.8692463836924</v>
      </c>
      <c r="Y138" s="80">
        <f t="shared" ca="1" si="35"/>
        <v>93965.791638077062</v>
      </c>
      <c r="Z138" s="80">
        <f t="shared" ca="1" si="35"/>
        <v>93515.635081540036</v>
      </c>
      <c r="AA138" s="80">
        <f t="shared" ca="1" si="35"/>
        <v>75641.918915698712</v>
      </c>
      <c r="AB138" s="80">
        <f t="shared" ca="1" si="35"/>
        <v>166867.25358610187</v>
      </c>
      <c r="AC138" s="80">
        <f t="shared" ca="1" si="35"/>
        <v>161862.50452893111</v>
      </c>
      <c r="AD138" s="80">
        <f t="shared" ca="1" si="35"/>
        <v>153410.61060664884</v>
      </c>
      <c r="AE138" s="80">
        <f t="shared" ca="1" si="35"/>
        <v>-93</v>
      </c>
      <c r="AF138" s="80">
        <f t="shared" ca="1" si="35"/>
        <v>0</v>
      </c>
      <c r="AG138" s="80">
        <f t="shared" ca="1" si="35"/>
        <v>0</v>
      </c>
    </row>
    <row r="139" spans="1:33" s="649" customFormat="1" ht="17.25" customHeight="1" outlineLevel="1">
      <c r="A139" s="894"/>
      <c r="B139" s="287"/>
      <c r="C139" s="3" t="s">
        <v>411</v>
      </c>
      <c r="D139" s="346"/>
      <c r="E139" s="346"/>
      <c r="F139" s="346"/>
      <c r="G139" s="346"/>
      <c r="H139" s="346"/>
      <c r="I139" s="439">
        <f t="shared" ref="I139:AG139" si="36">I116+I123-I136</f>
        <v>258500</v>
      </c>
      <c r="J139" s="439">
        <f t="shared" ca="1" si="36"/>
        <v>349512.61393686722</v>
      </c>
      <c r="K139" s="439">
        <f t="shared" ca="1" si="36"/>
        <v>556679.43149637349</v>
      </c>
      <c r="L139" s="439">
        <f t="shared" ca="1" si="36"/>
        <v>571493.56849574205</v>
      </c>
      <c r="M139" s="439">
        <f t="shared" ca="1" si="36"/>
        <v>595737.78873776621</v>
      </c>
      <c r="N139" s="439">
        <f t="shared" ca="1" si="36"/>
        <v>615198.1143024948</v>
      </c>
      <c r="O139" s="439">
        <f t="shared" ca="1" si="36"/>
        <v>617045.09350811294</v>
      </c>
      <c r="P139" s="439">
        <f t="shared" ca="1" si="36"/>
        <v>719395.05425940675</v>
      </c>
      <c r="Q139" s="439">
        <f t="shared" ca="1" si="36"/>
        <v>721165.45784940221</v>
      </c>
      <c r="R139" s="439">
        <f t="shared" ca="1" si="36"/>
        <v>713348.87090597348</v>
      </c>
      <c r="S139" s="439">
        <f t="shared" ca="1" si="36"/>
        <v>808238.18642656528</v>
      </c>
      <c r="T139" s="439">
        <f t="shared" ca="1" si="36"/>
        <v>787362.28140869341</v>
      </c>
      <c r="U139" s="439">
        <f t="shared" ca="1" si="36"/>
        <v>775748.74482901895</v>
      </c>
      <c r="V139" s="439">
        <f t="shared" ca="1" si="36"/>
        <v>696725.61846444837</v>
      </c>
      <c r="W139" s="439">
        <f t="shared" ca="1" si="36"/>
        <v>683157.31876538531</v>
      </c>
      <c r="X139" s="439">
        <f t="shared" ca="1" si="36"/>
        <v>654159.86924638355</v>
      </c>
      <c r="Y139" s="439">
        <f t="shared" ca="1" si="36"/>
        <v>729546.34719363251</v>
      </c>
      <c r="Z139" s="439">
        <f t="shared" ca="1" si="36"/>
        <v>717676.74619265099</v>
      </c>
      <c r="AA139" s="439">
        <f t="shared" ca="1" si="36"/>
        <v>688383.58558236528</v>
      </c>
      <c r="AB139" s="439">
        <f t="shared" ca="1" si="36"/>
        <v>768189.47580832394</v>
      </c>
      <c r="AC139" s="439">
        <f t="shared" ca="1" si="36"/>
        <v>751765.28230670886</v>
      </c>
      <c r="AD139" s="439">
        <f t="shared" ca="1" si="36"/>
        <v>731893.94393998221</v>
      </c>
      <c r="AE139" s="439">
        <f t="shared" ca="1" si="36"/>
        <v>-93</v>
      </c>
      <c r="AF139" s="439">
        <f t="shared" ca="1" si="36"/>
        <v>0</v>
      </c>
      <c r="AG139" s="439">
        <f t="shared" ca="1" si="36"/>
        <v>0</v>
      </c>
    </row>
    <row r="140" spans="1:33" s="649" customFormat="1" ht="17.25" customHeight="1" outlineLevel="1">
      <c r="A140" s="894"/>
      <c r="B140" s="287"/>
      <c r="C140" s="128"/>
      <c r="D140" s="287" t="s">
        <v>436</v>
      </c>
      <c r="E140" s="287"/>
      <c r="F140" s="287"/>
      <c r="G140" s="287"/>
      <c r="H140" s="528"/>
      <c r="I140" s="329"/>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row>
    <row r="141" spans="1:33" s="649" customFormat="1" ht="17.25" customHeight="1" outlineLevel="1">
      <c r="A141" s="894"/>
      <c r="B141" s="241"/>
      <c r="C141" s="40" t="str">
        <f>C92</f>
        <v>Debt Facilities (at model start)</v>
      </c>
      <c r="D141" s="685">
        <f>IF(MIN(J141:AG141)&lt;0,1,0)</f>
        <v>0</v>
      </c>
      <c r="E141" s="126"/>
      <c r="F141" s="126"/>
      <c r="G141" s="126"/>
      <c r="H141" s="183"/>
      <c r="I141" s="147">
        <f>Inputs!$F$242</f>
        <v>222000</v>
      </c>
      <c r="J141" s="80">
        <f>Financing!J147*J6</f>
        <v>222000</v>
      </c>
      <c r="K141" s="80">
        <f>Financing!K147*K6</f>
        <v>222000</v>
      </c>
      <c r="L141" s="80">
        <f>Financing!L147*L6</f>
        <v>217000</v>
      </c>
      <c r="M141" s="80">
        <f>Financing!M147*M6</f>
        <v>217000</v>
      </c>
      <c r="N141" s="80">
        <f>Financing!N147*N6</f>
        <v>217000</v>
      </c>
      <c r="O141" s="80">
        <f>Financing!O147*O6</f>
        <v>212000</v>
      </c>
      <c r="P141" s="80">
        <f>Financing!P147*P6</f>
        <v>212000</v>
      </c>
      <c r="Q141" s="80">
        <f>Financing!Q147*Q6</f>
        <v>212000</v>
      </c>
      <c r="R141" s="80">
        <f>Financing!R147*R6</f>
        <v>207000</v>
      </c>
      <c r="S141" s="80">
        <f>Financing!S147*S6</f>
        <v>207000</v>
      </c>
      <c r="T141" s="80">
        <f>Financing!T147*T6</f>
        <v>207000</v>
      </c>
      <c r="U141" s="80">
        <f>Financing!U147*U6</f>
        <v>202000</v>
      </c>
      <c r="V141" s="80">
        <f>Financing!V147*V6</f>
        <v>202000</v>
      </c>
      <c r="W141" s="80">
        <f>Financing!W147*W6</f>
        <v>202000</v>
      </c>
      <c r="X141" s="80">
        <f>Financing!X147*X6</f>
        <v>197000</v>
      </c>
      <c r="Y141" s="80">
        <f>Financing!Y147*Y6</f>
        <v>197000</v>
      </c>
      <c r="Z141" s="80">
        <f>Financing!Z147*Z6</f>
        <v>197000</v>
      </c>
      <c r="AA141" s="80">
        <f>Financing!AA147*AA6</f>
        <v>192000</v>
      </c>
      <c r="AB141" s="80">
        <f>Financing!AB147*AB6</f>
        <v>192000</v>
      </c>
      <c r="AC141" s="80">
        <f>Financing!AC147*AC6</f>
        <v>192000</v>
      </c>
      <c r="AD141" s="80">
        <f>Financing!AD147*AD6</f>
        <v>187000</v>
      </c>
      <c r="AE141" s="80">
        <f>Financing!AE147*AE6</f>
        <v>0</v>
      </c>
      <c r="AF141" s="80">
        <f>Financing!AF147*AF6</f>
        <v>0</v>
      </c>
      <c r="AG141" s="80">
        <f>Financing!AG147*AG6</f>
        <v>0</v>
      </c>
    </row>
    <row r="142" spans="1:33" s="649" customFormat="1" ht="17.25" customHeight="1" outlineLevel="1">
      <c r="A142" s="894"/>
      <c r="B142" s="241"/>
      <c r="C142" s="40" t="str">
        <f>C93</f>
        <v>Debt 1: UL Bank</v>
      </c>
      <c r="D142" s="685">
        <f ca="1">IF(MIN(J142:AG142)&lt;0,1,0)</f>
        <v>0</v>
      </c>
      <c r="E142" s="126"/>
      <c r="F142" s="126"/>
      <c r="G142" s="126"/>
      <c r="H142" s="183"/>
      <c r="I142" s="80"/>
      <c r="J142" s="80">
        <f ca="1">Financing!J100*J6</f>
        <v>794.74024999998801</v>
      </c>
      <c r="K142" s="80">
        <f ca="1">Financing!K100*K6</f>
        <v>80000</v>
      </c>
      <c r="L142" s="80">
        <f ca="1">Financing!L100*L6</f>
        <v>80000</v>
      </c>
      <c r="M142" s="80">
        <f ca="1">Financing!M100*M6</f>
        <v>80000</v>
      </c>
      <c r="N142" s="80">
        <f ca="1">Financing!N100*N6</f>
        <v>80000</v>
      </c>
      <c r="O142" s="80">
        <f ca="1">Financing!O100*O6</f>
        <v>80000</v>
      </c>
      <c r="P142" s="80">
        <f ca="1">Financing!P100*P6</f>
        <v>80000</v>
      </c>
      <c r="Q142" s="80">
        <f ca="1">Financing!Q100*Q6</f>
        <v>80000</v>
      </c>
      <c r="R142" s="80">
        <f ca="1">Financing!R100*R6</f>
        <v>80000</v>
      </c>
      <c r="S142" s="80">
        <f ca="1">Financing!S100*S6</f>
        <v>80000</v>
      </c>
      <c r="T142" s="80">
        <f ca="1">Financing!T100*T6</f>
        <v>80000</v>
      </c>
      <c r="U142" s="80">
        <f ca="1">Financing!U100*U6</f>
        <v>80000</v>
      </c>
      <c r="V142" s="80">
        <f ca="1">Financing!V100*V6</f>
        <v>80000</v>
      </c>
      <c r="W142" s="80">
        <f ca="1">Financing!W100*W6</f>
        <v>80000</v>
      </c>
      <c r="X142" s="80">
        <f ca="1">Financing!X100*X6</f>
        <v>80000</v>
      </c>
      <c r="Y142" s="80">
        <f ca="1">Financing!Y100*Y6</f>
        <v>80000</v>
      </c>
      <c r="Z142" s="80">
        <f ca="1">Financing!Z100*Z6</f>
        <v>80000</v>
      </c>
      <c r="AA142" s="80">
        <f ca="1">Financing!AA100*AA6</f>
        <v>80000</v>
      </c>
      <c r="AB142" s="80">
        <f ca="1">Financing!AB100*AB6</f>
        <v>80000</v>
      </c>
      <c r="AC142" s="80">
        <f ca="1">Financing!AC100*AC6</f>
        <v>80000</v>
      </c>
      <c r="AD142" s="80">
        <f ca="1">Financing!AD100*AD6</f>
        <v>78237.76816925389</v>
      </c>
      <c r="AE142" s="80">
        <f ca="1">Financing!AE100*AE6</f>
        <v>0</v>
      </c>
      <c r="AF142" s="80">
        <f ca="1">Financing!AF100*AF6</f>
        <v>0</v>
      </c>
      <c r="AG142" s="80">
        <f ca="1">Financing!AG100*AG6</f>
        <v>0</v>
      </c>
    </row>
    <row r="143" spans="1:33" s="649" customFormat="1" ht="17.25" customHeight="1" outlineLevel="1">
      <c r="A143" s="894"/>
      <c r="B143" s="241"/>
      <c r="C143" s="40" t="str">
        <f>C94</f>
        <v>Debt 2: HSBC Bank</v>
      </c>
      <c r="D143" s="685">
        <f>IF(MIN(J143:AG143)&lt;0,1,0)</f>
        <v>0</v>
      </c>
      <c r="E143" s="126"/>
      <c r="F143" s="80"/>
      <c r="G143" s="126"/>
      <c r="H143" s="183"/>
      <c r="I143" s="80"/>
      <c r="J143" s="80">
        <f>Financing!J118*J6</f>
        <v>0</v>
      </c>
      <c r="K143" s="80">
        <f>Financing!K118*K6</f>
        <v>40000</v>
      </c>
      <c r="L143" s="80">
        <f>Financing!L118*L6</f>
        <v>40000</v>
      </c>
      <c r="M143" s="80">
        <f>Financing!M118*M6</f>
        <v>40000</v>
      </c>
      <c r="N143" s="80">
        <f>Financing!N118*N6</f>
        <v>40000</v>
      </c>
      <c r="O143" s="80">
        <f>Financing!O118*O6</f>
        <v>40000</v>
      </c>
      <c r="P143" s="80">
        <f>Financing!P118*P6</f>
        <v>40000</v>
      </c>
      <c r="Q143" s="80">
        <f>Financing!Q118*Q6</f>
        <v>40000</v>
      </c>
      <c r="R143" s="80">
        <f>Financing!R118*R6</f>
        <v>40000</v>
      </c>
      <c r="S143" s="80">
        <f>Financing!S118*S6</f>
        <v>40000</v>
      </c>
      <c r="T143" s="80">
        <f>Financing!T118*T6</f>
        <v>30000</v>
      </c>
      <c r="U143" s="80">
        <f>Financing!U118*U6</f>
        <v>30000</v>
      </c>
      <c r="V143" s="80">
        <f>Financing!V118*V6</f>
        <v>30000</v>
      </c>
      <c r="W143" s="80">
        <f>Financing!W118*W6</f>
        <v>30000</v>
      </c>
      <c r="X143" s="80">
        <f>Financing!X118*X6</f>
        <v>30000</v>
      </c>
      <c r="Y143" s="80">
        <f>Financing!Y118*Y6</f>
        <v>30000</v>
      </c>
      <c r="Z143" s="80">
        <f>Financing!Z118*Z6</f>
        <v>30000</v>
      </c>
      <c r="AA143" s="80">
        <f>Financing!AA118*AA6</f>
        <v>20000</v>
      </c>
      <c r="AB143" s="80">
        <f>Financing!AB118*AB6</f>
        <v>20000</v>
      </c>
      <c r="AC143" s="80">
        <f>Financing!AC118*AC6</f>
        <v>20000</v>
      </c>
      <c r="AD143" s="80">
        <f>Financing!AD118*AD6</f>
        <v>20000</v>
      </c>
      <c r="AE143" s="80">
        <f>Financing!AE118*AE6</f>
        <v>0</v>
      </c>
      <c r="AF143" s="80">
        <f>Financing!AF118*AF6</f>
        <v>0</v>
      </c>
      <c r="AG143" s="80">
        <f>Financing!AG118*AG6</f>
        <v>0</v>
      </c>
    </row>
    <row r="144" spans="1:33" s="649" customFormat="1" ht="17.25" customHeight="1" outlineLevel="1">
      <c r="A144" s="894"/>
      <c r="B144" s="241"/>
      <c r="C144" s="40" t="str">
        <f>C95</f>
        <v>Debt 3: UBS</v>
      </c>
      <c r="D144" s="685">
        <f>IF(MIN(J144:AG144)&lt;0,1,0)</f>
        <v>0</v>
      </c>
      <c r="E144" s="126"/>
      <c r="F144" s="126"/>
      <c r="G144" s="126"/>
      <c r="H144" s="183"/>
      <c r="I144" s="80"/>
      <c r="J144" s="80">
        <f>Financing!J128*J6</f>
        <v>0</v>
      </c>
      <c r="K144" s="80">
        <f>Financing!K128*K6</f>
        <v>60000</v>
      </c>
      <c r="L144" s="80">
        <f>Financing!L128*L6</f>
        <v>60000</v>
      </c>
      <c r="M144" s="80">
        <f>Financing!M128*M6</f>
        <v>60000</v>
      </c>
      <c r="N144" s="80">
        <f>Financing!N128*N6</f>
        <v>60000</v>
      </c>
      <c r="O144" s="80">
        <f>Financing!O128*O6</f>
        <v>60000</v>
      </c>
      <c r="P144" s="80">
        <f>Financing!P128*P6</f>
        <v>60000</v>
      </c>
      <c r="Q144" s="80">
        <f>Financing!Q128*Q6</f>
        <v>60000</v>
      </c>
      <c r="R144" s="80">
        <f>Financing!R128*R6</f>
        <v>60000</v>
      </c>
      <c r="S144" s="80">
        <f>Financing!S128*S6</f>
        <v>60000</v>
      </c>
      <c r="T144" s="80">
        <f>Financing!T128*T6</f>
        <v>60000</v>
      </c>
      <c r="U144" s="80">
        <f>Financing!U128*U6</f>
        <v>60000</v>
      </c>
      <c r="V144" s="80">
        <f>Financing!V128*V6</f>
        <v>60000</v>
      </c>
      <c r="W144" s="80">
        <f>Financing!W128*W6</f>
        <v>60000</v>
      </c>
      <c r="X144" s="80">
        <f>Financing!X128*X6</f>
        <v>50000</v>
      </c>
      <c r="Y144" s="80">
        <f>Financing!Y128*Y6</f>
        <v>50000</v>
      </c>
      <c r="Z144" s="80">
        <f>Financing!Z128*Z6</f>
        <v>50000</v>
      </c>
      <c r="AA144" s="80">
        <f>Financing!AA128*AA6</f>
        <v>50000</v>
      </c>
      <c r="AB144" s="80">
        <f>Financing!AB128*AB6</f>
        <v>50000</v>
      </c>
      <c r="AC144" s="80">
        <f>Financing!AC128*AC6</f>
        <v>50000</v>
      </c>
      <c r="AD144" s="80">
        <f>Financing!AD128*AD6</f>
        <v>50000</v>
      </c>
      <c r="AE144" s="80">
        <f>Financing!AE128*AE6</f>
        <v>0</v>
      </c>
      <c r="AF144" s="80">
        <f>Financing!AF128*AF6</f>
        <v>0</v>
      </c>
      <c r="AG144" s="80">
        <f>Financing!AG128*AG6</f>
        <v>0</v>
      </c>
    </row>
    <row r="145" spans="1:33" s="649" customFormat="1" ht="17.25" customHeight="1" outlineLevel="1">
      <c r="A145" s="894"/>
      <c r="B145" s="241"/>
      <c r="C145" s="40" t="str">
        <f>C96</f>
        <v>Debt 4: Shareholder Loan</v>
      </c>
      <c r="D145" s="685">
        <f>IF(MIN(J145:AG145)&lt;0,1,0)</f>
        <v>0</v>
      </c>
      <c r="E145" s="126"/>
      <c r="F145" s="126"/>
      <c r="G145" s="126"/>
      <c r="H145" s="183"/>
      <c r="I145" s="80"/>
      <c r="J145" s="80">
        <f>Financing!J138*J6</f>
        <v>0</v>
      </c>
      <c r="K145" s="80">
        <f>Financing!K138*K6</f>
        <v>7500</v>
      </c>
      <c r="L145" s="80">
        <f>Financing!L138*L6</f>
        <v>7500</v>
      </c>
      <c r="M145" s="80">
        <f>Financing!M138*M6</f>
        <v>7500</v>
      </c>
      <c r="N145" s="80">
        <f>Financing!N138*N6</f>
        <v>7500</v>
      </c>
      <c r="O145" s="80">
        <f>Financing!O138*O6</f>
        <v>7500</v>
      </c>
      <c r="P145" s="80">
        <f>Financing!P138*P6</f>
        <v>7500</v>
      </c>
      <c r="Q145" s="80">
        <f>Financing!Q138*Q6</f>
        <v>7500</v>
      </c>
      <c r="R145" s="80">
        <f>Financing!R138*R6</f>
        <v>7500</v>
      </c>
      <c r="S145" s="80">
        <f>Financing!S138*S6</f>
        <v>7500</v>
      </c>
      <c r="T145" s="80">
        <f>Financing!T138*T6</f>
        <v>7500</v>
      </c>
      <c r="U145" s="80">
        <f>Financing!U138*U6</f>
        <v>7500</v>
      </c>
      <c r="V145" s="80">
        <f>Financing!V138*V6</f>
        <v>7500</v>
      </c>
      <c r="W145" s="80">
        <f>Financing!W138*W6</f>
        <v>7500</v>
      </c>
      <c r="X145" s="80">
        <f>Financing!X138*X6</f>
        <v>7500</v>
      </c>
      <c r="Y145" s="80">
        <f>Financing!Y138*Y6</f>
        <v>0</v>
      </c>
      <c r="Z145" s="80">
        <f>Financing!Z138*Z6</f>
        <v>0</v>
      </c>
      <c r="AA145" s="80">
        <f>Financing!AA138*AA6</f>
        <v>0</v>
      </c>
      <c r="AB145" s="80">
        <f>Financing!AB138*AB6</f>
        <v>0</v>
      </c>
      <c r="AC145" s="80">
        <f>Financing!AC138*AC6</f>
        <v>0</v>
      </c>
      <c r="AD145" s="80">
        <f>Financing!AD138*AD6</f>
        <v>0</v>
      </c>
      <c r="AE145" s="80">
        <f>Financing!AE138*AE6</f>
        <v>0</v>
      </c>
      <c r="AF145" s="80">
        <f>Financing!AF138*AF6</f>
        <v>0</v>
      </c>
      <c r="AG145" s="80">
        <f>Financing!AG138*AG6</f>
        <v>0</v>
      </c>
    </row>
    <row r="146" spans="1:33" s="649" customFormat="1" ht="17.25" customHeight="1" outlineLevel="1" thickBot="1">
      <c r="A146" s="894"/>
      <c r="B146" s="241"/>
      <c r="C146" s="3" t="s">
        <v>408</v>
      </c>
      <c r="D146" s="346"/>
      <c r="E146" s="346"/>
      <c r="F146" s="346"/>
      <c r="G146" s="346"/>
      <c r="H146" s="346"/>
      <c r="I146" s="725">
        <f t="shared" ref="I146:AG146" si="37">SUM(I141:I145)</f>
        <v>222000</v>
      </c>
      <c r="J146" s="725">
        <f t="shared" ca="1" si="37"/>
        <v>222794.74024999997</v>
      </c>
      <c r="K146" s="725">
        <f t="shared" ca="1" si="37"/>
        <v>409500</v>
      </c>
      <c r="L146" s="725">
        <f t="shared" ca="1" si="37"/>
        <v>404500</v>
      </c>
      <c r="M146" s="725">
        <f t="shared" ca="1" si="37"/>
        <v>404500</v>
      </c>
      <c r="N146" s="725">
        <f t="shared" ca="1" si="37"/>
        <v>404500</v>
      </c>
      <c r="O146" s="725">
        <f t="shared" ca="1" si="37"/>
        <v>399500</v>
      </c>
      <c r="P146" s="725">
        <f t="shared" ca="1" si="37"/>
        <v>399500</v>
      </c>
      <c r="Q146" s="725">
        <f t="shared" ca="1" si="37"/>
        <v>399500</v>
      </c>
      <c r="R146" s="725">
        <f t="shared" ca="1" si="37"/>
        <v>394500</v>
      </c>
      <c r="S146" s="725">
        <f t="shared" ca="1" si="37"/>
        <v>394500</v>
      </c>
      <c r="T146" s="725">
        <f t="shared" ca="1" si="37"/>
        <v>384500</v>
      </c>
      <c r="U146" s="725">
        <f t="shared" ca="1" si="37"/>
        <v>379500</v>
      </c>
      <c r="V146" s="725">
        <f t="shared" ca="1" si="37"/>
        <v>379500</v>
      </c>
      <c r="W146" s="725">
        <f t="shared" ca="1" si="37"/>
        <v>379500</v>
      </c>
      <c r="X146" s="725">
        <f t="shared" ca="1" si="37"/>
        <v>364500</v>
      </c>
      <c r="Y146" s="725">
        <f t="shared" ca="1" si="37"/>
        <v>357000</v>
      </c>
      <c r="Z146" s="725">
        <f t="shared" ca="1" si="37"/>
        <v>357000</v>
      </c>
      <c r="AA146" s="725">
        <f t="shared" ca="1" si="37"/>
        <v>342000</v>
      </c>
      <c r="AB146" s="725">
        <f t="shared" ca="1" si="37"/>
        <v>342000</v>
      </c>
      <c r="AC146" s="725">
        <f t="shared" ca="1" si="37"/>
        <v>342000</v>
      </c>
      <c r="AD146" s="725">
        <f t="shared" ca="1" si="37"/>
        <v>335237.76816925389</v>
      </c>
      <c r="AE146" s="725">
        <f t="shared" ca="1" si="37"/>
        <v>0</v>
      </c>
      <c r="AF146" s="725">
        <f t="shared" ca="1" si="37"/>
        <v>0</v>
      </c>
      <c r="AG146" s="725">
        <f t="shared" ca="1" si="37"/>
        <v>0</v>
      </c>
    </row>
    <row r="147" spans="1:33" s="649" customFormat="1" ht="17.25" customHeight="1" outlineLevel="1" thickTop="1">
      <c r="A147" s="894"/>
      <c r="B147" s="287"/>
      <c r="C147" s="128"/>
      <c r="D147" s="287"/>
      <c r="E147" s="287"/>
      <c r="F147" s="287"/>
      <c r="G147" s="287"/>
      <c r="H147" s="287"/>
      <c r="I147" s="329"/>
      <c r="J147" s="329"/>
      <c r="K147" s="329"/>
      <c r="L147" s="329"/>
      <c r="M147" s="329"/>
      <c r="N147" s="329"/>
      <c r="O147" s="329"/>
      <c r="P147" s="329"/>
      <c r="Q147" s="329"/>
      <c r="R147" s="329"/>
      <c r="S147" s="329"/>
      <c r="T147" s="329"/>
      <c r="U147" s="329"/>
      <c r="V147" s="329"/>
      <c r="W147" s="329"/>
      <c r="X147" s="329"/>
      <c r="Y147" s="329"/>
      <c r="Z147" s="329"/>
      <c r="AA147" s="329"/>
      <c r="AB147" s="329"/>
      <c r="AC147" s="329"/>
      <c r="AD147" s="329"/>
      <c r="AE147" s="329"/>
      <c r="AF147" s="329"/>
      <c r="AG147" s="329"/>
    </row>
    <row r="148" spans="1:33" s="649" customFormat="1" ht="17.25" customHeight="1" outlineLevel="1" thickBot="1">
      <c r="A148" s="894"/>
      <c r="B148" s="287"/>
      <c r="C148" s="3" t="s">
        <v>407</v>
      </c>
      <c r="D148" s="346"/>
      <c r="E148" s="346"/>
      <c r="F148" s="346"/>
      <c r="G148" s="346"/>
      <c r="H148" s="346"/>
      <c r="I148" s="726">
        <f t="shared" ref="I148:AG148" si="38">I139-I146</f>
        <v>36500</v>
      </c>
      <c r="J148" s="726">
        <f ca="1">J139-J146</f>
        <v>126717.87368686724</v>
      </c>
      <c r="K148" s="726">
        <f t="shared" ca="1" si="38"/>
        <v>147179.43149637349</v>
      </c>
      <c r="L148" s="726">
        <f t="shared" ca="1" si="38"/>
        <v>166993.56849574205</v>
      </c>
      <c r="M148" s="726">
        <f t="shared" ca="1" si="38"/>
        <v>191237.78873776621</v>
      </c>
      <c r="N148" s="726">
        <f t="shared" ca="1" si="38"/>
        <v>210698.1143024948</v>
      </c>
      <c r="O148" s="726">
        <f t="shared" ca="1" si="38"/>
        <v>217545.09350811294</v>
      </c>
      <c r="P148" s="726">
        <f t="shared" ca="1" si="38"/>
        <v>319895.05425940675</v>
      </c>
      <c r="Q148" s="726">
        <f t="shared" ca="1" si="38"/>
        <v>321665.45784940221</v>
      </c>
      <c r="R148" s="726">
        <f t="shared" ca="1" si="38"/>
        <v>318848.87090597348</v>
      </c>
      <c r="S148" s="726">
        <f t="shared" ca="1" si="38"/>
        <v>413738.18642656528</v>
      </c>
      <c r="T148" s="726">
        <f t="shared" ca="1" si="38"/>
        <v>402862.28140869341</v>
      </c>
      <c r="U148" s="726">
        <f t="shared" ca="1" si="38"/>
        <v>396248.74482901895</v>
      </c>
      <c r="V148" s="726">
        <f t="shared" ca="1" si="38"/>
        <v>317225.61846444837</v>
      </c>
      <c r="W148" s="726">
        <f t="shared" ca="1" si="38"/>
        <v>303657.31876538531</v>
      </c>
      <c r="X148" s="726">
        <f t="shared" ca="1" si="38"/>
        <v>289659.86924638355</v>
      </c>
      <c r="Y148" s="726">
        <f t="shared" ca="1" si="38"/>
        <v>372546.34719363251</v>
      </c>
      <c r="Z148" s="726">
        <f t="shared" ca="1" si="38"/>
        <v>360676.74619265099</v>
      </c>
      <c r="AA148" s="726">
        <f t="shared" ca="1" si="38"/>
        <v>346383.58558236528</v>
      </c>
      <c r="AB148" s="726">
        <f t="shared" ca="1" si="38"/>
        <v>426189.47580832394</v>
      </c>
      <c r="AC148" s="726">
        <f t="shared" ca="1" si="38"/>
        <v>409765.28230670886</v>
      </c>
      <c r="AD148" s="726">
        <f t="shared" ca="1" si="38"/>
        <v>396656.17577072833</v>
      </c>
      <c r="AE148" s="726">
        <f t="shared" ca="1" si="38"/>
        <v>-93</v>
      </c>
      <c r="AF148" s="726">
        <f t="shared" ca="1" si="38"/>
        <v>0</v>
      </c>
      <c r="AG148" s="726">
        <f t="shared" ca="1" si="38"/>
        <v>0</v>
      </c>
    </row>
    <row r="149" spans="1:33" s="649" customFormat="1" ht="17.25" customHeight="1" outlineLevel="1" thickTop="1">
      <c r="A149" s="894"/>
      <c r="B149" s="287"/>
      <c r="C149" s="128"/>
      <c r="D149" s="287"/>
      <c r="E149" s="287"/>
      <c r="F149" s="287"/>
      <c r="G149" s="287"/>
      <c r="H149" s="287"/>
      <c r="I149" s="329"/>
      <c r="J149" s="329"/>
      <c r="K149" s="329"/>
      <c r="L149" s="329"/>
      <c r="M149" s="329"/>
      <c r="N149" s="329"/>
      <c r="O149" s="329"/>
      <c r="P149" s="329"/>
      <c r="Q149" s="329"/>
      <c r="R149" s="329"/>
      <c r="S149" s="329"/>
      <c r="T149" s="329"/>
      <c r="U149" s="329"/>
      <c r="V149" s="329"/>
      <c r="W149" s="329"/>
      <c r="X149" s="329"/>
      <c r="Y149" s="329"/>
      <c r="Z149" s="329"/>
      <c r="AA149" s="329"/>
      <c r="AB149" s="329"/>
      <c r="AC149" s="329"/>
      <c r="AD149" s="329"/>
      <c r="AE149" s="329"/>
      <c r="AF149" s="329"/>
      <c r="AG149" s="329"/>
    </row>
    <row r="150" spans="1:33" ht="17.25" customHeight="1" outlineLevel="1">
      <c r="A150" s="894"/>
      <c r="B150" s="287"/>
      <c r="C150" s="40" t="str">
        <f>C90</f>
        <v>Share Capital</v>
      </c>
      <c r="D150" s="831"/>
      <c r="E150" s="831"/>
      <c r="F150" s="831"/>
      <c r="G150" s="831"/>
      <c r="H150" s="126"/>
      <c r="I150" s="147">
        <f>Inputs!$F$247</f>
        <v>70000</v>
      </c>
      <c r="J150" s="80">
        <f ca="1">Financing!J84</f>
        <v>145000</v>
      </c>
      <c r="K150" s="80">
        <f ca="1">Financing!K84</f>
        <v>145000</v>
      </c>
      <c r="L150" s="80">
        <f ca="1">Financing!L84</f>
        <v>145000</v>
      </c>
      <c r="M150" s="80">
        <f ca="1">Financing!M84</f>
        <v>145000</v>
      </c>
      <c r="N150" s="80">
        <f ca="1">Financing!N84</f>
        <v>145000</v>
      </c>
      <c r="O150" s="80">
        <f ca="1">Financing!O84</f>
        <v>145000</v>
      </c>
      <c r="P150" s="80">
        <f ca="1">Financing!P84</f>
        <v>145000</v>
      </c>
      <c r="Q150" s="80">
        <f ca="1">Financing!Q84</f>
        <v>145000</v>
      </c>
      <c r="R150" s="80">
        <f ca="1">Financing!R84</f>
        <v>145000</v>
      </c>
      <c r="S150" s="80">
        <f ca="1">Financing!S84</f>
        <v>145000</v>
      </c>
      <c r="T150" s="80">
        <f ca="1">Financing!T84</f>
        <v>145000</v>
      </c>
      <c r="U150" s="80">
        <f ca="1">Financing!U84</f>
        <v>145000</v>
      </c>
      <c r="V150" s="80">
        <f ca="1">Financing!V84</f>
        <v>145000</v>
      </c>
      <c r="W150" s="80">
        <f ca="1">Financing!W84</f>
        <v>145000</v>
      </c>
      <c r="X150" s="80">
        <f ca="1">Financing!X84</f>
        <v>145000</v>
      </c>
      <c r="Y150" s="80">
        <f ca="1">Financing!Y84</f>
        <v>145000</v>
      </c>
      <c r="Z150" s="80">
        <f ca="1">Financing!Z84</f>
        <v>145000</v>
      </c>
      <c r="AA150" s="80">
        <f ca="1">Financing!AA84</f>
        <v>145000</v>
      </c>
      <c r="AB150" s="80">
        <f ca="1">Financing!AB84</f>
        <v>145000</v>
      </c>
      <c r="AC150" s="80">
        <f ca="1">Financing!AC84</f>
        <v>145000</v>
      </c>
      <c r="AD150" s="80">
        <f ca="1">Financing!AD84</f>
        <v>145000</v>
      </c>
      <c r="AE150" s="80">
        <f ca="1">Financing!AE84</f>
        <v>0</v>
      </c>
      <c r="AF150" s="80">
        <f ca="1">Financing!AF84</f>
        <v>0</v>
      </c>
      <c r="AG150" s="80">
        <f ca="1">Financing!AG84</f>
        <v>0</v>
      </c>
    </row>
    <row r="151" spans="1:33" ht="17.25" customHeight="1" outlineLevel="1">
      <c r="A151" s="894"/>
      <c r="B151" s="241"/>
      <c r="C151" s="117" t="s">
        <v>413</v>
      </c>
      <c r="D151" s="831"/>
      <c r="E151" s="831"/>
      <c r="F151" s="831"/>
      <c r="G151" s="831"/>
      <c r="H151" s="126"/>
      <c r="I151" s="147">
        <f>Inputs!$F$248</f>
        <v>-33500</v>
      </c>
      <c r="J151" s="80">
        <f t="shared" ref="J151:AG151" ca="1" si="39">J56</f>
        <v>-18282.126313132743</v>
      </c>
      <c r="K151" s="80">
        <f t="shared" ca="1" si="39"/>
        <v>2179.4314963733923</v>
      </c>
      <c r="L151" s="80">
        <f t="shared" ca="1" si="39"/>
        <v>21993.568495742016</v>
      </c>
      <c r="M151" s="80">
        <f t="shared" ca="1" si="39"/>
        <v>46237.788737132883</v>
      </c>
      <c r="N151" s="80">
        <f t="shared" ca="1" si="39"/>
        <v>65698.114303792245</v>
      </c>
      <c r="O151" s="80">
        <f t="shared" ca="1" si="39"/>
        <v>72545.09351246804</v>
      </c>
      <c r="P151" s="80">
        <f t="shared" ca="1" si="39"/>
        <v>174895.05426308603</v>
      </c>
      <c r="Q151" s="80">
        <f t="shared" ca="1" si="39"/>
        <v>176665.45784885072</v>
      </c>
      <c r="R151" s="80">
        <f t="shared" ca="1" si="39"/>
        <v>173848.87090912097</v>
      </c>
      <c r="S151" s="80">
        <f t="shared" ca="1" si="39"/>
        <v>268738.18643387617</v>
      </c>
      <c r="T151" s="80">
        <f t="shared" ca="1" si="39"/>
        <v>257862.28141191293</v>
      </c>
      <c r="U151" s="80">
        <f t="shared" ca="1" si="39"/>
        <v>251248.74482861618</v>
      </c>
      <c r="V151" s="80">
        <f t="shared" ca="1" si="39"/>
        <v>172225.61846298372</v>
      </c>
      <c r="W151" s="80">
        <f t="shared" ca="1" si="39"/>
        <v>158657.31876071473</v>
      </c>
      <c r="X151" s="80">
        <f t="shared" ca="1" si="39"/>
        <v>144659.86924298713</v>
      </c>
      <c r="Y151" s="80">
        <f t="shared" ca="1" si="39"/>
        <v>227546.34719286015</v>
      </c>
      <c r="Z151" s="80">
        <f t="shared" ca="1" si="39"/>
        <v>215676.74619249476</v>
      </c>
      <c r="AA151" s="80">
        <f t="shared" ca="1" si="39"/>
        <v>201383.58558509371</v>
      </c>
      <c r="AB151" s="80">
        <f t="shared" ca="1" si="39"/>
        <v>281189.47581240698</v>
      </c>
      <c r="AC151" s="80">
        <f t="shared" ca="1" si="39"/>
        <v>264765.28230812238</v>
      </c>
      <c r="AD151" s="80">
        <f t="shared" ca="1" si="39"/>
        <v>251656.17577417989</v>
      </c>
      <c r="AE151" s="80">
        <f t="shared" ca="1" si="39"/>
        <v>0</v>
      </c>
      <c r="AF151" s="80">
        <f t="shared" ca="1" si="39"/>
        <v>0</v>
      </c>
      <c r="AG151" s="80">
        <f t="shared" ca="1" si="39"/>
        <v>0</v>
      </c>
    </row>
    <row r="152" spans="1:33" ht="17.25" customHeight="1" outlineLevel="1" thickBot="1">
      <c r="A152" s="894"/>
      <c r="B152" s="241"/>
      <c r="C152" s="3" t="s">
        <v>414</v>
      </c>
      <c r="D152" s="346"/>
      <c r="E152" s="346"/>
      <c r="F152" s="346"/>
      <c r="G152" s="346"/>
      <c r="H152" s="346"/>
      <c r="I152" s="726">
        <f t="shared" ref="I152:AG152" si="40">SUM(I150:I151)</f>
        <v>36500</v>
      </c>
      <c r="J152" s="726">
        <f t="shared" ca="1" si="40"/>
        <v>126717.87368686726</v>
      </c>
      <c r="K152" s="726">
        <f t="shared" ca="1" si="40"/>
        <v>147179.43149637338</v>
      </c>
      <c r="L152" s="726">
        <f t="shared" ca="1" si="40"/>
        <v>166993.56849574202</v>
      </c>
      <c r="M152" s="726">
        <f t="shared" ca="1" si="40"/>
        <v>191237.78873713288</v>
      </c>
      <c r="N152" s="726">
        <f t="shared" ca="1" si="40"/>
        <v>210698.11430379224</v>
      </c>
      <c r="O152" s="726">
        <f t="shared" ca="1" si="40"/>
        <v>217545.09351246804</v>
      </c>
      <c r="P152" s="726">
        <f t="shared" ca="1" si="40"/>
        <v>319895.05426308606</v>
      </c>
      <c r="Q152" s="726">
        <f t="shared" ca="1" si="40"/>
        <v>321665.45784885075</v>
      </c>
      <c r="R152" s="726">
        <f t="shared" ca="1" si="40"/>
        <v>318848.870909121</v>
      </c>
      <c r="S152" s="726">
        <f t="shared" ca="1" si="40"/>
        <v>413738.18643387617</v>
      </c>
      <c r="T152" s="726">
        <f t="shared" ca="1" si="40"/>
        <v>402862.28141191293</v>
      </c>
      <c r="U152" s="726">
        <f t="shared" ca="1" si="40"/>
        <v>396248.74482861615</v>
      </c>
      <c r="V152" s="726">
        <f t="shared" ca="1" si="40"/>
        <v>317225.61846298375</v>
      </c>
      <c r="W152" s="726">
        <f t="shared" ca="1" si="40"/>
        <v>303657.31876071473</v>
      </c>
      <c r="X152" s="726">
        <f t="shared" ca="1" si="40"/>
        <v>289659.86924298713</v>
      </c>
      <c r="Y152" s="726">
        <f t="shared" ca="1" si="40"/>
        <v>372546.34719286015</v>
      </c>
      <c r="Z152" s="726">
        <f t="shared" ca="1" si="40"/>
        <v>360676.74619249476</v>
      </c>
      <c r="AA152" s="726">
        <f t="shared" ca="1" si="40"/>
        <v>346383.58558509371</v>
      </c>
      <c r="AB152" s="726">
        <f t="shared" ca="1" si="40"/>
        <v>426189.47581240698</v>
      </c>
      <c r="AC152" s="726">
        <f t="shared" ca="1" si="40"/>
        <v>409765.28230812238</v>
      </c>
      <c r="AD152" s="726">
        <f t="shared" ca="1" si="40"/>
        <v>396656.17577417986</v>
      </c>
      <c r="AE152" s="726">
        <f t="shared" ca="1" si="40"/>
        <v>0</v>
      </c>
      <c r="AF152" s="726">
        <f t="shared" ca="1" si="40"/>
        <v>0</v>
      </c>
      <c r="AG152" s="726">
        <f t="shared" ca="1" si="40"/>
        <v>0</v>
      </c>
    </row>
    <row r="153" spans="1:33" ht="17.25" customHeight="1" outlineLevel="1" thickTop="1">
      <c r="A153" s="894"/>
      <c r="B153" s="241"/>
      <c r="C153" s="287"/>
      <c r="D153" s="241"/>
      <c r="E153" s="241"/>
      <c r="F153" s="241"/>
      <c r="G153" s="241"/>
      <c r="H153" s="804" t="s">
        <v>654</v>
      </c>
      <c r="I153" s="685">
        <f>I148-I152</f>
        <v>0</v>
      </c>
      <c r="J153" s="329"/>
      <c r="K153" s="329"/>
      <c r="L153" s="329"/>
      <c r="M153" s="329"/>
      <c r="N153" s="329"/>
      <c r="O153" s="329"/>
      <c r="P153" s="329"/>
      <c r="Q153" s="329"/>
      <c r="R153" s="329"/>
      <c r="S153" s="329"/>
      <c r="T153" s="329"/>
      <c r="U153" s="329"/>
      <c r="V153" s="329"/>
      <c r="W153" s="329"/>
      <c r="X153" s="329"/>
      <c r="Y153" s="329"/>
      <c r="Z153" s="329"/>
      <c r="AA153" s="329"/>
      <c r="AB153" s="329"/>
      <c r="AC153" s="329"/>
      <c r="AD153" s="329"/>
      <c r="AE153" s="329"/>
      <c r="AF153" s="329"/>
      <c r="AG153" s="329"/>
    </row>
    <row r="154" spans="1:33" ht="17.25" customHeight="1" outlineLevel="1">
      <c r="A154" s="894"/>
      <c r="B154" s="241"/>
      <c r="C154" s="40" t="s">
        <v>415</v>
      </c>
      <c r="D154" s="126"/>
      <c r="E154" s="126"/>
      <c r="F154" s="126"/>
      <c r="G154" s="259"/>
      <c r="H154" s="126"/>
      <c r="I154" s="685">
        <f ca="1">SUM(J154:AG154)</f>
        <v>0</v>
      </c>
      <c r="J154" s="140">
        <f t="shared" ref="J154:AG154" ca="1" si="41">ROUND(J148-J152,1)*J6</f>
        <v>0</v>
      </c>
      <c r="K154" s="259">
        <f t="shared" ca="1" si="41"/>
        <v>0</v>
      </c>
      <c r="L154" s="259">
        <f t="shared" ca="1" si="41"/>
        <v>0</v>
      </c>
      <c r="M154" s="259">
        <f t="shared" ca="1" si="41"/>
        <v>0</v>
      </c>
      <c r="N154" s="259">
        <f t="shared" ca="1" si="41"/>
        <v>0</v>
      </c>
      <c r="O154" s="259">
        <f t="shared" ca="1" si="41"/>
        <v>0</v>
      </c>
      <c r="P154" s="259">
        <f t="shared" ca="1" si="41"/>
        <v>0</v>
      </c>
      <c r="Q154" s="259">
        <f t="shared" ca="1" si="41"/>
        <v>0</v>
      </c>
      <c r="R154" s="259">
        <f t="shared" ca="1" si="41"/>
        <v>0</v>
      </c>
      <c r="S154" s="259">
        <f t="shared" ca="1" si="41"/>
        <v>0</v>
      </c>
      <c r="T154" s="259">
        <f t="shared" ca="1" si="41"/>
        <v>0</v>
      </c>
      <c r="U154" s="259">
        <f t="shared" ca="1" si="41"/>
        <v>0</v>
      </c>
      <c r="V154" s="259">
        <f t="shared" ca="1" si="41"/>
        <v>0</v>
      </c>
      <c r="W154" s="259">
        <f t="shared" ca="1" si="41"/>
        <v>0</v>
      </c>
      <c r="X154" s="259">
        <f t="shared" ca="1" si="41"/>
        <v>0</v>
      </c>
      <c r="Y154" s="259">
        <f t="shared" ca="1" si="41"/>
        <v>0</v>
      </c>
      <c r="Z154" s="259">
        <f t="shared" ca="1" si="41"/>
        <v>0</v>
      </c>
      <c r="AA154" s="259">
        <f t="shared" ca="1" si="41"/>
        <v>0</v>
      </c>
      <c r="AB154" s="259">
        <f t="shared" ca="1" si="41"/>
        <v>0</v>
      </c>
      <c r="AC154" s="259">
        <f t="shared" ca="1" si="41"/>
        <v>0</v>
      </c>
      <c r="AD154" s="259">
        <f t="shared" ca="1" si="41"/>
        <v>0</v>
      </c>
      <c r="AE154" s="259">
        <f t="shared" ca="1" si="41"/>
        <v>0</v>
      </c>
      <c r="AF154" s="259">
        <f t="shared" ca="1" si="41"/>
        <v>0</v>
      </c>
      <c r="AG154" s="259">
        <f t="shared" ca="1" si="41"/>
        <v>0</v>
      </c>
    </row>
    <row r="155" spans="1:33" ht="17.25" customHeight="1" outlineLevel="1">
      <c r="A155" s="894"/>
      <c r="B155" s="241"/>
      <c r="C155" s="40" t="s">
        <v>416</v>
      </c>
      <c r="D155" s="126"/>
      <c r="E155" s="126"/>
      <c r="F155" s="126"/>
      <c r="G155" s="126"/>
      <c r="H155" s="126"/>
      <c r="I155" s="685">
        <f ca="1">SUM(J155:AG155)</f>
        <v>0</v>
      </c>
      <c r="J155" s="84"/>
      <c r="K155" s="86">
        <f t="shared" ref="K155:AG155" ca="1" si="42">K154-J154</f>
        <v>0</v>
      </c>
      <c r="L155" s="86">
        <f t="shared" ca="1" si="42"/>
        <v>0</v>
      </c>
      <c r="M155" s="86">
        <f t="shared" ca="1" si="42"/>
        <v>0</v>
      </c>
      <c r="N155" s="86">
        <f t="shared" ca="1" si="42"/>
        <v>0</v>
      </c>
      <c r="O155" s="86">
        <f t="shared" ca="1" si="42"/>
        <v>0</v>
      </c>
      <c r="P155" s="86">
        <f t="shared" ca="1" si="42"/>
        <v>0</v>
      </c>
      <c r="Q155" s="86">
        <f t="shared" ca="1" si="42"/>
        <v>0</v>
      </c>
      <c r="R155" s="86">
        <f t="shared" ca="1" si="42"/>
        <v>0</v>
      </c>
      <c r="S155" s="86">
        <f t="shared" ca="1" si="42"/>
        <v>0</v>
      </c>
      <c r="T155" s="86">
        <f t="shared" ca="1" si="42"/>
        <v>0</v>
      </c>
      <c r="U155" s="86">
        <f t="shared" ca="1" si="42"/>
        <v>0</v>
      </c>
      <c r="V155" s="86">
        <f t="shared" ca="1" si="42"/>
        <v>0</v>
      </c>
      <c r="W155" s="86">
        <f t="shared" ca="1" si="42"/>
        <v>0</v>
      </c>
      <c r="X155" s="86">
        <f t="shared" ca="1" si="42"/>
        <v>0</v>
      </c>
      <c r="Y155" s="86">
        <f t="shared" ca="1" si="42"/>
        <v>0</v>
      </c>
      <c r="Z155" s="86">
        <f t="shared" ca="1" si="42"/>
        <v>0</v>
      </c>
      <c r="AA155" s="86">
        <f t="shared" ca="1" si="42"/>
        <v>0</v>
      </c>
      <c r="AB155" s="86">
        <f t="shared" ca="1" si="42"/>
        <v>0</v>
      </c>
      <c r="AC155" s="86">
        <f t="shared" ca="1" si="42"/>
        <v>0</v>
      </c>
      <c r="AD155" s="86">
        <f t="shared" ca="1" si="42"/>
        <v>0</v>
      </c>
      <c r="AE155" s="86">
        <f t="shared" ca="1" si="42"/>
        <v>0</v>
      </c>
      <c r="AF155" s="86">
        <f t="shared" ca="1" si="42"/>
        <v>0</v>
      </c>
      <c r="AG155" s="86">
        <f t="shared" ca="1" si="42"/>
        <v>0</v>
      </c>
    </row>
    <row r="156" spans="1:33" s="649" customFormat="1" ht="17.25" customHeight="1" outlineLevel="1">
      <c r="A156" s="287"/>
      <c r="B156" s="287"/>
      <c r="C156" s="287"/>
      <c r="D156" s="287"/>
      <c r="E156" s="287"/>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E156" s="287"/>
      <c r="AF156" s="287"/>
      <c r="AG156" s="287"/>
    </row>
    <row r="157" spans="1:33" ht="17.25" customHeight="1" outlineLevel="1">
      <c r="A157" s="241"/>
      <c r="B157" s="241"/>
      <c r="C157" s="241"/>
      <c r="D157" s="241"/>
      <c r="E157" s="241"/>
      <c r="F157" s="241"/>
      <c r="G157" s="241"/>
      <c r="H157" s="241"/>
      <c r="I157" s="241"/>
      <c r="J157" s="241"/>
      <c r="K157" s="241"/>
      <c r="L157" s="241"/>
      <c r="M157" s="241"/>
      <c r="N157" s="241"/>
      <c r="O157" s="241"/>
      <c r="P157" s="241"/>
      <c r="Q157" s="241"/>
      <c r="R157" s="241"/>
      <c r="S157" s="241"/>
      <c r="T157" s="241"/>
      <c r="U157" s="241"/>
      <c r="V157" s="241"/>
      <c r="W157" s="241"/>
      <c r="X157" s="241"/>
      <c r="Y157" s="241"/>
      <c r="Z157" s="241"/>
      <c r="AA157" s="241"/>
      <c r="AB157" s="241"/>
      <c r="AC157" s="241"/>
      <c r="AD157" s="241"/>
      <c r="AE157" s="241"/>
      <c r="AF157" s="241"/>
      <c r="AG157" s="241"/>
    </row>
    <row r="158" spans="1:33" ht="18" customHeight="1">
      <c r="A158" s="241"/>
      <c r="B158" s="241"/>
      <c r="C158" s="894"/>
      <c r="D158" s="894"/>
      <c r="E158" s="894"/>
      <c r="F158" s="894"/>
      <c r="G158" s="894"/>
      <c r="H158" s="241"/>
      <c r="I158" s="241"/>
      <c r="J158" s="241"/>
      <c r="K158" s="241"/>
      <c r="L158" s="241"/>
      <c r="M158" s="241"/>
      <c r="N158" s="241"/>
      <c r="O158" s="241"/>
      <c r="P158" s="241"/>
      <c r="Q158" s="241"/>
      <c r="R158" s="241"/>
      <c r="S158" s="241"/>
      <c r="T158" s="241"/>
      <c r="U158" s="241"/>
      <c r="V158" s="241"/>
      <c r="W158" s="241"/>
      <c r="X158" s="241"/>
      <c r="Y158" s="241"/>
      <c r="Z158" s="241"/>
      <c r="AA158" s="241"/>
      <c r="AB158" s="241"/>
      <c r="AC158" s="241"/>
      <c r="AD158" s="241"/>
      <c r="AE158" s="241"/>
      <c r="AF158" s="241"/>
      <c r="AG158" s="241"/>
    </row>
    <row r="159" spans="1:33" ht="18" customHeight="1">
      <c r="A159" s="241"/>
      <c r="B159" s="241"/>
      <c r="C159" s="894"/>
      <c r="D159" s="894"/>
      <c r="E159" s="894"/>
      <c r="F159" s="894"/>
      <c r="G159" s="894"/>
      <c r="H159" s="241"/>
      <c r="I159" s="241"/>
      <c r="J159" s="241"/>
      <c r="K159" s="241"/>
      <c r="L159" s="241"/>
      <c r="M159" s="241"/>
      <c r="N159" s="241"/>
      <c r="O159" s="241"/>
      <c r="P159" s="241"/>
      <c r="Q159" s="241"/>
      <c r="R159" s="241"/>
      <c r="S159" s="241"/>
      <c r="T159" s="241"/>
      <c r="U159" s="241"/>
      <c r="V159" s="241"/>
      <c r="W159" s="241"/>
      <c r="X159" s="241"/>
      <c r="Y159" s="241"/>
      <c r="Z159" s="241"/>
      <c r="AA159" s="241"/>
      <c r="AB159" s="241"/>
      <c r="AC159" s="241"/>
      <c r="AD159" s="241"/>
      <c r="AE159" s="241"/>
      <c r="AF159" s="241"/>
      <c r="AG159" s="241"/>
    </row>
    <row r="160" spans="1:33" ht="18" customHeight="1">
      <c r="A160" s="241"/>
      <c r="B160" s="241"/>
      <c r="C160" s="894"/>
      <c r="D160" s="894"/>
      <c r="E160" s="894"/>
      <c r="F160" s="894"/>
      <c r="G160" s="894"/>
      <c r="H160" s="241"/>
      <c r="I160" s="241"/>
      <c r="J160" s="241"/>
      <c r="K160" s="241"/>
      <c r="L160" s="241"/>
      <c r="M160" s="241"/>
      <c r="N160" s="241"/>
      <c r="O160" s="241"/>
      <c r="P160" s="241"/>
      <c r="Q160" s="241"/>
      <c r="R160" s="241"/>
      <c r="S160" s="241"/>
      <c r="T160" s="241"/>
      <c r="U160" s="241"/>
      <c r="V160" s="241"/>
      <c r="W160" s="241"/>
      <c r="X160" s="241"/>
      <c r="Y160" s="241"/>
      <c r="Z160" s="241"/>
      <c r="AA160" s="241"/>
      <c r="AB160" s="241"/>
      <c r="AC160" s="241"/>
      <c r="AD160" s="241"/>
      <c r="AE160" s="241"/>
      <c r="AF160" s="241"/>
      <c r="AG160" s="241"/>
    </row>
    <row r="161" spans="1:33" ht="18" customHeight="1">
      <c r="A161" s="241"/>
      <c r="B161" s="287"/>
      <c r="C161" s="894"/>
      <c r="D161" s="894"/>
      <c r="E161" s="894"/>
      <c r="F161" s="894"/>
      <c r="G161" s="894"/>
      <c r="H161" s="241"/>
      <c r="I161" s="241"/>
      <c r="J161" s="241"/>
      <c r="K161" s="241"/>
      <c r="L161" s="241"/>
      <c r="M161" s="241"/>
      <c r="N161" s="241"/>
      <c r="O161" s="241"/>
      <c r="P161" s="241"/>
      <c r="Q161" s="241"/>
      <c r="R161" s="241"/>
      <c r="S161" s="241"/>
      <c r="T161" s="241"/>
      <c r="U161" s="241"/>
      <c r="V161" s="241"/>
      <c r="W161" s="241"/>
      <c r="X161" s="241"/>
      <c r="Y161" s="241"/>
      <c r="Z161" s="241"/>
      <c r="AA161" s="241"/>
      <c r="AB161" s="241"/>
      <c r="AC161" s="241"/>
      <c r="AD161" s="241"/>
      <c r="AE161" s="241"/>
      <c r="AF161" s="241"/>
      <c r="AG161" s="241"/>
    </row>
    <row r="162" spans="1:33" s="241" customFormat="1" ht="18" customHeight="1">
      <c r="B162" s="287"/>
      <c r="C162" s="894"/>
      <c r="D162" s="894"/>
      <c r="E162" s="894"/>
      <c r="F162" s="894"/>
      <c r="G162" s="894"/>
    </row>
    <row r="163" spans="1:33" s="241" customFormat="1" ht="18" customHeight="1">
      <c r="B163" s="287"/>
      <c r="C163" s="894"/>
      <c r="D163" s="894"/>
      <c r="E163" s="894"/>
      <c r="F163" s="894"/>
      <c r="G163" s="894"/>
    </row>
    <row r="164" spans="1:33" s="241" customFormat="1" ht="18" customHeight="1">
      <c r="B164" s="287"/>
      <c r="C164" s="894"/>
      <c r="D164" s="894"/>
      <c r="E164" s="894"/>
      <c r="F164" s="894"/>
      <c r="G164" s="894"/>
    </row>
    <row r="165" spans="1:33" s="241" customFormat="1" ht="18" customHeight="1">
      <c r="B165" s="287"/>
      <c r="C165" s="894"/>
      <c r="D165" s="894"/>
      <c r="E165" s="894"/>
      <c r="F165" s="894"/>
      <c r="G165" s="894"/>
    </row>
    <row r="166" spans="1:33" s="241" customFormat="1" ht="18" customHeight="1">
      <c r="B166" s="287"/>
      <c r="C166" s="894"/>
      <c r="D166" s="894"/>
      <c r="E166" s="894"/>
      <c r="F166" s="894"/>
      <c r="G166" s="894"/>
    </row>
    <row r="167" spans="1:33" s="241" customFormat="1" ht="18" customHeight="1">
      <c r="B167" s="287"/>
      <c r="C167" s="894"/>
      <c r="D167" s="894"/>
      <c r="E167" s="894"/>
      <c r="F167" s="894"/>
      <c r="G167" s="894"/>
    </row>
    <row r="168" spans="1:33" s="241" customFormat="1" ht="18" customHeight="1">
      <c r="B168" s="287"/>
      <c r="C168" s="894"/>
      <c r="D168" s="894"/>
      <c r="E168" s="894"/>
      <c r="F168" s="894"/>
      <c r="G168" s="894"/>
    </row>
    <row r="169" spans="1:33" s="241" customFormat="1" ht="18" customHeight="1">
      <c r="B169" s="287"/>
      <c r="C169" s="894"/>
      <c r="D169" s="894"/>
      <c r="E169" s="894"/>
      <c r="F169" s="894"/>
      <c r="G169" s="894"/>
    </row>
    <row r="170" spans="1:33" s="241" customFormat="1" ht="18" customHeight="1">
      <c r="B170" s="287"/>
      <c r="C170" s="894"/>
      <c r="D170" s="894"/>
      <c r="E170" s="894"/>
      <c r="F170" s="894"/>
      <c r="G170" s="894"/>
    </row>
    <row r="171" spans="1:33" s="241" customFormat="1" ht="18" customHeight="1">
      <c r="B171" s="287"/>
      <c r="C171" s="894"/>
      <c r="D171" s="894"/>
      <c r="E171" s="894"/>
      <c r="F171" s="894"/>
      <c r="G171" s="894"/>
    </row>
    <row r="172" spans="1:33" s="241" customFormat="1" ht="18" customHeight="1">
      <c r="B172" s="287"/>
      <c r="C172" s="894"/>
      <c r="D172" s="894"/>
      <c r="E172" s="894"/>
      <c r="F172" s="894"/>
      <c r="G172" s="894"/>
    </row>
    <row r="173" spans="1:33" s="241" customFormat="1" ht="18" customHeight="1">
      <c r="B173" s="287"/>
      <c r="C173" s="287"/>
      <c r="D173" s="287"/>
      <c r="E173" s="287"/>
      <c r="F173" s="287"/>
    </row>
    <row r="174" spans="1:33" s="241" customFormat="1" ht="18" customHeight="1">
      <c r="B174" s="287"/>
      <c r="C174" s="287"/>
      <c r="D174" s="287"/>
      <c r="E174" s="287"/>
      <c r="F174" s="287"/>
    </row>
    <row r="175" spans="1:33" s="241" customFormat="1" ht="18" customHeight="1">
      <c r="B175" s="287"/>
      <c r="C175" s="287"/>
      <c r="D175" s="287"/>
      <c r="E175" s="287"/>
      <c r="F175" s="287"/>
    </row>
    <row r="176" spans="1:33" s="241" customFormat="1" ht="18" customHeight="1">
      <c r="B176" s="287"/>
      <c r="C176" s="287"/>
      <c r="D176" s="287"/>
      <c r="E176" s="287"/>
      <c r="F176" s="287"/>
    </row>
    <row r="177" spans="2:6" s="241" customFormat="1" ht="18" customHeight="1">
      <c r="B177" s="287"/>
      <c r="C177" s="287"/>
      <c r="D177" s="287"/>
      <c r="E177" s="287"/>
      <c r="F177" s="287"/>
    </row>
    <row r="178" spans="2:6" s="241" customFormat="1" ht="18" customHeight="1">
      <c r="B178" s="287"/>
      <c r="C178" s="287"/>
      <c r="D178" s="287"/>
      <c r="E178" s="287"/>
      <c r="F178" s="287"/>
    </row>
    <row r="179" spans="2:6" s="241" customFormat="1" ht="18" customHeight="1">
      <c r="B179" s="287"/>
      <c r="C179" s="287"/>
      <c r="D179" s="287"/>
      <c r="E179" s="287"/>
      <c r="F179" s="287"/>
    </row>
    <row r="180" spans="2:6" s="241" customFormat="1" ht="18" customHeight="1">
      <c r="B180" s="287"/>
      <c r="C180" s="287"/>
      <c r="D180" s="287"/>
      <c r="E180" s="287"/>
      <c r="F180" s="287"/>
    </row>
    <row r="181" spans="2:6" s="241" customFormat="1" ht="18" customHeight="1">
      <c r="B181" s="287"/>
      <c r="C181" s="287"/>
      <c r="D181" s="287"/>
      <c r="E181" s="287"/>
      <c r="F181" s="287"/>
    </row>
    <row r="182" spans="2:6" s="241" customFormat="1" ht="18" customHeight="1">
      <c r="B182" s="287"/>
      <c r="C182" s="287"/>
      <c r="D182" s="287"/>
      <c r="E182" s="287"/>
      <c r="F182" s="287"/>
    </row>
    <row r="183" spans="2:6" s="241" customFormat="1" ht="18" customHeight="1">
      <c r="B183" s="287"/>
      <c r="C183" s="287"/>
      <c r="D183" s="287"/>
      <c r="E183" s="287"/>
      <c r="F183" s="287"/>
    </row>
    <row r="184" spans="2:6" s="241" customFormat="1" ht="18" customHeight="1">
      <c r="B184" s="287"/>
      <c r="C184" s="287"/>
      <c r="D184" s="287"/>
      <c r="E184" s="287"/>
      <c r="F184" s="287"/>
    </row>
    <row r="185" spans="2:6" s="241" customFormat="1" ht="18" customHeight="1">
      <c r="B185" s="287"/>
      <c r="C185" s="287"/>
      <c r="D185" s="287"/>
      <c r="E185" s="287"/>
      <c r="F185" s="287"/>
    </row>
    <row r="186" spans="2:6" s="241" customFormat="1" ht="18" customHeight="1"/>
    <row r="187" spans="2:6" s="241" customFormat="1" ht="18" customHeight="1"/>
    <row r="188" spans="2:6" s="241" customFormat="1" ht="18" customHeight="1"/>
    <row r="189" spans="2:6" s="241" customFormat="1" ht="18" customHeight="1"/>
    <row r="190" spans="2:6" s="241" customFormat="1" ht="18" customHeight="1"/>
    <row r="191" spans="2:6" s="241" customFormat="1" ht="18" customHeight="1"/>
    <row r="192" spans="2:6"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sheetData>
  <sheetProtection password="F66A" sheet="1"/>
  <conditionalFormatting sqref="J108:AG108">
    <cfRule type="cellIs" dxfId="66" priority="48" stopIfTrue="1" operator="equal">
      <formula>1</formula>
    </cfRule>
  </conditionalFormatting>
  <conditionalFormatting sqref="H142">
    <cfRule type="cellIs" dxfId="65" priority="44" operator="notEqual">
      <formula>0</formula>
    </cfRule>
  </conditionalFormatting>
  <conditionalFormatting sqref="H143">
    <cfRule type="cellIs" dxfId="64" priority="43" operator="notEqual">
      <formula>0</formula>
    </cfRule>
  </conditionalFormatting>
  <conditionalFormatting sqref="H144">
    <cfRule type="cellIs" dxfId="63" priority="42" operator="notEqual">
      <formula>0</formula>
    </cfRule>
  </conditionalFormatting>
  <conditionalFormatting sqref="H145">
    <cfRule type="cellIs" dxfId="62" priority="41" operator="notEqual">
      <formula>0</formula>
    </cfRule>
  </conditionalFormatting>
  <conditionalFormatting sqref="H141">
    <cfRule type="cellIs" dxfId="61" priority="35" operator="notEqual">
      <formula>0</formula>
    </cfRule>
  </conditionalFormatting>
  <conditionalFormatting sqref="D3">
    <cfRule type="cellIs" dxfId="60" priority="23" operator="notEqual">
      <formula>0</formula>
    </cfRule>
  </conditionalFormatting>
  <conditionalFormatting sqref="K6:AG6">
    <cfRule type="cellIs" dxfId="59" priority="22" stopIfTrue="1" operator="equal">
      <formula>1</formula>
    </cfRule>
  </conditionalFormatting>
  <conditionalFormatting sqref="J4 L4:AG5">
    <cfRule type="expression" dxfId="58" priority="21" stopIfTrue="1">
      <formula>J$6=1</formula>
    </cfRule>
  </conditionalFormatting>
  <conditionalFormatting sqref="J5">
    <cfRule type="expression" dxfId="57" priority="20" stopIfTrue="1">
      <formula>J$6=1</formula>
    </cfRule>
  </conditionalFormatting>
  <conditionalFormatting sqref="J6:AG6">
    <cfRule type="cellIs" dxfId="56" priority="19" stopIfTrue="1" operator="equal">
      <formula>1</formula>
    </cfRule>
  </conditionalFormatting>
  <conditionalFormatting sqref="K4">
    <cfRule type="expression" dxfId="55" priority="18" stopIfTrue="1">
      <formula>K$6=1</formula>
    </cfRule>
  </conditionalFormatting>
  <conditionalFormatting sqref="K5">
    <cfRule type="expression" dxfId="54" priority="17" stopIfTrue="1">
      <formula>K$6=1</formula>
    </cfRule>
  </conditionalFormatting>
  <conditionalFormatting sqref="I154">
    <cfRule type="cellIs" dxfId="53" priority="10" operator="notEqual">
      <formula>0</formula>
    </cfRule>
  </conditionalFormatting>
  <conditionalFormatting sqref="I155">
    <cfRule type="cellIs" dxfId="52" priority="9" operator="notEqual">
      <formula>0</formula>
    </cfRule>
  </conditionalFormatting>
  <conditionalFormatting sqref="I108">
    <cfRule type="cellIs" dxfId="51" priority="8" operator="notEqual">
      <formula>0</formula>
    </cfRule>
  </conditionalFormatting>
  <conditionalFormatting sqref="D141:D145">
    <cfRule type="cellIs" dxfId="50" priority="2" operator="notEqual">
      <formula>0</formula>
    </cfRule>
  </conditionalFormatting>
  <conditionalFormatting sqref="I153">
    <cfRule type="cellIs" dxfId="49" priority="1" operator="notEqual">
      <formula>0</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C_Steuern">
    <tabColor theme="1"/>
    <pageSetUpPr autoPageBreaks="0"/>
  </sheetPr>
  <dimension ref="A1:NE264"/>
  <sheetViews>
    <sheetView showGridLines="0" zoomScaleNormal="100" workbookViewId="0">
      <pane xSplit="9" ySplit="6" topLeftCell="J7" activePane="bottomRight" state="frozenSplit"/>
      <selection activeCell="G23" sqref="G23"/>
      <selection pane="topRight" activeCell="G23" sqref="G23"/>
      <selection pane="bottomLeft" activeCell="G23" sqref="G23"/>
      <selection pane="bottomRight" activeCell="J7" sqref="J7"/>
    </sheetView>
  </sheetViews>
  <sheetFormatPr baseColWidth="10" defaultColWidth="0" defaultRowHeight="12.75" outlineLevelRow="1"/>
  <cols>
    <col min="1" max="1" width="2.42578125" style="77" customWidth="1"/>
    <col min="2" max="2" width="5.7109375" style="77" customWidth="1"/>
    <col min="3" max="3" width="58" style="77" customWidth="1"/>
    <col min="4" max="4" width="13" style="77" customWidth="1"/>
    <col min="5" max="5" width="15.5703125" style="77" customWidth="1"/>
    <col min="6" max="6" width="10.7109375" style="77" customWidth="1"/>
    <col min="7" max="7" width="11.140625" style="77" customWidth="1"/>
    <col min="8" max="8" width="9.85546875" style="77" customWidth="1"/>
    <col min="9" max="9" width="13.85546875" style="77" customWidth="1"/>
    <col min="10" max="10" width="11.42578125" style="77" customWidth="1"/>
    <col min="11" max="11" width="12.140625" style="77" customWidth="1"/>
    <col min="12" max="33" width="11.42578125" style="77" customWidth="1"/>
    <col min="34" max="369" width="0" style="77" hidden="1" customWidth="1"/>
    <col min="370" max="16384" width="11.42578125" style="77" hidden="1"/>
  </cols>
  <sheetData>
    <row r="1" spans="1:73" ht="20.25">
      <c r="A1" s="41" t="str">
        <f>CHOOSE(language,"Debtors &amp; Creditors (Working Capital)","Receivables &amp; Payables (Working Capital)")</f>
        <v>Receivables &amp; Payables (Working Capital)</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73" ht="15.75" customHeight="1">
      <c r="A2" s="128"/>
      <c r="B2" s="128"/>
      <c r="C2" s="273" t="str">
        <f>Timing!C2</f>
        <v>Model: 5 Year Forecast</v>
      </c>
      <c r="D2" s="273"/>
      <c r="E2" s="443" t="s">
        <v>148</v>
      </c>
      <c r="F2" s="128"/>
      <c r="G2" s="128"/>
      <c r="H2" s="241"/>
      <c r="I2" s="241"/>
      <c r="J2" s="338"/>
      <c r="K2" s="241"/>
      <c r="L2" s="241"/>
      <c r="M2" s="241"/>
      <c r="N2" s="241"/>
      <c r="O2" s="241"/>
      <c r="P2" s="241"/>
      <c r="Q2" s="241"/>
      <c r="R2" s="241"/>
      <c r="S2" s="241"/>
      <c r="T2" s="241"/>
      <c r="U2" s="241"/>
      <c r="V2" s="241"/>
      <c r="W2" s="241"/>
      <c r="X2" s="241"/>
      <c r="Y2" s="241"/>
      <c r="Z2" s="241"/>
      <c r="AA2" s="241"/>
      <c r="AB2" s="241"/>
      <c r="AC2" s="241"/>
      <c r="AD2" s="241"/>
      <c r="AE2" s="241"/>
      <c r="AF2" s="241"/>
      <c r="AG2" s="241"/>
    </row>
    <row r="3" spans="1:73" ht="15.75" customHeight="1">
      <c r="A3" s="128"/>
      <c r="B3" s="128"/>
      <c r="C3" s="273" t="str">
        <f>Timing!C3</f>
        <v>Model Integrity:</v>
      </c>
      <c r="D3" s="685">
        <f ca="1">Timing!D3</f>
        <v>0</v>
      </c>
      <c r="E3" s="443" t="s">
        <v>149</v>
      </c>
      <c r="F3" s="128"/>
      <c r="G3" s="285"/>
      <c r="H3" s="285"/>
      <c r="I3" s="282"/>
      <c r="J3" s="286"/>
      <c r="K3" s="241"/>
      <c r="L3" s="286"/>
      <c r="M3" s="241"/>
      <c r="N3" s="286"/>
      <c r="O3" s="241"/>
      <c r="P3" s="286"/>
      <c r="Q3" s="241"/>
      <c r="R3" s="286"/>
      <c r="S3" s="241"/>
      <c r="T3" s="286"/>
      <c r="U3" s="241"/>
      <c r="V3" s="286"/>
      <c r="W3" s="241"/>
      <c r="X3" s="286"/>
      <c r="Y3" s="241"/>
      <c r="Z3" s="286"/>
      <c r="AA3" s="241"/>
      <c r="AB3" s="286"/>
      <c r="AC3" s="241"/>
      <c r="AD3" s="286"/>
      <c r="AE3" s="241"/>
      <c r="AF3" s="286"/>
      <c r="AG3" s="241"/>
    </row>
    <row r="4" spans="1:73" ht="15" customHeight="1">
      <c r="A4" s="128"/>
      <c r="B4" s="280"/>
      <c r="C4" s="681" t="s">
        <v>152</v>
      </c>
      <c r="D4" s="283"/>
      <c r="E4" s="283"/>
      <c r="F4" s="283"/>
      <c r="G4" s="284"/>
      <c r="H4" s="282"/>
      <c r="I4" s="682"/>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c r="AH4" s="655">
        <v>44256</v>
      </c>
      <c r="AI4" s="655">
        <v>44287</v>
      </c>
      <c r="AJ4" s="655">
        <v>44317</v>
      </c>
      <c r="AK4" s="655">
        <v>44348</v>
      </c>
      <c r="AL4" s="655">
        <v>44378</v>
      </c>
      <c r="AM4" s="655">
        <v>44409</v>
      </c>
      <c r="AN4" s="655">
        <v>44440</v>
      </c>
      <c r="AO4" s="655">
        <v>44470</v>
      </c>
      <c r="AP4" s="655">
        <v>44501</v>
      </c>
      <c r="AQ4" s="655">
        <v>44531</v>
      </c>
      <c r="AR4" s="655">
        <v>44562</v>
      </c>
      <c r="AS4" s="655">
        <v>44593</v>
      </c>
      <c r="AT4" s="655">
        <v>44621</v>
      </c>
      <c r="AU4" s="655">
        <v>44652</v>
      </c>
      <c r="AV4" s="655">
        <v>44682</v>
      </c>
      <c r="AW4" s="655">
        <v>44713</v>
      </c>
      <c r="AX4" s="655">
        <v>44743</v>
      </c>
      <c r="AY4" s="655">
        <v>44774</v>
      </c>
      <c r="AZ4" s="655">
        <v>44805</v>
      </c>
      <c r="BA4" s="655">
        <v>44835</v>
      </c>
      <c r="BB4" s="655">
        <v>44866</v>
      </c>
      <c r="BC4" s="655">
        <v>44896</v>
      </c>
      <c r="BD4" s="655">
        <v>44927</v>
      </c>
      <c r="BE4" s="655">
        <v>44958</v>
      </c>
      <c r="BF4" s="655">
        <v>44986</v>
      </c>
      <c r="BG4" s="655">
        <v>45017</v>
      </c>
      <c r="BH4" s="655">
        <v>45047</v>
      </c>
      <c r="BI4" s="655">
        <v>45078</v>
      </c>
      <c r="BJ4" s="655">
        <v>45108</v>
      </c>
      <c r="BK4" s="655">
        <v>45139</v>
      </c>
      <c r="BL4" s="655">
        <v>45170</v>
      </c>
      <c r="BM4" s="655">
        <v>45200</v>
      </c>
      <c r="BN4" s="655">
        <v>45231</v>
      </c>
      <c r="BO4" s="655">
        <v>45261</v>
      </c>
      <c r="BP4" s="655">
        <v>45292</v>
      </c>
      <c r="BQ4" s="655">
        <v>45323</v>
      </c>
      <c r="BR4" s="655">
        <v>45352</v>
      </c>
      <c r="BS4" s="655">
        <v>45383</v>
      </c>
      <c r="BT4" s="655">
        <v>45413</v>
      </c>
      <c r="BU4" s="655">
        <v>45444</v>
      </c>
    </row>
    <row r="5" spans="1:73" ht="15" customHeight="1">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c r="AH5" s="656">
        <v>44286</v>
      </c>
      <c r="AI5" s="656">
        <v>44316</v>
      </c>
      <c r="AJ5" s="656">
        <v>44347</v>
      </c>
      <c r="AK5" s="656">
        <v>44377</v>
      </c>
      <c r="AL5" s="656">
        <v>44408</v>
      </c>
      <c r="AM5" s="656">
        <v>44439</v>
      </c>
      <c r="AN5" s="656">
        <v>44469</v>
      </c>
      <c r="AO5" s="656">
        <v>44500</v>
      </c>
      <c r="AP5" s="656">
        <v>44530</v>
      </c>
      <c r="AQ5" s="656">
        <v>44561</v>
      </c>
      <c r="AR5" s="656">
        <v>44592</v>
      </c>
      <c r="AS5" s="656">
        <v>44620</v>
      </c>
      <c r="AT5" s="656">
        <v>44651</v>
      </c>
      <c r="AU5" s="656">
        <v>44681</v>
      </c>
      <c r="AV5" s="656">
        <v>44712</v>
      </c>
      <c r="AW5" s="656">
        <v>44742</v>
      </c>
      <c r="AX5" s="656">
        <v>44773</v>
      </c>
      <c r="AY5" s="656">
        <v>44804</v>
      </c>
      <c r="AZ5" s="656">
        <v>44834</v>
      </c>
      <c r="BA5" s="656">
        <v>44865</v>
      </c>
      <c r="BB5" s="656">
        <v>44895</v>
      </c>
      <c r="BC5" s="656">
        <v>44926</v>
      </c>
      <c r="BD5" s="656">
        <v>44957</v>
      </c>
      <c r="BE5" s="656">
        <v>44985</v>
      </c>
      <c r="BF5" s="656">
        <v>45016</v>
      </c>
      <c r="BG5" s="656">
        <v>45046</v>
      </c>
      <c r="BH5" s="656">
        <v>45077</v>
      </c>
      <c r="BI5" s="656">
        <v>45107</v>
      </c>
      <c r="BJ5" s="656">
        <v>45138</v>
      </c>
      <c r="BK5" s="656">
        <v>45169</v>
      </c>
      <c r="BL5" s="656">
        <v>45199</v>
      </c>
      <c r="BM5" s="656">
        <v>45230</v>
      </c>
      <c r="BN5" s="656">
        <v>45260</v>
      </c>
      <c r="BO5" s="656">
        <v>45291</v>
      </c>
      <c r="BP5" s="656">
        <v>45322</v>
      </c>
      <c r="BQ5" s="656">
        <v>45351</v>
      </c>
      <c r="BR5" s="656">
        <v>45382</v>
      </c>
      <c r="BS5" s="656">
        <v>45412</v>
      </c>
      <c r="BT5" s="656">
        <v>45443</v>
      </c>
      <c r="BU5" s="656">
        <v>45473</v>
      </c>
    </row>
    <row r="6" spans="1:73" ht="15" customHeight="1">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c r="AH6" s="660">
        <v>0</v>
      </c>
      <c r="AI6" s="660">
        <v>0</v>
      </c>
      <c r="AJ6" s="660">
        <v>0</v>
      </c>
      <c r="AK6" s="660">
        <v>0</v>
      </c>
      <c r="AL6" s="660">
        <v>0</v>
      </c>
      <c r="AM6" s="660">
        <v>0</v>
      </c>
      <c r="AN6" s="660">
        <v>0</v>
      </c>
      <c r="AO6" s="660">
        <v>0</v>
      </c>
      <c r="AP6" s="660">
        <v>0</v>
      </c>
      <c r="AQ6" s="660">
        <v>0</v>
      </c>
      <c r="AR6" s="660">
        <v>0</v>
      </c>
      <c r="AS6" s="660">
        <v>0</v>
      </c>
      <c r="AT6" s="660">
        <v>0</v>
      </c>
      <c r="AU6" s="660">
        <v>0</v>
      </c>
      <c r="AV6" s="660">
        <v>0</v>
      </c>
      <c r="AW6" s="660">
        <v>0</v>
      </c>
      <c r="AX6" s="660">
        <v>0</v>
      </c>
      <c r="AY6" s="660">
        <v>0</v>
      </c>
      <c r="AZ6" s="660">
        <v>0</v>
      </c>
      <c r="BA6" s="660">
        <v>0</v>
      </c>
      <c r="BB6" s="660">
        <v>0</v>
      </c>
      <c r="BC6" s="660">
        <v>0</v>
      </c>
      <c r="BD6" s="660">
        <v>0</v>
      </c>
      <c r="BE6" s="660">
        <v>0</v>
      </c>
      <c r="BF6" s="660">
        <v>0</v>
      </c>
      <c r="BG6" s="660">
        <v>0</v>
      </c>
      <c r="BH6" s="660">
        <v>0</v>
      </c>
      <c r="BI6" s="660">
        <v>0</v>
      </c>
      <c r="BJ6" s="660">
        <v>0</v>
      </c>
      <c r="BK6" s="660">
        <v>0</v>
      </c>
      <c r="BL6" s="660">
        <v>0</v>
      </c>
      <c r="BM6" s="660">
        <v>0</v>
      </c>
      <c r="BN6" s="660">
        <v>0</v>
      </c>
      <c r="BO6" s="660">
        <v>0</v>
      </c>
      <c r="BP6" s="660">
        <v>0</v>
      </c>
      <c r="BQ6" s="660">
        <v>0</v>
      </c>
      <c r="BR6" s="660">
        <v>0</v>
      </c>
      <c r="BS6" s="660">
        <v>0</v>
      </c>
      <c r="BT6" s="660">
        <v>0</v>
      </c>
      <c r="BU6" s="660">
        <v>0</v>
      </c>
    </row>
    <row r="7" spans="1:73" s="117" customFormat="1" ht="15" customHeight="1">
      <c r="A7" s="894"/>
      <c r="B7" s="241"/>
      <c r="C7" s="339" t="str">
        <f>Timing!C17</f>
        <v>Month of model</v>
      </c>
      <c r="D7" s="340" t="str">
        <f>Timing!D17</f>
        <v>#</v>
      </c>
      <c r="E7" s="339"/>
      <c r="F7" s="339"/>
      <c r="G7" s="339"/>
      <c r="H7" s="339"/>
      <c r="I7" s="241"/>
      <c r="J7" s="341">
        <f>Timing!J17</f>
        <v>1</v>
      </c>
      <c r="K7" s="341">
        <f>Timing!K17</f>
        <v>2</v>
      </c>
      <c r="L7" s="341">
        <f>Timing!L17</f>
        <v>3</v>
      </c>
      <c r="M7" s="341">
        <f>Timing!M17</f>
        <v>4</v>
      </c>
      <c r="N7" s="341">
        <f>Timing!N17</f>
        <v>5</v>
      </c>
      <c r="O7" s="341">
        <f>Timing!O17</f>
        <v>6</v>
      </c>
      <c r="P7" s="341">
        <f>Timing!P17</f>
        <v>7</v>
      </c>
      <c r="Q7" s="341">
        <f>Timing!Q17</f>
        <v>8</v>
      </c>
      <c r="R7" s="341">
        <f>Timing!R17</f>
        <v>9</v>
      </c>
      <c r="S7" s="341">
        <f>Timing!S17</f>
        <v>10</v>
      </c>
      <c r="T7" s="341">
        <f>Timing!T17</f>
        <v>11</v>
      </c>
      <c r="U7" s="341">
        <f>Timing!U17</f>
        <v>12</v>
      </c>
      <c r="V7" s="341">
        <f>Timing!V17</f>
        <v>13</v>
      </c>
      <c r="W7" s="341">
        <f>Timing!W17</f>
        <v>14</v>
      </c>
      <c r="X7" s="341">
        <f>Timing!X17</f>
        <v>15</v>
      </c>
      <c r="Y7" s="341">
        <f>Timing!Y17</f>
        <v>16</v>
      </c>
      <c r="Z7" s="341">
        <f>Timing!Z17</f>
        <v>17</v>
      </c>
      <c r="AA7" s="341">
        <f>Timing!AA17</f>
        <v>18</v>
      </c>
      <c r="AB7" s="341">
        <f>Timing!AB17</f>
        <v>19</v>
      </c>
      <c r="AC7" s="341">
        <f>Timing!AC17</f>
        <v>20</v>
      </c>
      <c r="AD7" s="341">
        <f>Timing!AD17</f>
        <v>21</v>
      </c>
      <c r="AE7" s="341">
        <f>Timing!AE17</f>
        <v>22</v>
      </c>
      <c r="AF7" s="341">
        <f>Timing!AF17</f>
        <v>23</v>
      </c>
      <c r="AG7" s="341">
        <f>Timing!AG17</f>
        <v>24</v>
      </c>
    </row>
    <row r="8" spans="1:73" s="649" customFormat="1" ht="15" customHeight="1">
      <c r="A8" s="894"/>
      <c r="B8" s="287"/>
      <c r="C8" s="277" t="s">
        <v>226</v>
      </c>
      <c r="D8" s="340" t="s">
        <v>500</v>
      </c>
      <c r="E8" s="277"/>
      <c r="F8" s="277"/>
      <c r="G8" s="277"/>
      <c r="H8" s="277"/>
      <c r="I8" s="277"/>
      <c r="J8" s="30">
        <f>IF(J$7&gt;1,1,0)</f>
        <v>0</v>
      </c>
      <c r="K8" s="30">
        <f t="shared" ref="K8:AG8" si="0">IF(K$7&gt;1,1,0)</f>
        <v>1</v>
      </c>
      <c r="L8" s="30">
        <f t="shared" si="0"/>
        <v>1</v>
      </c>
      <c r="M8" s="30">
        <f t="shared" si="0"/>
        <v>1</v>
      </c>
      <c r="N8" s="30">
        <f t="shared" si="0"/>
        <v>1</v>
      </c>
      <c r="O8" s="30">
        <f t="shared" si="0"/>
        <v>1</v>
      </c>
      <c r="P8" s="30">
        <f t="shared" si="0"/>
        <v>1</v>
      </c>
      <c r="Q8" s="30">
        <f t="shared" si="0"/>
        <v>1</v>
      </c>
      <c r="R8" s="30">
        <f t="shared" si="0"/>
        <v>1</v>
      </c>
      <c r="S8" s="30">
        <f t="shared" si="0"/>
        <v>1</v>
      </c>
      <c r="T8" s="30">
        <f t="shared" si="0"/>
        <v>1</v>
      </c>
      <c r="U8" s="30">
        <f t="shared" si="0"/>
        <v>1</v>
      </c>
      <c r="V8" s="30">
        <f t="shared" si="0"/>
        <v>1</v>
      </c>
      <c r="W8" s="30">
        <f t="shared" si="0"/>
        <v>1</v>
      </c>
      <c r="X8" s="30">
        <f t="shared" si="0"/>
        <v>1</v>
      </c>
      <c r="Y8" s="30">
        <f t="shared" si="0"/>
        <v>1</v>
      </c>
      <c r="Z8" s="30">
        <f t="shared" si="0"/>
        <v>1</v>
      </c>
      <c r="AA8" s="30">
        <f t="shared" si="0"/>
        <v>1</v>
      </c>
      <c r="AB8" s="30">
        <f t="shared" si="0"/>
        <v>1</v>
      </c>
      <c r="AC8" s="30">
        <f t="shared" si="0"/>
        <v>1</v>
      </c>
      <c r="AD8" s="30">
        <f t="shared" si="0"/>
        <v>1</v>
      </c>
      <c r="AE8" s="30">
        <f t="shared" si="0"/>
        <v>1</v>
      </c>
      <c r="AF8" s="30">
        <f t="shared" si="0"/>
        <v>1</v>
      </c>
      <c r="AG8" s="30">
        <f t="shared" si="0"/>
        <v>1</v>
      </c>
    </row>
    <row r="9" spans="1:73" s="649" customFormat="1" ht="15" customHeight="1">
      <c r="A9" s="894"/>
      <c r="B9" s="287"/>
      <c r="C9" s="277" t="s">
        <v>227</v>
      </c>
      <c r="D9" s="340" t="s">
        <v>500</v>
      </c>
      <c r="E9" s="277"/>
      <c r="F9" s="277"/>
      <c r="G9" s="277"/>
      <c r="H9" s="277"/>
      <c r="I9" s="277"/>
      <c r="J9" s="30">
        <f>IF(J$7&gt;2,1,0)</f>
        <v>0</v>
      </c>
      <c r="K9" s="30">
        <f t="shared" ref="K9:AG9" si="1">IF(K$7&gt;2,1,0)</f>
        <v>0</v>
      </c>
      <c r="L9" s="30">
        <f t="shared" si="1"/>
        <v>1</v>
      </c>
      <c r="M9" s="30">
        <f t="shared" si="1"/>
        <v>1</v>
      </c>
      <c r="N9" s="30">
        <f t="shared" si="1"/>
        <v>1</v>
      </c>
      <c r="O9" s="30">
        <f t="shared" si="1"/>
        <v>1</v>
      </c>
      <c r="P9" s="30">
        <f t="shared" si="1"/>
        <v>1</v>
      </c>
      <c r="Q9" s="30">
        <f t="shared" si="1"/>
        <v>1</v>
      </c>
      <c r="R9" s="30">
        <f t="shared" si="1"/>
        <v>1</v>
      </c>
      <c r="S9" s="30">
        <f t="shared" si="1"/>
        <v>1</v>
      </c>
      <c r="T9" s="30">
        <f t="shared" si="1"/>
        <v>1</v>
      </c>
      <c r="U9" s="30">
        <f t="shared" si="1"/>
        <v>1</v>
      </c>
      <c r="V9" s="30">
        <f t="shared" si="1"/>
        <v>1</v>
      </c>
      <c r="W9" s="30">
        <f t="shared" si="1"/>
        <v>1</v>
      </c>
      <c r="X9" s="30">
        <f t="shared" si="1"/>
        <v>1</v>
      </c>
      <c r="Y9" s="30">
        <f t="shared" si="1"/>
        <v>1</v>
      </c>
      <c r="Z9" s="30">
        <f t="shared" si="1"/>
        <v>1</v>
      </c>
      <c r="AA9" s="30">
        <f t="shared" si="1"/>
        <v>1</v>
      </c>
      <c r="AB9" s="30">
        <f t="shared" si="1"/>
        <v>1</v>
      </c>
      <c r="AC9" s="30">
        <f t="shared" si="1"/>
        <v>1</v>
      </c>
      <c r="AD9" s="30">
        <f t="shared" si="1"/>
        <v>1</v>
      </c>
      <c r="AE9" s="30">
        <f t="shared" si="1"/>
        <v>1</v>
      </c>
      <c r="AF9" s="30">
        <f t="shared" si="1"/>
        <v>1</v>
      </c>
      <c r="AG9" s="30">
        <f t="shared" si="1"/>
        <v>1</v>
      </c>
    </row>
    <row r="10" spans="1:73" s="649" customFormat="1" ht="15" customHeight="1">
      <c r="A10" s="894"/>
      <c r="B10" s="287"/>
      <c r="C10" s="277" t="s">
        <v>228</v>
      </c>
      <c r="D10" s="340" t="s">
        <v>500</v>
      </c>
      <c r="E10" s="277"/>
      <c r="F10" s="277"/>
      <c r="G10" s="277"/>
      <c r="H10" s="277"/>
      <c r="I10" s="277"/>
      <c r="J10" s="30">
        <f>IF(J$7&gt;3,1,0)</f>
        <v>0</v>
      </c>
      <c r="K10" s="30">
        <f t="shared" ref="K10:AG10" si="2">IF(K$7&gt;3,1,0)</f>
        <v>0</v>
      </c>
      <c r="L10" s="30">
        <f t="shared" si="2"/>
        <v>0</v>
      </c>
      <c r="M10" s="30">
        <f t="shared" si="2"/>
        <v>1</v>
      </c>
      <c r="N10" s="30">
        <f t="shared" si="2"/>
        <v>1</v>
      </c>
      <c r="O10" s="30">
        <f t="shared" si="2"/>
        <v>1</v>
      </c>
      <c r="P10" s="30">
        <f t="shared" si="2"/>
        <v>1</v>
      </c>
      <c r="Q10" s="30">
        <f t="shared" si="2"/>
        <v>1</v>
      </c>
      <c r="R10" s="30">
        <f t="shared" si="2"/>
        <v>1</v>
      </c>
      <c r="S10" s="30">
        <f t="shared" si="2"/>
        <v>1</v>
      </c>
      <c r="T10" s="30">
        <f t="shared" si="2"/>
        <v>1</v>
      </c>
      <c r="U10" s="30">
        <f t="shared" si="2"/>
        <v>1</v>
      </c>
      <c r="V10" s="30">
        <f t="shared" si="2"/>
        <v>1</v>
      </c>
      <c r="W10" s="30">
        <f t="shared" si="2"/>
        <v>1</v>
      </c>
      <c r="X10" s="30">
        <f t="shared" si="2"/>
        <v>1</v>
      </c>
      <c r="Y10" s="30">
        <f t="shared" si="2"/>
        <v>1</v>
      </c>
      <c r="Z10" s="30">
        <f t="shared" si="2"/>
        <v>1</v>
      </c>
      <c r="AA10" s="30">
        <f t="shared" si="2"/>
        <v>1</v>
      </c>
      <c r="AB10" s="30">
        <f t="shared" si="2"/>
        <v>1</v>
      </c>
      <c r="AC10" s="30">
        <f t="shared" si="2"/>
        <v>1</v>
      </c>
      <c r="AD10" s="30">
        <f t="shared" si="2"/>
        <v>1</v>
      </c>
      <c r="AE10" s="30">
        <f t="shared" si="2"/>
        <v>1</v>
      </c>
      <c r="AF10" s="30">
        <f t="shared" si="2"/>
        <v>1</v>
      </c>
      <c r="AG10" s="30">
        <f t="shared" si="2"/>
        <v>1</v>
      </c>
    </row>
    <row r="11" spans="1:73" s="203" customFormat="1" ht="7.5" customHeight="1">
      <c r="A11" s="894"/>
      <c r="B11" s="241"/>
      <c r="C11" s="339"/>
      <c r="D11" s="340"/>
      <c r="E11" s="339"/>
      <c r="F11" s="339"/>
      <c r="G11" s="339"/>
      <c r="H11" s="339"/>
      <c r="I11" s="241"/>
      <c r="J11" s="341"/>
      <c r="K11" s="341"/>
      <c r="L11" s="241"/>
      <c r="M11" s="241"/>
      <c r="N11" s="241"/>
      <c r="O11" s="241"/>
      <c r="P11" s="241"/>
      <c r="Q11" s="241"/>
      <c r="R11" s="241"/>
      <c r="S11" s="241"/>
      <c r="T11" s="241"/>
      <c r="U11" s="241"/>
      <c r="V11" s="241"/>
      <c r="W11" s="241"/>
      <c r="X11" s="241"/>
      <c r="Y11" s="241"/>
      <c r="Z11" s="241"/>
      <c r="AA11" s="241"/>
      <c r="AB11" s="241"/>
      <c r="AC11" s="241"/>
      <c r="AD11" s="241"/>
      <c r="AE11" s="241"/>
      <c r="AF11" s="241"/>
      <c r="AG11" s="241"/>
    </row>
    <row r="12" spans="1:73" s="117" customFormat="1" ht="26.25" customHeight="1" thickBot="1">
      <c r="A12" s="323"/>
      <c r="B12" s="323"/>
      <c r="C12" s="323" t="str">
        <f>CHOOSE(language,"Debtors","Receivables")</f>
        <v>Receivables</v>
      </c>
      <c r="D12" s="323"/>
      <c r="E12" s="323"/>
      <c r="F12" s="323"/>
      <c r="G12" s="323"/>
      <c r="H12" s="323"/>
      <c r="I12" s="323"/>
      <c r="J12" s="323"/>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row>
    <row r="13" spans="1:73" s="117" customFormat="1" ht="15" customHeight="1" outlineLevel="1">
      <c r="A13" s="128"/>
      <c r="B13" s="128"/>
      <c r="C13" s="241"/>
      <c r="D13" s="336"/>
      <c r="E13" s="128"/>
      <c r="F13" s="128"/>
      <c r="G13" s="128"/>
      <c r="H13" s="128"/>
      <c r="I13" s="128"/>
      <c r="J13" s="128"/>
      <c r="K13" s="128"/>
      <c r="L13" s="128"/>
      <c r="M13" s="128"/>
      <c r="N13" s="128"/>
      <c r="O13" s="128"/>
      <c r="P13" s="241"/>
      <c r="Q13" s="241"/>
      <c r="R13" s="241"/>
      <c r="S13" s="241"/>
      <c r="T13" s="241"/>
      <c r="U13" s="241"/>
      <c r="V13" s="241"/>
      <c r="W13" s="241"/>
      <c r="X13" s="241"/>
      <c r="Y13" s="241"/>
      <c r="Z13" s="241"/>
      <c r="AA13" s="241"/>
      <c r="AB13" s="241"/>
      <c r="AC13" s="241"/>
      <c r="AD13" s="241"/>
      <c r="AE13" s="241"/>
      <c r="AF13" s="241"/>
      <c r="AG13" s="241"/>
    </row>
    <row r="14" spans="1:73" s="649" customFormat="1" ht="16.5" customHeight="1" outlineLevel="1">
      <c r="A14" s="894"/>
      <c r="B14" s="287"/>
      <c r="C14" s="279" t="str">
        <f>CHOOSE(language,"Trade debtor receipts (net of bad debts)","Cash in Sales (net of bad debts)")</f>
        <v>Cash in Sales (net of bad debts)</v>
      </c>
      <c r="D14" s="342"/>
      <c r="E14" s="691" t="s">
        <v>217</v>
      </c>
      <c r="F14" s="688" t="s">
        <v>218</v>
      </c>
      <c r="G14" s="688" t="s">
        <v>219</v>
      </c>
      <c r="H14" s="688" t="s">
        <v>220</v>
      </c>
      <c r="I14" s="517" t="s">
        <v>46</v>
      </c>
      <c r="J14" s="343"/>
      <c r="K14" s="344"/>
      <c r="L14" s="344"/>
      <c r="M14" s="344"/>
      <c r="N14" s="344"/>
      <c r="O14" s="344"/>
      <c r="P14" s="344"/>
      <c r="Q14" s="344"/>
      <c r="R14" s="344"/>
      <c r="S14" s="344"/>
      <c r="T14" s="344"/>
      <c r="U14" s="344"/>
      <c r="V14" s="344"/>
      <c r="W14" s="344"/>
      <c r="X14" s="344"/>
      <c r="Y14" s="344"/>
      <c r="Z14" s="344"/>
      <c r="AA14" s="344"/>
      <c r="AB14" s="344"/>
      <c r="AC14" s="344"/>
      <c r="AD14" s="344"/>
      <c r="AE14" s="344"/>
      <c r="AF14" s="344"/>
      <c r="AG14" s="344"/>
    </row>
    <row r="15" spans="1:73" s="649" customFormat="1" ht="16.5" customHeight="1" outlineLevel="1">
      <c r="A15" s="894"/>
      <c r="B15" s="287"/>
      <c r="C15" s="24" t="str">
        <f>Product_01</f>
        <v>Desktops</v>
      </c>
      <c r="D15" s="8" t="str">
        <f t="shared" ref="D15:D26" si="3">Currency_Label</f>
        <v>USD</v>
      </c>
      <c r="E15" s="85">
        <f>Inputs!F141</f>
        <v>0.6</v>
      </c>
      <c r="F15" s="85">
        <f>Inputs!G141</f>
        <v>0.3</v>
      </c>
      <c r="G15" s="85">
        <f>Inputs!H141</f>
        <v>0.1</v>
      </c>
      <c r="H15" s="85">
        <f>Inputs!I141</f>
        <v>0</v>
      </c>
      <c r="I15" s="71">
        <f t="shared" ref="I15:I26" si="4">SUM(J15:AG15)</f>
        <v>786621</v>
      </c>
      <c r="J15" s="722">
        <f>(Sales!J70*$E15+Sales!I70*'Debtors+Creditors'!$F15*J$8+Sales!H70*'Debtors+Creditors'!$G15*J$9+Sales!G70*'Debtors+Creditors'!$H15*J$10)*(1-bad_debts)</f>
        <v>22753.5</v>
      </c>
      <c r="K15" s="722">
        <f>(Sales!K70*$E15+Sales!J70*'Debtors+Creditors'!$F15*K$8+Sales!I70*'Debtors+Creditors'!$G15*K$9+Sales!H70*'Debtors+Creditors'!$H15*K$10)*(1-bad_debts)</f>
        <v>35430.449999999997</v>
      </c>
      <c r="L15" s="722">
        <f>(Sales!L70*$E15+Sales!K70*'Debtors+Creditors'!$F15*L$8+Sales!J70*'Debtors+Creditors'!$G15*L$9+Sales!I70*'Debtors+Creditors'!$H15*L$10)*(1-bad_debts)</f>
        <v>39872.800000000003</v>
      </c>
      <c r="M15" s="722">
        <f>(Sales!M70*$E15+Sales!L70*'Debtors+Creditors'!$F15*M$8+Sales!K70*'Debtors+Creditors'!$G15*M$9+Sales!J70*'Debtors+Creditors'!$H15*M$10)*(1-bad_debts)</f>
        <v>40089.5</v>
      </c>
      <c r="N15" s="722">
        <f>(Sales!N70*$E15+Sales!M70*'Debtors+Creditors'!$F15*N$8+Sales!L70*'Debtors+Creditors'!$G15*N$9+Sales!K70*'Debtors+Creditors'!$H15*N$10)*(1-bad_debts)</f>
        <v>40089.5</v>
      </c>
      <c r="O15" s="722">
        <f>(Sales!O70*$E15+Sales!N70*'Debtors+Creditors'!$F15*O$8+Sales!M70*'Debtors+Creditors'!$G15*O$9+Sales!L70*'Debtors+Creditors'!$H15*O$10)*(1-bad_debts)</f>
        <v>40089.5</v>
      </c>
      <c r="P15" s="722">
        <f>(Sales!P70*$E15+Sales!O70*'Debtors+Creditors'!$F15*P$8+Sales!N70*'Debtors+Creditors'!$G15*P$9+Sales!M70*'Debtors+Creditors'!$H15*P$10)*(1-bad_debts)</f>
        <v>40089.5</v>
      </c>
      <c r="Q15" s="722">
        <f>(Sales!Q70*$E15+Sales!P70*'Debtors+Creditors'!$F15*Q$8+Sales!O70*'Debtors+Creditors'!$G15*Q$9+Sales!N70*'Debtors+Creditors'!$H15*Q$10)*(1-bad_debts)</f>
        <v>37489.1</v>
      </c>
      <c r="R15" s="722">
        <f>(Sales!R70*$E15+Sales!Q70*'Debtors+Creditors'!$F15*R$8+Sales!P70*'Debtors+Creditors'!$G15*R$9+Sales!O70*'Debtors+Creditors'!$H15*R$10)*(1-bad_debts)</f>
        <v>36188.9</v>
      </c>
      <c r="S15" s="722">
        <f>(Sales!S70*$E15+Sales!R70*'Debtors+Creditors'!$F15*S$8+Sales!Q70*'Debtors+Creditors'!$G15*S$9+Sales!P70*'Debtors+Creditors'!$H15*S$10)*(1-bad_debts)</f>
        <v>35755.5</v>
      </c>
      <c r="T15" s="722">
        <f>(Sales!T70*$E15+Sales!S70*'Debtors+Creditors'!$F15*T$8+Sales!R70*'Debtors+Creditors'!$G15*T$9+Sales!Q70*'Debtors+Creditors'!$H15*T$10)*(1-bad_debts)</f>
        <v>35755.5</v>
      </c>
      <c r="U15" s="722">
        <f>(Sales!U70*$E15+Sales!T70*'Debtors+Creditors'!$F15*U$8+Sales!S70*'Debtors+Creditors'!$G15*U$9+Sales!R70*'Debtors+Creditors'!$H15*U$10)*(1-bad_debts)</f>
        <v>35755.5</v>
      </c>
      <c r="V15" s="722">
        <f>(Sales!V70*$E15+Sales!U70*'Debtors+Creditors'!$F15*V$8+Sales!T70*'Debtors+Creditors'!$G15*V$9+Sales!S70*'Debtors+Creditors'!$H15*V$10)*(1-bad_debts)</f>
        <v>35755.5</v>
      </c>
      <c r="W15" s="722">
        <f>(Sales!W70*$E15+Sales!V70*'Debtors+Creditors'!$F15*W$8+Sales!U70*'Debtors+Creditors'!$G15*W$9+Sales!T70*'Debtors+Creditors'!$H15*W$10)*(1-bad_debts)</f>
        <v>35755.5</v>
      </c>
      <c r="X15" s="722">
        <f>(Sales!X70*$E15+Sales!W70*'Debtors+Creditors'!$F15*X$8+Sales!V70*'Debtors+Creditors'!$G15*X$9+Sales!U70*'Debtors+Creditors'!$H15*X$10)*(1-bad_debts)</f>
        <v>35755.5</v>
      </c>
      <c r="Y15" s="722">
        <f>(Sales!Y70*$E15+Sales!X70*'Debtors+Creditors'!$F15*Y$8+Sales!W70*'Debtors+Creditors'!$G15*Y$9+Sales!V70*'Debtors+Creditors'!$H15*Y$10)*(1-bad_debts)</f>
        <v>35755.5</v>
      </c>
      <c r="Z15" s="722">
        <f>(Sales!Z70*$E15+Sales!Y70*'Debtors+Creditors'!$F15*Z$8+Sales!X70*'Debtors+Creditors'!$G15*Z$9+Sales!W70*'Debtors+Creditors'!$H15*Z$10)*(1-bad_debts)</f>
        <v>35755.5</v>
      </c>
      <c r="AA15" s="722">
        <f>(Sales!AA70*$E15+Sales!Z70*'Debtors+Creditors'!$F15*AA$8+Sales!Y70*'Debtors+Creditors'!$G15*AA$9+Sales!X70*'Debtors+Creditors'!$H15*AA$10)*(1-bad_debts)</f>
        <v>35755.5</v>
      </c>
      <c r="AB15" s="722">
        <f>(Sales!AB70*$E15+Sales!AA70*'Debtors+Creditors'!$F15*AB$8+Sales!Z70*'Debtors+Creditors'!$G15*AB$9+Sales!Y70*'Debtors+Creditors'!$H15*AB$10)*(1-bad_debts)</f>
        <v>35755.5</v>
      </c>
      <c r="AC15" s="722">
        <f>(Sales!AC70*$E15+Sales!AB70*'Debtors+Creditors'!$F15*AC$8+Sales!AA70*'Debtors+Creditors'!$G15*AC$9+Sales!Z70*'Debtors+Creditors'!$H15*AC$10)*(1-bad_debts)</f>
        <v>35755.5</v>
      </c>
      <c r="AD15" s="722">
        <f>(Sales!AD70*$E15+Sales!AC70*'Debtors+Creditors'!$F15*AD$8+Sales!AB70*'Debtors+Creditors'!$G15*AD$9+Sales!AA70*'Debtors+Creditors'!$H15*AD$10)*(1-bad_debts)</f>
        <v>40306.199999999997</v>
      </c>
      <c r="AE15" s="722">
        <f>(Sales!AE70*$E15+Sales!AD70*'Debtors+Creditors'!$F15*AE$8+Sales!AC70*'Debtors+Creditors'!$G15*AE$9+Sales!AB70*'Debtors+Creditors'!$H15*AE$10)*(1-bad_debts)</f>
        <v>16577.55</v>
      </c>
      <c r="AF15" s="722">
        <f>(Sales!AF70*$E15+Sales!AE70*'Debtors+Creditors'!$F15*AF$8+Sales!AD70*'Debtors+Creditors'!$G15*AF$9+Sales!AC70*'Debtors+Creditors'!$H15*AF$10)*(1-bad_debts)</f>
        <v>4334</v>
      </c>
      <c r="AG15" s="722">
        <f>(Sales!AG70*$E15+Sales!AF70*'Debtors+Creditors'!$F15*AG$8+Sales!AE70*'Debtors+Creditors'!$G15*AG$9+Sales!AD70*'Debtors+Creditors'!$H15*AG$10)*(1-bad_debts)</f>
        <v>0</v>
      </c>
    </row>
    <row r="16" spans="1:73" s="649" customFormat="1" ht="16.5" customHeight="1" outlineLevel="1">
      <c r="A16" s="894"/>
      <c r="B16" s="287"/>
      <c r="C16" s="24" t="str">
        <f>Product_02</f>
        <v>Workstations</v>
      </c>
      <c r="D16" s="8" t="str">
        <f t="shared" si="3"/>
        <v>USD</v>
      </c>
      <c r="E16" s="85">
        <f>Inputs!F142</f>
        <v>0.5</v>
      </c>
      <c r="F16" s="85">
        <f>Inputs!G142</f>
        <v>0.5</v>
      </c>
      <c r="G16" s="85">
        <f>Inputs!H142</f>
        <v>0</v>
      </c>
      <c r="H16" s="85">
        <f>Inputs!I142</f>
        <v>0</v>
      </c>
      <c r="I16" s="71">
        <f t="shared" si="4"/>
        <v>521065</v>
      </c>
      <c r="J16" s="722">
        <f>(Sales!J71*$E16+Sales!I71*'Debtors+Creditors'!$F16*J$8+Sales!H71*'Debtors+Creditors'!$G16*J$9+Sales!G71*'Debtors+Creditors'!$H16*J$10)*(1-bad_debts)</f>
        <v>9062</v>
      </c>
      <c r="K16" s="722">
        <f>(Sales!K71*$E16+Sales!J71*'Debtors+Creditors'!$F16*K$8+Sales!I71*'Debtors+Creditors'!$G16*K$9+Sales!H71*'Debtors+Creditors'!$H16*K$10)*(1-bad_debts)</f>
        <v>20389.5</v>
      </c>
      <c r="L16" s="722">
        <f>(Sales!L71*$E16+Sales!K71*'Debtors+Creditors'!$F16*L$8+Sales!J71*'Debtors+Creditors'!$G16*L$9+Sales!I71*'Debtors+Creditors'!$H16*L$10)*(1-bad_debts)</f>
        <v>22655</v>
      </c>
      <c r="M16" s="722">
        <f>(Sales!M71*$E16+Sales!L71*'Debtors+Creditors'!$F16*M$8+Sales!K71*'Debtors+Creditors'!$G16*M$9+Sales!J71*'Debtors+Creditors'!$H16*M$10)*(1-bad_debts)</f>
        <v>22655</v>
      </c>
      <c r="N16" s="722">
        <f>(Sales!N71*$E16+Sales!M71*'Debtors+Creditors'!$F16*N$8+Sales!L71*'Debtors+Creditors'!$G16*N$9+Sales!K71*'Debtors+Creditors'!$H16*N$10)*(1-bad_debts)</f>
        <v>22655</v>
      </c>
      <c r="O16" s="722">
        <f>(Sales!O71*$E16+Sales!N71*'Debtors+Creditors'!$F16*O$8+Sales!M71*'Debtors+Creditors'!$G16*O$9+Sales!L71*'Debtors+Creditors'!$H16*O$10)*(1-bad_debts)</f>
        <v>22655</v>
      </c>
      <c r="P16" s="722">
        <f>(Sales!P71*$E16+Sales!O71*'Debtors+Creditors'!$F16*P$8+Sales!N71*'Debtors+Creditors'!$G16*P$9+Sales!M71*'Debtors+Creditors'!$H16*P$10)*(1-bad_debts)</f>
        <v>22655</v>
      </c>
      <c r="Q16" s="722">
        <f>(Sales!Q71*$E16+Sales!P71*'Debtors+Creditors'!$F16*Q$8+Sales!O71*'Debtors+Creditors'!$G16*Q$9+Sales!N71*'Debtors+Creditors'!$H16*Q$10)*(1-bad_debts)</f>
        <v>22655</v>
      </c>
      <c r="R16" s="722">
        <f>(Sales!R71*$E16+Sales!Q71*'Debtors+Creditors'!$F16*R$8+Sales!P71*'Debtors+Creditors'!$G16*R$9+Sales!O71*'Debtors+Creditors'!$H16*R$10)*(1-bad_debts)</f>
        <v>22655</v>
      </c>
      <c r="S16" s="722">
        <f>(Sales!S71*$E16+Sales!R71*'Debtors+Creditors'!$F16*S$8+Sales!Q71*'Debtors+Creditors'!$G16*S$9+Sales!P71*'Debtors+Creditors'!$H16*S$10)*(1-bad_debts)</f>
        <v>24920.5</v>
      </c>
      <c r="T16" s="722">
        <f>(Sales!T71*$E16+Sales!S71*'Debtors+Creditors'!$F16*T$8+Sales!R71*'Debtors+Creditors'!$G16*T$9+Sales!Q71*'Debtors+Creditors'!$H16*T$10)*(1-bad_debts)</f>
        <v>27186</v>
      </c>
      <c r="U16" s="722">
        <f>(Sales!U71*$E16+Sales!T71*'Debtors+Creditors'!$F16*U$8+Sales!S71*'Debtors+Creditors'!$G16*U$9+Sales!R71*'Debtors+Creditors'!$H16*U$10)*(1-bad_debts)</f>
        <v>27186</v>
      </c>
      <c r="V16" s="722">
        <f>(Sales!V71*$E16+Sales!U71*'Debtors+Creditors'!$F16*V$8+Sales!T71*'Debtors+Creditors'!$G16*V$9+Sales!S71*'Debtors+Creditors'!$H16*V$10)*(1-bad_debts)</f>
        <v>27186</v>
      </c>
      <c r="W16" s="722">
        <f>(Sales!W71*$E16+Sales!V71*'Debtors+Creditors'!$F16*W$8+Sales!U71*'Debtors+Creditors'!$G16*W$9+Sales!T71*'Debtors+Creditors'!$H16*W$10)*(1-bad_debts)</f>
        <v>27186</v>
      </c>
      <c r="X16" s="722">
        <f>(Sales!X71*$E16+Sales!W71*'Debtors+Creditors'!$F16*X$8+Sales!V71*'Debtors+Creditors'!$G16*X$9+Sales!U71*'Debtors+Creditors'!$H16*X$10)*(1-bad_debts)</f>
        <v>27186</v>
      </c>
      <c r="Y16" s="722">
        <f>(Sales!Y71*$E16+Sales!X71*'Debtors+Creditors'!$F16*Y$8+Sales!W71*'Debtors+Creditors'!$G16*Y$9+Sales!V71*'Debtors+Creditors'!$H16*Y$10)*(1-bad_debts)</f>
        <v>27186</v>
      </c>
      <c r="Z16" s="722">
        <f>(Sales!Z71*$E16+Sales!Y71*'Debtors+Creditors'!$F16*Z$8+Sales!X71*'Debtors+Creditors'!$G16*Z$9+Sales!W71*'Debtors+Creditors'!$H16*Z$10)*(1-bad_debts)</f>
        <v>27186</v>
      </c>
      <c r="AA16" s="722">
        <f>(Sales!AA71*$E16+Sales!Z71*'Debtors+Creditors'!$F16*AA$8+Sales!Y71*'Debtors+Creditors'!$G16*AA$9+Sales!X71*'Debtors+Creditors'!$H16*AA$10)*(1-bad_debts)</f>
        <v>27186</v>
      </c>
      <c r="AB16" s="722">
        <f>(Sales!AB71*$E16+Sales!AA71*'Debtors+Creditors'!$F16*AB$8+Sales!Z71*'Debtors+Creditors'!$G16*AB$9+Sales!Y71*'Debtors+Creditors'!$H16*AB$10)*(1-bad_debts)</f>
        <v>27186</v>
      </c>
      <c r="AC16" s="722">
        <f>(Sales!AC71*$E16+Sales!AB71*'Debtors+Creditors'!$F16*AC$8+Sales!AA71*'Debtors+Creditors'!$G16*AC$9+Sales!Z71*'Debtors+Creditors'!$H16*AC$10)*(1-bad_debts)</f>
        <v>26053.25</v>
      </c>
      <c r="AD16" s="722">
        <f>(Sales!AD71*$E16+Sales!AC71*'Debtors+Creditors'!$F16*AD$8+Sales!AB71*'Debtors+Creditors'!$G16*AD$9+Sales!AA71*'Debtors+Creditors'!$H16*AD$10)*(1-bad_debts)</f>
        <v>24920.5</v>
      </c>
      <c r="AE16" s="722">
        <f>(Sales!AE71*$E16+Sales!AD71*'Debtors+Creditors'!$F16*AE$8+Sales!AC71*'Debtors+Creditors'!$G16*AE$9+Sales!AB71*'Debtors+Creditors'!$H16*AE$10)*(1-bad_debts)</f>
        <v>12460.25</v>
      </c>
      <c r="AF16" s="722">
        <f>(Sales!AF71*$E16+Sales!AE71*'Debtors+Creditors'!$F16*AF$8+Sales!AD71*'Debtors+Creditors'!$G16*AF$9+Sales!AC71*'Debtors+Creditors'!$H16*AF$10)*(1-bad_debts)</f>
        <v>0</v>
      </c>
      <c r="AG16" s="722">
        <f>(Sales!AG71*$E16+Sales!AF71*'Debtors+Creditors'!$F16*AG$8+Sales!AE71*'Debtors+Creditors'!$G16*AG$9+Sales!AD71*'Debtors+Creditors'!$H16*AG$10)*(1-bad_debts)</f>
        <v>0</v>
      </c>
    </row>
    <row r="17" spans="1:33" s="649" customFormat="1" ht="16.5" customHeight="1" outlineLevel="1">
      <c r="A17" s="894"/>
      <c r="B17" s="287"/>
      <c r="C17" s="24" t="str">
        <f>Product_03</f>
        <v>Notebooks</v>
      </c>
      <c r="D17" s="8" t="str">
        <f t="shared" si="3"/>
        <v>USD</v>
      </c>
      <c r="E17" s="85">
        <f>Inputs!F143</f>
        <v>0.8</v>
      </c>
      <c r="F17" s="85">
        <f>Inputs!G143</f>
        <v>0.2</v>
      </c>
      <c r="G17" s="85">
        <f>Inputs!H143</f>
        <v>0</v>
      </c>
      <c r="H17" s="85">
        <f>Inputs!I143</f>
        <v>0</v>
      </c>
      <c r="I17" s="71">
        <f t="shared" si="4"/>
        <v>298908.09999999992</v>
      </c>
      <c r="J17" s="722">
        <f>(Sales!J72*$E17+Sales!I72*'Debtors+Creditors'!$F17*J$8+Sales!H72*'Debtors+Creditors'!$G17*J$9+Sales!G72*'Debtors+Creditors'!$H17*J$10)*(1-bad_debts)</f>
        <v>10559.2</v>
      </c>
      <c r="K17" s="722">
        <f>(Sales!K72*$E17+Sales!J72*'Debtors+Creditors'!$F17*K$8+Sales!I72*'Debtors+Creditors'!$G17*K$9+Sales!H72*'Debtors+Creditors'!$H17*K$10)*(1-bad_debts)</f>
        <v>13199</v>
      </c>
      <c r="L17" s="722">
        <f>(Sales!L72*$E17+Sales!K72*'Debtors+Creditors'!$F17*L$8+Sales!J72*'Debtors+Creditors'!$G17*L$9+Sales!I72*'Debtors+Creditors'!$H17*L$10)*(1-bad_debts)</f>
        <v>13199</v>
      </c>
      <c r="M17" s="722">
        <f>(Sales!M72*$E17+Sales!L72*'Debtors+Creditors'!$F17*M$8+Sales!K72*'Debtors+Creditors'!$G17*M$9+Sales!J72*'Debtors+Creditors'!$H17*M$10)*(1-bad_debts)</f>
        <v>13199</v>
      </c>
      <c r="N17" s="722">
        <f>(Sales!N72*$E17+Sales!M72*'Debtors+Creditors'!$F17*N$8+Sales!L72*'Debtors+Creditors'!$G17*N$9+Sales!K72*'Debtors+Creditors'!$H17*N$10)*(1-bad_debts)</f>
        <v>13199</v>
      </c>
      <c r="O17" s="722">
        <f>(Sales!O72*$E17+Sales!N72*'Debtors+Creditors'!$F17*O$8+Sales!M72*'Debtors+Creditors'!$G17*O$9+Sales!L72*'Debtors+Creditors'!$H17*O$10)*(1-bad_debts)</f>
        <v>13199</v>
      </c>
      <c r="P17" s="722">
        <f>(Sales!P72*$E17+Sales!O72*'Debtors+Creditors'!$F17*P$8+Sales!N72*'Debtors+Creditors'!$G17*P$9+Sales!M72*'Debtors+Creditors'!$H17*P$10)*(1-bad_debts)</f>
        <v>13199</v>
      </c>
      <c r="Q17" s="722">
        <f>(Sales!Q72*$E17+Sales!P72*'Debtors+Creditors'!$F17*Q$8+Sales!O72*'Debtors+Creditors'!$G17*Q$9+Sales!N72*'Debtors+Creditors'!$H17*Q$10)*(1-bad_debts)</f>
        <v>14254.92</v>
      </c>
      <c r="R17" s="722">
        <f>(Sales!R72*$E17+Sales!Q72*'Debtors+Creditors'!$F17*R$8+Sales!P72*'Debtors+Creditors'!$G17*R$9+Sales!O72*'Debtors+Creditors'!$H17*R$10)*(1-bad_debts)</f>
        <v>14518.9</v>
      </c>
      <c r="S17" s="722">
        <f>(Sales!S72*$E17+Sales!R72*'Debtors+Creditors'!$F17*S$8+Sales!Q72*'Debtors+Creditors'!$G17*S$9+Sales!P72*'Debtors+Creditors'!$H17*S$10)*(1-bad_debts)</f>
        <v>14518.9</v>
      </c>
      <c r="T17" s="722">
        <f>(Sales!T72*$E17+Sales!S72*'Debtors+Creditors'!$F17*T$8+Sales!R72*'Debtors+Creditors'!$G17*T$9+Sales!Q72*'Debtors+Creditors'!$H17*T$10)*(1-bad_debts)</f>
        <v>14518.9</v>
      </c>
      <c r="U17" s="722">
        <f>(Sales!U72*$E17+Sales!T72*'Debtors+Creditors'!$F17*U$8+Sales!S72*'Debtors+Creditors'!$G17*U$9+Sales!R72*'Debtors+Creditors'!$H17*U$10)*(1-bad_debts)</f>
        <v>14518.9</v>
      </c>
      <c r="V17" s="722">
        <f>(Sales!V72*$E17+Sales!U72*'Debtors+Creditors'!$F17*V$8+Sales!T72*'Debtors+Creditors'!$G17*V$9+Sales!S72*'Debtors+Creditors'!$H17*V$10)*(1-bad_debts)</f>
        <v>14518.9</v>
      </c>
      <c r="W17" s="722">
        <f>(Sales!W72*$E17+Sales!V72*'Debtors+Creditors'!$F17*W$8+Sales!U72*'Debtors+Creditors'!$G17*W$9+Sales!T72*'Debtors+Creditors'!$H17*W$10)*(1-bad_debts)</f>
        <v>14518.9</v>
      </c>
      <c r="X17" s="722">
        <f>(Sales!X72*$E17+Sales!W72*'Debtors+Creditors'!$F17*X$8+Sales!V72*'Debtors+Creditors'!$G17*X$9+Sales!U72*'Debtors+Creditors'!$H17*X$10)*(1-bad_debts)</f>
        <v>14518.9</v>
      </c>
      <c r="Y17" s="722">
        <f>(Sales!Y72*$E17+Sales!X72*'Debtors+Creditors'!$F17*Y$8+Sales!W72*'Debtors+Creditors'!$G17*Y$9+Sales!V72*'Debtors+Creditors'!$H17*Y$10)*(1-bad_debts)</f>
        <v>14518.9</v>
      </c>
      <c r="Z17" s="722">
        <f>(Sales!Z72*$E17+Sales!Y72*'Debtors+Creditors'!$F17*Z$8+Sales!X72*'Debtors+Creditors'!$G17*Z$9+Sales!W72*'Debtors+Creditors'!$H17*Z$10)*(1-bad_debts)</f>
        <v>15038.98</v>
      </c>
      <c r="AA17" s="722">
        <f>(Sales!AA72*$E17+Sales!Z72*'Debtors+Creditors'!$F17*AA$8+Sales!Y72*'Debtors+Creditors'!$G17*AA$9+Sales!X72*'Debtors+Creditors'!$H17*AA$10)*(1-bad_debts)</f>
        <v>15169</v>
      </c>
      <c r="AB17" s="722">
        <f>(Sales!AB72*$E17+Sales!AA72*'Debtors+Creditors'!$F17*AB$8+Sales!Z72*'Debtors+Creditors'!$G17*AB$9+Sales!Y72*'Debtors+Creditors'!$H17*AB$10)*(1-bad_debts)</f>
        <v>15169</v>
      </c>
      <c r="AC17" s="722">
        <f>(Sales!AC72*$E17+Sales!AB72*'Debtors+Creditors'!$F17*AC$8+Sales!AA72*'Debtors+Creditors'!$G17*AC$9+Sales!Z72*'Debtors+Creditors'!$H17*AC$10)*(1-bad_debts)</f>
        <v>15169</v>
      </c>
      <c r="AD17" s="722">
        <f>(Sales!AD72*$E17+Sales!AC72*'Debtors+Creditors'!$F17*AD$8+Sales!AB72*'Debtors+Creditors'!$G17*AD$9+Sales!AA72*'Debtors+Creditors'!$H17*AD$10)*(1-bad_debts)</f>
        <v>15169</v>
      </c>
      <c r="AE17" s="722">
        <f>(Sales!AE72*$E17+Sales!AD72*'Debtors+Creditors'!$F17*AE$8+Sales!AC72*'Debtors+Creditors'!$G17*AE$9+Sales!AB72*'Debtors+Creditors'!$H17*AE$10)*(1-bad_debts)</f>
        <v>3033.8</v>
      </c>
      <c r="AF17" s="722">
        <f>(Sales!AF72*$E17+Sales!AE72*'Debtors+Creditors'!$F17*AF$8+Sales!AD72*'Debtors+Creditors'!$G17*AF$9+Sales!AC72*'Debtors+Creditors'!$H17*AF$10)*(1-bad_debts)</f>
        <v>0</v>
      </c>
      <c r="AG17" s="722">
        <f>(Sales!AG72*$E17+Sales!AF72*'Debtors+Creditors'!$F17*AG$8+Sales!AE72*'Debtors+Creditors'!$G17*AG$9+Sales!AD72*'Debtors+Creditors'!$H17*AG$10)*(1-bad_debts)</f>
        <v>0</v>
      </c>
    </row>
    <row r="18" spans="1:33" s="649" customFormat="1" ht="16.5" customHeight="1" outlineLevel="1">
      <c r="A18" s="894"/>
      <c r="B18" s="287"/>
      <c r="C18" s="24" t="str">
        <f>Product_04</f>
        <v>Software Products</v>
      </c>
      <c r="D18" s="8" t="str">
        <f t="shared" si="3"/>
        <v>USD</v>
      </c>
      <c r="E18" s="85">
        <f>Inputs!F144</f>
        <v>0.7</v>
      </c>
      <c r="F18" s="85">
        <f>Inputs!G144</f>
        <v>0.2</v>
      </c>
      <c r="G18" s="85">
        <f>Inputs!H144</f>
        <v>0.1</v>
      </c>
      <c r="H18" s="85">
        <f>Inputs!I144</f>
        <v>0</v>
      </c>
      <c r="I18" s="71">
        <f t="shared" si="4"/>
        <v>173458.5</v>
      </c>
      <c r="J18" s="722">
        <f>(Sales!J73*$E18+Sales!I73*'Debtors+Creditors'!$F18*J$8+Sales!H73*'Debtors+Creditors'!$G18*J$9+Sales!G73*'Debtors+Creditors'!$H18*J$10)*(1-bad_debts)</f>
        <v>5688.375</v>
      </c>
      <c r="K18" s="722">
        <f>(Sales!K73*$E18+Sales!J73*'Debtors+Creditors'!$F18*K$8+Sales!I73*'Debtors+Creditors'!$G18*K$9+Sales!H73*'Debtors+Creditors'!$H18*K$10)*(1-bad_debts)</f>
        <v>7520.4749999999995</v>
      </c>
      <c r="L18" s="722">
        <f>(Sales!L73*$E18+Sales!K73*'Debtors+Creditors'!$F18*L$8+Sales!J73*'Debtors+Creditors'!$G18*L$9+Sales!I73*'Debtors+Creditors'!$H18*L$10)*(1-bad_debts)</f>
        <v>8392.2000000000007</v>
      </c>
      <c r="M18" s="722">
        <f>(Sales!M73*$E18+Sales!L73*'Debtors+Creditors'!$F18*M$8+Sales!K73*'Debtors+Creditors'!$G18*M$9+Sales!J73*'Debtors+Creditors'!$H18*M$10)*(1-bad_debts)</f>
        <v>8421.75</v>
      </c>
      <c r="N18" s="722">
        <f>(Sales!N73*$E18+Sales!M73*'Debtors+Creditors'!$F18*N$8+Sales!L73*'Debtors+Creditors'!$G18*N$9+Sales!K73*'Debtors+Creditors'!$H18*N$10)*(1-bad_debts)</f>
        <v>8421.75</v>
      </c>
      <c r="O18" s="722">
        <f>(Sales!O73*$E18+Sales!N73*'Debtors+Creditors'!$F18*O$8+Sales!M73*'Debtors+Creditors'!$G18*O$9+Sales!L73*'Debtors+Creditors'!$H18*O$10)*(1-bad_debts)</f>
        <v>8421.75</v>
      </c>
      <c r="P18" s="722">
        <f>(Sales!P73*$E18+Sales!O73*'Debtors+Creditors'!$F18*P$8+Sales!N73*'Debtors+Creditors'!$G18*P$9+Sales!M73*'Debtors+Creditors'!$H18*P$10)*(1-bad_debts)</f>
        <v>8421.75</v>
      </c>
      <c r="Q18" s="722">
        <f>(Sales!Q73*$E18+Sales!P73*'Debtors+Creditors'!$F18*Q$8+Sales!O73*'Debtors+Creditors'!$G18*Q$9+Sales!N73*'Debtors+Creditors'!$H18*Q$10)*(1-bad_debts)</f>
        <v>8214.9</v>
      </c>
      <c r="R18" s="722">
        <f>(Sales!R73*$E18+Sales!Q73*'Debtors+Creditors'!$F18*R$8+Sales!P73*'Debtors+Creditors'!$G18*R$9+Sales!O73*'Debtors+Creditors'!$H18*R$10)*(1-bad_debts)</f>
        <v>8155.8</v>
      </c>
      <c r="S18" s="722">
        <f>(Sales!S73*$E18+Sales!R73*'Debtors+Creditors'!$F18*S$8+Sales!Q73*'Debtors+Creditors'!$G18*S$9+Sales!P73*'Debtors+Creditors'!$H18*S$10)*(1-bad_debts)</f>
        <v>8126.25</v>
      </c>
      <c r="T18" s="722">
        <f>(Sales!T73*$E18+Sales!S73*'Debtors+Creditors'!$F18*T$8+Sales!R73*'Debtors+Creditors'!$G18*T$9+Sales!Q73*'Debtors+Creditors'!$H18*T$10)*(1-bad_debts)</f>
        <v>8126.25</v>
      </c>
      <c r="U18" s="722">
        <f>(Sales!U73*$E18+Sales!T73*'Debtors+Creditors'!$F18*U$8+Sales!S73*'Debtors+Creditors'!$G18*U$9+Sales!R73*'Debtors+Creditors'!$H18*U$10)*(1-bad_debts)</f>
        <v>8126.25</v>
      </c>
      <c r="V18" s="722">
        <f>(Sales!V73*$E18+Sales!U73*'Debtors+Creditors'!$F18*V$8+Sales!T73*'Debtors+Creditors'!$G18*V$9+Sales!S73*'Debtors+Creditors'!$H18*V$10)*(1-bad_debts)</f>
        <v>8126.25</v>
      </c>
      <c r="W18" s="722">
        <f>(Sales!W73*$E18+Sales!V73*'Debtors+Creditors'!$F18*W$8+Sales!U73*'Debtors+Creditors'!$G18*W$9+Sales!T73*'Debtors+Creditors'!$H18*W$10)*(1-bad_debts)</f>
        <v>8126.25</v>
      </c>
      <c r="X18" s="722">
        <f>(Sales!X73*$E18+Sales!W73*'Debtors+Creditors'!$F18*X$8+Sales!V73*'Debtors+Creditors'!$G18*X$9+Sales!U73*'Debtors+Creditors'!$H18*X$10)*(1-bad_debts)</f>
        <v>8126.25</v>
      </c>
      <c r="Y18" s="722">
        <f>(Sales!Y73*$E18+Sales!X73*'Debtors+Creditors'!$F18*Y$8+Sales!W73*'Debtors+Creditors'!$G18*Y$9+Sales!V73*'Debtors+Creditors'!$H18*Y$10)*(1-bad_debts)</f>
        <v>8126.25</v>
      </c>
      <c r="Z18" s="722">
        <f>(Sales!Z73*$E18+Sales!Y73*'Debtors+Creditors'!$F18*Z$8+Sales!X73*'Debtors+Creditors'!$G18*Z$9+Sales!W73*'Debtors+Creditors'!$H18*Z$10)*(1-bad_debts)</f>
        <v>8126.25</v>
      </c>
      <c r="AA18" s="722">
        <f>(Sales!AA73*$E18+Sales!Z73*'Debtors+Creditors'!$F18*AA$8+Sales!Y73*'Debtors+Creditors'!$G18*AA$9+Sales!X73*'Debtors+Creditors'!$H18*AA$10)*(1-bad_debts)</f>
        <v>8126.25</v>
      </c>
      <c r="AB18" s="722">
        <f>(Sales!AB73*$E18+Sales!AA73*'Debtors+Creditors'!$F18*AB$8+Sales!Z73*'Debtors+Creditors'!$G18*AB$9+Sales!Y73*'Debtors+Creditors'!$H18*AB$10)*(1-bad_debts)</f>
        <v>8126.25</v>
      </c>
      <c r="AC18" s="722">
        <f>(Sales!AC73*$E18+Sales!AB73*'Debtors+Creditors'!$F18*AC$8+Sales!AA73*'Debtors+Creditors'!$G18*AC$9+Sales!Z73*'Debtors+Creditors'!$H18*AC$10)*(1-bad_debts)</f>
        <v>8126.25</v>
      </c>
      <c r="AD18" s="722">
        <f>(Sales!AD73*$E18+Sales!AC73*'Debtors+Creditors'!$F18*AD$8+Sales!AB73*'Debtors+Creditors'!$G18*AD$9+Sales!AA73*'Debtors+Creditors'!$H18*AD$10)*(1-bad_debts)</f>
        <v>8850.2250000000004</v>
      </c>
      <c r="AE18" s="722">
        <f>(Sales!AE73*$E18+Sales!AD73*'Debtors+Creditors'!$F18*AE$8+Sales!AC73*'Debtors+Creditors'!$G18*AE$9+Sales!AB73*'Debtors+Creditors'!$H18*AE$10)*(1-bad_debts)</f>
        <v>2644.7249999999999</v>
      </c>
      <c r="AF18" s="722">
        <f>(Sales!AF73*$E18+Sales!AE73*'Debtors+Creditors'!$F18*AF$8+Sales!AD73*'Debtors+Creditors'!$G18*AF$9+Sales!AC73*'Debtors+Creditors'!$H18*AF$10)*(1-bad_debts)</f>
        <v>916.05</v>
      </c>
      <c r="AG18" s="722">
        <f>(Sales!AG73*$E18+Sales!AF73*'Debtors+Creditors'!$F18*AG$8+Sales!AE73*'Debtors+Creditors'!$G18*AG$9+Sales!AD73*'Debtors+Creditors'!$H18*AG$10)*(1-bad_debts)</f>
        <v>0</v>
      </c>
    </row>
    <row r="19" spans="1:33" s="649" customFormat="1" ht="16.5" customHeight="1" outlineLevel="1">
      <c r="A19" s="894"/>
      <c r="B19" s="287"/>
      <c r="C19" s="24" t="str">
        <f>Product_05</f>
        <v>Net work infrastructure solutions</v>
      </c>
      <c r="D19" s="8" t="str">
        <f t="shared" si="3"/>
        <v>USD</v>
      </c>
      <c r="E19" s="85">
        <f>Inputs!F145</f>
        <v>1</v>
      </c>
      <c r="F19" s="85">
        <f>Inputs!G145</f>
        <v>0</v>
      </c>
      <c r="G19" s="85">
        <f>Inputs!H145</f>
        <v>0</v>
      </c>
      <c r="H19" s="85">
        <f>Inputs!I145</f>
        <v>0</v>
      </c>
      <c r="I19" s="71">
        <f t="shared" si="4"/>
        <v>102846.3273399951</v>
      </c>
      <c r="J19" s="722">
        <f>(Sales!J74*$E19+Sales!I74*'Debtors+Creditors'!$F19*J$8+Sales!H74*'Debtors+Creditors'!$G19*J$9+Sales!G74*'Debtors+Creditors'!$H19*J$10)*(1-bad_debts)</f>
        <v>4432.5</v>
      </c>
      <c r="K19" s="722">
        <f>(Sales!K74*$E19+Sales!J74*'Debtors+Creditors'!$F19*K$8+Sales!I74*'Debtors+Creditors'!$G19*K$9+Sales!H74*'Debtors+Creditors'!$H19*K$10)*(1-bad_debts)</f>
        <v>4432.5</v>
      </c>
      <c r="L19" s="722">
        <f>(Sales!L74*$E19+Sales!K74*'Debtors+Creditors'!$F19*L$8+Sales!J74*'Debtors+Creditors'!$G19*L$9+Sales!I74*'Debtors+Creditors'!$H19*L$10)*(1-bad_debts)</f>
        <v>4432.5</v>
      </c>
      <c r="M19" s="722">
        <f>(Sales!M74*$E19+Sales!L74*'Debtors+Creditors'!$F19*M$8+Sales!K74*'Debtors+Creditors'!$G19*M$9+Sales!J74*'Debtors+Creditors'!$H19*M$10)*(1-bad_debts)</f>
        <v>4432.5</v>
      </c>
      <c r="N19" s="722">
        <f>(Sales!N74*$E19+Sales!M74*'Debtors+Creditors'!$F19*N$8+Sales!L74*'Debtors+Creditors'!$G19*N$9+Sales!K74*'Debtors+Creditors'!$H19*N$10)*(1-bad_debts)</f>
        <v>4432.5</v>
      </c>
      <c r="O19" s="722">
        <f>(Sales!O74*$E19+Sales!N74*'Debtors+Creditors'!$F19*O$8+Sales!M74*'Debtors+Creditors'!$G19*O$9+Sales!L74*'Debtors+Creditors'!$H19*O$10)*(1-bad_debts)</f>
        <v>4432.5</v>
      </c>
      <c r="P19" s="722">
        <f>(Sales!P74*$E19+Sales!O74*'Debtors+Creditors'!$F19*P$8+Sales!N74*'Debtors+Creditors'!$G19*P$9+Sales!M74*'Debtors+Creditors'!$H19*P$10)*(1-bad_debts)</f>
        <v>4432.5</v>
      </c>
      <c r="Q19" s="722">
        <f>(Sales!Q74*$E19+Sales!P74*'Debtors+Creditors'!$F19*Q$8+Sales!O74*'Debtors+Creditors'!$G19*Q$9+Sales!N74*'Debtors+Creditors'!$H19*Q$10)*(1-bad_debts)</f>
        <v>4432.5</v>
      </c>
      <c r="R19" s="722">
        <f>(Sales!R74*$E19+Sales!Q74*'Debtors+Creditors'!$F19*R$8+Sales!P74*'Debtors+Creditors'!$G19*R$9+Sales!O74*'Debtors+Creditors'!$H19*R$10)*(1-bad_debts)</f>
        <v>4925</v>
      </c>
      <c r="S19" s="722">
        <f>(Sales!S74*$E19+Sales!R74*'Debtors+Creditors'!$F19*S$8+Sales!Q74*'Debtors+Creditors'!$G19*S$9+Sales!P74*'Debtors+Creditors'!$H19*S$10)*(1-bad_debts)</f>
        <v>4925</v>
      </c>
      <c r="T19" s="722">
        <f>(Sales!T74*$E19+Sales!S74*'Debtors+Creditors'!$F19*T$8+Sales!R74*'Debtors+Creditors'!$G19*T$9+Sales!Q74*'Debtors+Creditors'!$H19*T$10)*(1-bad_debts)</f>
        <v>4974.25</v>
      </c>
      <c r="U19" s="722">
        <f>(Sales!U74*$E19+Sales!T74*'Debtors+Creditors'!$F19*U$8+Sales!S74*'Debtors+Creditors'!$G19*U$9+Sales!R74*'Debtors+Creditors'!$H19*U$10)*(1-bad_debts)</f>
        <v>5023.9925000000003</v>
      </c>
      <c r="V19" s="722">
        <f>(Sales!V74*$E19+Sales!U74*'Debtors+Creditors'!$F19*V$8+Sales!T74*'Debtors+Creditors'!$G19*V$9+Sales!S74*'Debtors+Creditors'!$H19*V$10)*(1-bad_debts)</f>
        <v>5074.2324250000001</v>
      </c>
      <c r="W19" s="722">
        <f>(Sales!W74*$E19+Sales!V74*'Debtors+Creditors'!$F19*W$8+Sales!U74*'Debtors+Creditors'!$G19*W$9+Sales!T74*'Debtors+Creditors'!$H19*W$10)*(1-bad_debts)</f>
        <v>5124.9747492500001</v>
      </c>
      <c r="X19" s="722">
        <f>(Sales!X74*$E19+Sales!W74*'Debtors+Creditors'!$F19*X$8+Sales!V74*'Debtors+Creditors'!$G19*X$9+Sales!U74*'Debtors+Creditors'!$H19*X$10)*(1-bad_debts)</f>
        <v>5176.2244967425004</v>
      </c>
      <c r="Y19" s="722">
        <f>(Sales!Y74*$E19+Sales!X74*'Debtors+Creditors'!$F19*Y$8+Sales!W74*'Debtors+Creditors'!$G19*Y$9+Sales!V74*'Debtors+Creditors'!$H19*Y$10)*(1-bad_debts)</f>
        <v>5227.9867417099249</v>
      </c>
      <c r="Z19" s="722">
        <f>(Sales!Z74*$E19+Sales!Y74*'Debtors+Creditors'!$F19*Z$8+Sales!X74*'Debtors+Creditors'!$G19*Z$9+Sales!W74*'Debtors+Creditors'!$H19*Z$10)*(1-bad_debts)</f>
        <v>5280.2666091270248</v>
      </c>
      <c r="AA19" s="722">
        <f>(Sales!AA74*$E19+Sales!Z74*'Debtors+Creditors'!$F19*AA$8+Sales!Y74*'Debtors+Creditors'!$G19*AA$9+Sales!X74*'Debtors+Creditors'!$H19*AA$10)*(1-bad_debts)</f>
        <v>5333.0692752182949</v>
      </c>
      <c r="AB19" s="722">
        <f>(Sales!AB74*$E19+Sales!AA74*'Debtors+Creditors'!$F19*AB$8+Sales!Z74*'Debtors+Creditors'!$G19*AB$9+Sales!Y74*'Debtors+Creditors'!$H19*AB$10)*(1-bad_debts)</f>
        <v>5386.3999679704775</v>
      </c>
      <c r="AC19" s="722">
        <f>(Sales!AC74*$E19+Sales!AB74*'Debtors+Creditors'!$F19*AC$8+Sales!AA74*'Debtors+Creditors'!$G19*AC$9+Sales!Z74*'Debtors+Creditors'!$H19*AC$10)*(1-bad_debts)</f>
        <v>5440.2639676501831</v>
      </c>
      <c r="AD19" s="722">
        <f>(Sales!AD74*$E19+Sales!AC74*'Debtors+Creditors'!$F19*AD$8+Sales!AB74*'Debtors+Creditors'!$G19*AD$9+Sales!AA74*'Debtors+Creditors'!$H19*AD$10)*(1-bad_debts)</f>
        <v>5494.6666073266842</v>
      </c>
      <c r="AE19" s="722">
        <f>(Sales!AE74*$E19+Sales!AD74*'Debtors+Creditors'!$F19*AE$8+Sales!AC74*'Debtors+Creditors'!$G19*AE$9+Sales!AB74*'Debtors+Creditors'!$H19*AE$10)*(1-bad_debts)</f>
        <v>0</v>
      </c>
      <c r="AF19" s="722">
        <f>(Sales!AF74*$E19+Sales!AE74*'Debtors+Creditors'!$F19*AF$8+Sales!AD74*'Debtors+Creditors'!$G19*AF$9+Sales!AC74*'Debtors+Creditors'!$H19*AF$10)*(1-bad_debts)</f>
        <v>0</v>
      </c>
      <c r="AG19" s="722">
        <f>(Sales!AG74*$E19+Sales!AF74*'Debtors+Creditors'!$F19*AG$8+Sales!AE74*'Debtors+Creditors'!$G19*AG$9+Sales!AD74*'Debtors+Creditors'!$H19*AG$10)*(1-bad_debts)</f>
        <v>0</v>
      </c>
    </row>
    <row r="20" spans="1:33" s="649" customFormat="1" ht="16.5" customHeight="1" outlineLevel="1">
      <c r="A20" s="894"/>
      <c r="B20" s="287"/>
      <c r="C20" s="24" t="str">
        <f>Product_06</f>
        <v>Repair Services</v>
      </c>
      <c r="D20" s="8" t="str">
        <f t="shared" si="3"/>
        <v>USD</v>
      </c>
      <c r="E20" s="85">
        <f>Inputs!F146</f>
        <v>1</v>
      </c>
      <c r="F20" s="85">
        <f>Inputs!G146</f>
        <v>0</v>
      </c>
      <c r="G20" s="85">
        <f>Inputs!H146</f>
        <v>0</v>
      </c>
      <c r="H20" s="85">
        <f>Inputs!I146</f>
        <v>0</v>
      </c>
      <c r="I20" s="71">
        <f t="shared" si="4"/>
        <v>276895.32000000007</v>
      </c>
      <c r="J20" s="722">
        <f>(Sales!J75*$E20+Sales!I75*'Debtors+Creditors'!$F20*J$8+Sales!H75*'Debtors+Creditors'!$G20*J$9+Sales!G75*'Debtors+Creditors'!$H20*J$10)*(1-bad_debts)</f>
        <v>13782.119999999999</v>
      </c>
      <c r="K20" s="722">
        <f>(Sales!K75*$E20+Sales!J75*'Debtors+Creditors'!$F20*K$8+Sales!I75*'Debtors+Creditors'!$G20*K$9+Sales!H75*'Debtors+Creditors'!$H20*K$10)*(1-bad_debts)</f>
        <v>13782.119999999999</v>
      </c>
      <c r="L20" s="722">
        <f>(Sales!L75*$E20+Sales!K75*'Debtors+Creditors'!$F20*L$8+Sales!J75*'Debtors+Creditors'!$G20*L$9+Sales!I75*'Debtors+Creditors'!$H20*L$10)*(1-bad_debts)</f>
        <v>13782.119999999999</v>
      </c>
      <c r="M20" s="722">
        <f>(Sales!M75*$E20+Sales!L75*'Debtors+Creditors'!$F20*M$8+Sales!K75*'Debtors+Creditors'!$G20*M$9+Sales!J75*'Debtors+Creditors'!$H20*M$10)*(1-bad_debts)</f>
        <v>13782.119999999999</v>
      </c>
      <c r="N20" s="722">
        <f>(Sales!N75*$E20+Sales!M75*'Debtors+Creditors'!$F20*N$8+Sales!L75*'Debtors+Creditors'!$G20*N$9+Sales!K75*'Debtors+Creditors'!$H20*N$10)*(1-bad_debts)</f>
        <v>13782.119999999999</v>
      </c>
      <c r="O20" s="722">
        <f>(Sales!O75*$E20+Sales!N75*'Debtors+Creditors'!$F20*O$8+Sales!M75*'Debtors+Creditors'!$G20*O$9+Sales!L75*'Debtors+Creditors'!$H20*O$10)*(1-bad_debts)</f>
        <v>13782.119999999999</v>
      </c>
      <c r="P20" s="722">
        <f>(Sales!P75*$E20+Sales!O75*'Debtors+Creditors'!$F20*P$8+Sales!N75*'Debtors+Creditors'!$G20*P$9+Sales!M75*'Debtors+Creditors'!$H20*P$10)*(1-bad_debts)</f>
        <v>13782.119999999999</v>
      </c>
      <c r="Q20" s="722">
        <f>(Sales!Q75*$E20+Sales!P75*'Debtors+Creditors'!$F20*Q$8+Sales!O75*'Debtors+Creditors'!$G20*Q$9+Sales!N75*'Debtors+Creditors'!$H20*Q$10)*(1-bad_debts)</f>
        <v>13782.119999999999</v>
      </c>
      <c r="R20" s="722">
        <f>(Sales!R75*$E20+Sales!Q75*'Debtors+Creditors'!$F20*R$8+Sales!P75*'Debtors+Creditors'!$G20*R$9+Sales!O75*'Debtors+Creditors'!$H20*R$10)*(1-bad_debts)</f>
        <v>13782.119999999999</v>
      </c>
      <c r="S20" s="722">
        <f>(Sales!S75*$E20+Sales!R75*'Debtors+Creditors'!$F20*S$8+Sales!Q75*'Debtors+Creditors'!$G20*S$9+Sales!P75*'Debtors+Creditors'!$H20*S$10)*(1-bad_debts)</f>
        <v>13782.119999999999</v>
      </c>
      <c r="T20" s="722">
        <f>(Sales!T75*$E20+Sales!S75*'Debtors+Creditors'!$F20*T$8+Sales!R75*'Debtors+Creditors'!$G20*T$9+Sales!Q75*'Debtors+Creditors'!$H20*T$10)*(1-bad_debts)</f>
        <v>13782.119999999999</v>
      </c>
      <c r="U20" s="722">
        <f>(Sales!U75*$E20+Sales!T75*'Debtors+Creditors'!$F20*U$8+Sales!S75*'Debtors+Creditors'!$G20*U$9+Sales!R75*'Debtors+Creditors'!$H20*U$10)*(1-bad_debts)</f>
        <v>12529.2</v>
      </c>
      <c r="V20" s="722">
        <f>(Sales!V75*$E20+Sales!U75*'Debtors+Creditors'!$F20*V$8+Sales!T75*'Debtors+Creditors'!$G20*V$9+Sales!S75*'Debtors+Creditors'!$H20*V$10)*(1-bad_debts)</f>
        <v>12529.2</v>
      </c>
      <c r="W20" s="722">
        <f>(Sales!W75*$E20+Sales!V75*'Debtors+Creditors'!$F20*W$8+Sales!U75*'Debtors+Creditors'!$G20*W$9+Sales!T75*'Debtors+Creditors'!$H20*W$10)*(1-bad_debts)</f>
        <v>12529.2</v>
      </c>
      <c r="X20" s="722">
        <f>(Sales!X75*$E20+Sales!W75*'Debtors+Creditors'!$F20*X$8+Sales!V75*'Debtors+Creditors'!$G20*X$9+Sales!U75*'Debtors+Creditors'!$H20*X$10)*(1-bad_debts)</f>
        <v>12529.2</v>
      </c>
      <c r="Y20" s="722">
        <f>(Sales!Y75*$E20+Sales!X75*'Debtors+Creditors'!$F20*Y$8+Sales!W75*'Debtors+Creditors'!$G20*Y$9+Sales!V75*'Debtors+Creditors'!$H20*Y$10)*(1-bad_debts)</f>
        <v>12529.2</v>
      </c>
      <c r="Z20" s="722">
        <f>(Sales!Z75*$E20+Sales!Y75*'Debtors+Creditors'!$F20*Z$8+Sales!X75*'Debtors+Creditors'!$G20*Z$9+Sales!W75*'Debtors+Creditors'!$H20*Z$10)*(1-bad_debts)</f>
        <v>12529.2</v>
      </c>
      <c r="AA20" s="722">
        <f>(Sales!AA75*$E20+Sales!Z75*'Debtors+Creditors'!$F20*AA$8+Sales!Y75*'Debtors+Creditors'!$G20*AA$9+Sales!X75*'Debtors+Creditors'!$H20*AA$10)*(1-bad_debts)</f>
        <v>12529.2</v>
      </c>
      <c r="AB20" s="722">
        <f>(Sales!AB75*$E20+Sales!AA75*'Debtors+Creditors'!$F20*AB$8+Sales!Z75*'Debtors+Creditors'!$G20*AB$9+Sales!Y75*'Debtors+Creditors'!$H20*AB$10)*(1-bad_debts)</f>
        <v>12529.2</v>
      </c>
      <c r="AC20" s="722">
        <f>(Sales!AC75*$E20+Sales!AB75*'Debtors+Creditors'!$F20*AC$8+Sales!AA75*'Debtors+Creditors'!$G20*AC$9+Sales!Z75*'Debtors+Creditors'!$H20*AC$10)*(1-bad_debts)</f>
        <v>12529.2</v>
      </c>
      <c r="AD20" s="722">
        <f>(Sales!AD75*$E20+Sales!AC75*'Debtors+Creditors'!$F20*AD$8+Sales!AB75*'Debtors+Creditors'!$G20*AD$9+Sales!AA75*'Debtors+Creditors'!$H20*AD$10)*(1-bad_debts)</f>
        <v>12529.2</v>
      </c>
      <c r="AE20" s="722">
        <f>(Sales!AE75*$E20+Sales!AD75*'Debtors+Creditors'!$F20*AE$8+Sales!AC75*'Debtors+Creditors'!$G20*AE$9+Sales!AB75*'Debtors+Creditors'!$H20*AE$10)*(1-bad_debts)</f>
        <v>0</v>
      </c>
      <c r="AF20" s="722">
        <f>(Sales!AF75*$E20+Sales!AE75*'Debtors+Creditors'!$F20*AF$8+Sales!AD75*'Debtors+Creditors'!$G20*AF$9+Sales!AC75*'Debtors+Creditors'!$H20*AF$10)*(1-bad_debts)</f>
        <v>0</v>
      </c>
      <c r="AG20" s="722">
        <f>(Sales!AG75*$E20+Sales!AF75*'Debtors+Creditors'!$F20*AG$8+Sales!AE75*'Debtors+Creditors'!$G20*AG$9+Sales!AD75*'Debtors+Creditors'!$H20*AG$10)*(1-bad_debts)</f>
        <v>0</v>
      </c>
    </row>
    <row r="21" spans="1:33" s="649" customFormat="1" ht="16.5" customHeight="1" outlineLevel="1">
      <c r="A21" s="894"/>
      <c r="B21" s="287"/>
      <c r="C21" s="24" t="str">
        <f>Product_07</f>
        <v>Integration Services</v>
      </c>
      <c r="D21" s="8" t="str">
        <f t="shared" si="3"/>
        <v>USD</v>
      </c>
      <c r="E21" s="85">
        <f>Inputs!F147</f>
        <v>1</v>
      </c>
      <c r="F21" s="85">
        <f>Inputs!G147</f>
        <v>0</v>
      </c>
      <c r="G21" s="85">
        <f>Inputs!H147</f>
        <v>0</v>
      </c>
      <c r="H21" s="85">
        <f>Inputs!I147</f>
        <v>0</v>
      </c>
      <c r="I21" s="71">
        <f t="shared" si="4"/>
        <v>397940</v>
      </c>
      <c r="J21" s="722">
        <f>(Sales!J76*$E21+Sales!I76*'Debtors+Creditors'!$F21*J$8+Sales!H76*'Debtors+Creditors'!$G21*J$9+Sales!G76*'Debtors+Creditors'!$H21*J$10)*(1-bad_debts)</f>
        <v>17730</v>
      </c>
      <c r="K21" s="722">
        <f>(Sales!K76*$E21+Sales!J76*'Debtors+Creditors'!$F21*K$8+Sales!I76*'Debtors+Creditors'!$G21*K$9+Sales!H76*'Debtors+Creditors'!$H21*K$10)*(1-bad_debts)</f>
        <v>17730</v>
      </c>
      <c r="L21" s="722">
        <f>(Sales!L76*$E21+Sales!K76*'Debtors+Creditors'!$F21*L$8+Sales!J76*'Debtors+Creditors'!$G21*L$9+Sales!I76*'Debtors+Creditors'!$H21*L$10)*(1-bad_debts)</f>
        <v>17730</v>
      </c>
      <c r="M21" s="722">
        <f>(Sales!M76*$E21+Sales!L76*'Debtors+Creditors'!$F21*M$8+Sales!K76*'Debtors+Creditors'!$G21*M$9+Sales!J76*'Debtors+Creditors'!$H21*M$10)*(1-bad_debts)</f>
        <v>17730</v>
      </c>
      <c r="N21" s="722">
        <f>(Sales!N76*$E21+Sales!M76*'Debtors+Creditors'!$F21*N$8+Sales!L76*'Debtors+Creditors'!$G21*N$9+Sales!K76*'Debtors+Creditors'!$H21*N$10)*(1-bad_debts)</f>
        <v>17730</v>
      </c>
      <c r="O21" s="722">
        <f>(Sales!O76*$E21+Sales!N76*'Debtors+Creditors'!$F21*O$8+Sales!M76*'Debtors+Creditors'!$G21*O$9+Sales!L76*'Debtors+Creditors'!$H21*O$10)*(1-bad_debts)</f>
        <v>17730</v>
      </c>
      <c r="P21" s="722">
        <f>(Sales!P76*$E21+Sales!O76*'Debtors+Creditors'!$F21*P$8+Sales!N76*'Debtors+Creditors'!$G21*P$9+Sales!M76*'Debtors+Creditors'!$H21*P$10)*(1-bad_debts)</f>
        <v>17730</v>
      </c>
      <c r="Q21" s="722">
        <f>(Sales!Q76*$E21+Sales!P76*'Debtors+Creditors'!$F21*Q$8+Sales!O76*'Debtors+Creditors'!$G21*Q$9+Sales!N76*'Debtors+Creditors'!$H21*Q$10)*(1-bad_debts)</f>
        <v>17730</v>
      </c>
      <c r="R21" s="722">
        <f>(Sales!R76*$E21+Sales!Q76*'Debtors+Creditors'!$F21*R$8+Sales!P76*'Debtors+Creditors'!$G21*R$9+Sales!O76*'Debtors+Creditors'!$H21*R$10)*(1-bad_debts)</f>
        <v>19700</v>
      </c>
      <c r="S21" s="722">
        <f>(Sales!S76*$E21+Sales!R76*'Debtors+Creditors'!$F21*S$8+Sales!Q76*'Debtors+Creditors'!$G21*S$9+Sales!P76*'Debtors+Creditors'!$H21*S$10)*(1-bad_debts)</f>
        <v>19700</v>
      </c>
      <c r="T21" s="722">
        <f>(Sales!T76*$E21+Sales!S76*'Debtors+Creditors'!$F21*T$8+Sales!R76*'Debtors+Creditors'!$G21*T$9+Sales!Q76*'Debtors+Creditors'!$H21*T$10)*(1-bad_debts)</f>
        <v>19700</v>
      </c>
      <c r="U21" s="722">
        <f>(Sales!U76*$E21+Sales!T76*'Debtors+Creditors'!$F21*U$8+Sales!S76*'Debtors+Creditors'!$G21*U$9+Sales!R76*'Debtors+Creditors'!$H21*U$10)*(1-bad_debts)</f>
        <v>19700</v>
      </c>
      <c r="V21" s="722">
        <f>(Sales!V76*$E21+Sales!U76*'Debtors+Creditors'!$F21*V$8+Sales!T76*'Debtors+Creditors'!$G21*V$9+Sales!S76*'Debtors+Creditors'!$H21*V$10)*(1-bad_debts)</f>
        <v>19700</v>
      </c>
      <c r="W21" s="722">
        <f>(Sales!W76*$E21+Sales!V76*'Debtors+Creditors'!$F21*W$8+Sales!U76*'Debtors+Creditors'!$G21*W$9+Sales!T76*'Debtors+Creditors'!$H21*W$10)*(1-bad_debts)</f>
        <v>19700</v>
      </c>
      <c r="X21" s="722">
        <f>(Sales!X76*$E21+Sales!W76*'Debtors+Creditors'!$F21*X$8+Sales!V76*'Debtors+Creditors'!$G21*X$9+Sales!U76*'Debtors+Creditors'!$H21*X$10)*(1-bad_debts)</f>
        <v>19700</v>
      </c>
      <c r="Y21" s="722">
        <f>(Sales!Y76*$E21+Sales!X76*'Debtors+Creditors'!$F21*Y$8+Sales!W76*'Debtors+Creditors'!$G21*Y$9+Sales!V76*'Debtors+Creditors'!$H21*Y$10)*(1-bad_debts)</f>
        <v>19700</v>
      </c>
      <c r="Z21" s="722">
        <f>(Sales!Z76*$E21+Sales!Y76*'Debtors+Creditors'!$F21*Z$8+Sales!X76*'Debtors+Creditors'!$G21*Z$9+Sales!W76*'Debtors+Creditors'!$H21*Z$10)*(1-bad_debts)</f>
        <v>19700</v>
      </c>
      <c r="AA21" s="722">
        <f>(Sales!AA76*$E21+Sales!Z76*'Debtors+Creditors'!$F21*AA$8+Sales!Y76*'Debtors+Creditors'!$G21*AA$9+Sales!X76*'Debtors+Creditors'!$H21*AA$10)*(1-bad_debts)</f>
        <v>19700</v>
      </c>
      <c r="AB21" s="722">
        <f>(Sales!AB76*$E21+Sales!AA76*'Debtors+Creditors'!$F21*AB$8+Sales!Z76*'Debtors+Creditors'!$G21*AB$9+Sales!Y76*'Debtors+Creditors'!$H21*AB$10)*(1-bad_debts)</f>
        <v>19700</v>
      </c>
      <c r="AC21" s="722">
        <f>(Sales!AC76*$E21+Sales!AB76*'Debtors+Creditors'!$F21*AC$8+Sales!AA76*'Debtors+Creditors'!$G21*AC$9+Sales!Z76*'Debtors+Creditors'!$H21*AC$10)*(1-bad_debts)</f>
        <v>19700</v>
      </c>
      <c r="AD21" s="722">
        <f>(Sales!AD76*$E21+Sales!AC76*'Debtors+Creditors'!$F21*AD$8+Sales!AB76*'Debtors+Creditors'!$G21*AD$9+Sales!AA76*'Debtors+Creditors'!$H21*AD$10)*(1-bad_debts)</f>
        <v>19700</v>
      </c>
      <c r="AE21" s="722">
        <f>(Sales!AE76*$E21+Sales!AD76*'Debtors+Creditors'!$F21*AE$8+Sales!AC76*'Debtors+Creditors'!$G21*AE$9+Sales!AB76*'Debtors+Creditors'!$H21*AE$10)*(1-bad_debts)</f>
        <v>0</v>
      </c>
      <c r="AF21" s="722">
        <f>(Sales!AF76*$E21+Sales!AE76*'Debtors+Creditors'!$F21*AF$8+Sales!AD76*'Debtors+Creditors'!$G21*AF$9+Sales!AC76*'Debtors+Creditors'!$H21*AF$10)*(1-bad_debts)</f>
        <v>0</v>
      </c>
      <c r="AG21" s="722">
        <f>(Sales!AG76*$E21+Sales!AF76*'Debtors+Creditors'!$F21*AG$8+Sales!AE76*'Debtors+Creditors'!$G21*AG$9+Sales!AD76*'Debtors+Creditors'!$H21*AG$10)*(1-bad_debts)</f>
        <v>0</v>
      </c>
    </row>
    <row r="22" spans="1:33" s="649" customFormat="1" ht="16.5" customHeight="1" outlineLevel="1">
      <c r="A22" s="894"/>
      <c r="B22" s="287"/>
      <c r="C22" s="24" t="str">
        <f>Product_08</f>
        <v>Consulting Services</v>
      </c>
      <c r="D22" s="8" t="str">
        <f t="shared" si="3"/>
        <v>USD</v>
      </c>
      <c r="E22" s="85">
        <f>Inputs!F148</f>
        <v>1</v>
      </c>
      <c r="F22" s="85">
        <f>Inputs!G148</f>
        <v>0</v>
      </c>
      <c r="G22" s="85">
        <f>Inputs!H148</f>
        <v>0</v>
      </c>
      <c r="H22" s="85">
        <f>Inputs!I148</f>
        <v>0</v>
      </c>
      <c r="I22" s="71">
        <f t="shared" si="4"/>
        <v>433891.43908465619</v>
      </c>
      <c r="J22" s="722">
        <f>(Sales!J77*$E22+Sales!I77*'Debtors+Creditors'!$F22*J$8+Sales!H77*'Debtors+Creditors'!$G22*J$9+Sales!G77*'Debtors+Creditors'!$H22*J$10)*(1-bad_debts)</f>
        <v>18670.674999999999</v>
      </c>
      <c r="K22" s="722">
        <f>(Sales!K77*$E22+Sales!J77*'Debtors+Creditors'!$F22*K$8+Sales!I77*'Debtors+Creditors'!$G22*K$9+Sales!H77*'Debtors+Creditors'!$H22*K$10)*(1-bad_debts)</f>
        <v>18857.38175</v>
      </c>
      <c r="L22" s="722">
        <f>(Sales!L77*$E22+Sales!K77*'Debtors+Creditors'!$F22*L$8+Sales!J77*'Debtors+Creditors'!$G22*L$9+Sales!I77*'Debtors+Creditors'!$H22*L$10)*(1-bad_debts)</f>
        <v>19045.955567500001</v>
      </c>
      <c r="M22" s="722">
        <f>(Sales!M77*$E22+Sales!L77*'Debtors+Creditors'!$F22*M$8+Sales!K77*'Debtors+Creditors'!$G22*M$9+Sales!J77*'Debtors+Creditors'!$H22*M$10)*(1-bad_debts)</f>
        <v>19236.415123175</v>
      </c>
      <c r="N22" s="722">
        <f>(Sales!N77*$E22+Sales!M77*'Debtors+Creditors'!$F22*N$8+Sales!L77*'Debtors+Creditors'!$G22*N$9+Sales!K77*'Debtors+Creditors'!$H22*N$10)*(1-bad_debts)</f>
        <v>19428.779274406752</v>
      </c>
      <c r="O22" s="722">
        <f>(Sales!O77*$E22+Sales!N77*'Debtors+Creditors'!$F22*O$8+Sales!M77*'Debtors+Creditors'!$G22*O$9+Sales!L77*'Debtors+Creditors'!$H22*O$10)*(1-bad_debts)</f>
        <v>19623.06706715082</v>
      </c>
      <c r="P22" s="722">
        <f>(Sales!P77*$E22+Sales!O77*'Debtors+Creditors'!$F22*P$8+Sales!N77*'Debtors+Creditors'!$G22*P$9+Sales!M77*'Debtors+Creditors'!$H22*P$10)*(1-bad_debts)</f>
        <v>19819.29773782233</v>
      </c>
      <c r="Q22" s="722">
        <f>(Sales!Q77*$E22+Sales!P77*'Debtors+Creditors'!$F22*Q$8+Sales!O77*'Debtors+Creditors'!$G22*Q$9+Sales!N77*'Debtors+Creditors'!$H22*Q$10)*(1-bad_debts)</f>
        <v>20017.490715200554</v>
      </c>
      <c r="R22" s="722">
        <f>(Sales!R77*$E22+Sales!Q77*'Debtors+Creditors'!$F22*R$8+Sales!P77*'Debtors+Creditors'!$G22*R$9+Sales!O77*'Debtors+Creditors'!$H22*R$10)*(1-bad_debts)</f>
        <v>20217.665622352561</v>
      </c>
      <c r="S22" s="722">
        <f>(Sales!S77*$E22+Sales!R77*'Debtors+Creditors'!$F22*S$8+Sales!Q77*'Debtors+Creditors'!$G22*S$9+Sales!P77*'Debtors+Creditors'!$H22*S$10)*(1-bad_debts)</f>
        <v>20419.842278576089</v>
      </c>
      <c r="T22" s="722">
        <f>(Sales!T77*$E22+Sales!S77*'Debtors+Creditors'!$F22*T$8+Sales!R77*'Debtors+Creditors'!$G22*T$9+Sales!Q77*'Debtors+Creditors'!$H22*T$10)*(1-bad_debts)</f>
        <v>20624.04070136185</v>
      </c>
      <c r="U22" s="722">
        <f>(Sales!U77*$E22+Sales!T77*'Debtors+Creditors'!$F22*U$8+Sales!S77*'Debtors+Creditors'!$G22*U$9+Sales!R77*'Debtors+Creditors'!$H22*U$10)*(1-bad_debts)</f>
        <v>20830.281108375471</v>
      </c>
      <c r="V22" s="722">
        <f>(Sales!V77*$E22+Sales!U77*'Debtors+Creditors'!$F22*V$8+Sales!T77*'Debtors+Creditors'!$G22*V$9+Sales!S77*'Debtors+Creditors'!$H22*V$10)*(1-bad_debts)</f>
        <v>21038.583919459226</v>
      </c>
      <c r="W22" s="722">
        <f>(Sales!W77*$E22+Sales!V77*'Debtors+Creditors'!$F22*W$8+Sales!U77*'Debtors+Creditors'!$G22*W$9+Sales!T77*'Debtors+Creditors'!$H22*W$10)*(1-bad_debts)</f>
        <v>21248.96975865382</v>
      </c>
      <c r="X22" s="722">
        <f>(Sales!X77*$E22+Sales!W77*'Debtors+Creditors'!$F22*X$8+Sales!V77*'Debtors+Creditors'!$G22*X$9+Sales!U77*'Debtors+Creditors'!$H22*X$10)*(1-bad_debts)</f>
        <v>21461.459456240358</v>
      </c>
      <c r="Y22" s="722">
        <f>(Sales!Y77*$E22+Sales!X77*'Debtors+Creditors'!$F22*Y$8+Sales!W77*'Debtors+Creditors'!$G22*Y$9+Sales!V77*'Debtors+Creditors'!$H22*Y$10)*(1-bad_debts)</f>
        <v>21676.074050802763</v>
      </c>
      <c r="Z22" s="722">
        <f>(Sales!Z77*$E22+Sales!Y77*'Debtors+Creditors'!$F22*Z$8+Sales!X77*'Debtors+Creditors'!$G22*Z$9+Sales!W77*'Debtors+Creditors'!$H22*Z$10)*(1-bad_debts)</f>
        <v>21892.83479131079</v>
      </c>
      <c r="AA22" s="722">
        <f>(Sales!AA77*$E22+Sales!Z77*'Debtors+Creditors'!$F22*AA$8+Sales!Y77*'Debtors+Creditors'!$G22*AA$9+Sales!X77*'Debtors+Creditors'!$H22*AA$10)*(1-bad_debts)</f>
        <v>22111.763139223898</v>
      </c>
      <c r="AB22" s="722">
        <f>(Sales!AB77*$E22+Sales!AA77*'Debtors+Creditors'!$F22*AB$8+Sales!Z77*'Debtors+Creditors'!$G22*AB$9+Sales!Y77*'Debtors+Creditors'!$H22*AB$10)*(1-bad_debts)</f>
        <v>22332.880770616135</v>
      </c>
      <c r="AC22" s="722">
        <f>(Sales!AC77*$E22+Sales!AB77*'Debtors+Creditors'!$F22*AC$8+Sales!AA77*'Debtors+Creditors'!$G22*AC$9+Sales!Z77*'Debtors+Creditors'!$H22*AC$10)*(1-bad_debts)</f>
        <v>22556.209578322294</v>
      </c>
      <c r="AD22" s="722">
        <f>(Sales!AD77*$E22+Sales!AC77*'Debtors+Creditors'!$F22*AD$8+Sales!AB77*'Debtors+Creditors'!$G22*AD$9+Sales!AA77*'Debtors+Creditors'!$H22*AD$10)*(1-bad_debts)</f>
        <v>22781.771674105519</v>
      </c>
      <c r="AE22" s="722">
        <f>(Sales!AE77*$E22+Sales!AD77*'Debtors+Creditors'!$F22*AE$8+Sales!AC77*'Debtors+Creditors'!$G22*AE$9+Sales!AB77*'Debtors+Creditors'!$H22*AE$10)*(1-bad_debts)</f>
        <v>0</v>
      </c>
      <c r="AF22" s="722">
        <f>(Sales!AF77*$E22+Sales!AE77*'Debtors+Creditors'!$F22*AF$8+Sales!AD77*'Debtors+Creditors'!$G22*AF$9+Sales!AC77*'Debtors+Creditors'!$H22*AF$10)*(1-bad_debts)</f>
        <v>0</v>
      </c>
      <c r="AG22" s="722">
        <f>(Sales!AG77*$E22+Sales!AF77*'Debtors+Creditors'!$F22*AG$8+Sales!AE77*'Debtors+Creditors'!$G22*AG$9+Sales!AD77*'Debtors+Creditors'!$H22*AG$10)*(1-bad_debts)</f>
        <v>0</v>
      </c>
    </row>
    <row r="23" spans="1:33" s="649" customFormat="1" ht="16.5" customHeight="1" outlineLevel="1">
      <c r="A23" s="894"/>
      <c r="B23" s="287"/>
      <c r="C23" s="24" t="str">
        <f>Product_09</f>
        <v>Spare Parts</v>
      </c>
      <c r="D23" s="8" t="str">
        <f t="shared" si="3"/>
        <v>USD</v>
      </c>
      <c r="E23" s="85">
        <f>Inputs!F149</f>
        <v>1</v>
      </c>
      <c r="F23" s="85">
        <f>Inputs!G149</f>
        <v>0</v>
      </c>
      <c r="G23" s="85">
        <f>Inputs!H149</f>
        <v>0</v>
      </c>
      <c r="H23" s="85">
        <f>Inputs!I149</f>
        <v>0</v>
      </c>
      <c r="I23" s="71">
        <f t="shared" si="4"/>
        <v>196655.25</v>
      </c>
      <c r="J23" s="722">
        <f>(Sales!J78*$E23+Sales!I78*'Debtors+Creditors'!$F23*J$8+Sales!H78*'Debtors+Creditors'!$G23*J$9+Sales!G78*'Debtors+Creditors'!$H23*J$10)*(1-bad_debts)</f>
        <v>9480.625</v>
      </c>
      <c r="K23" s="722">
        <f>(Sales!K78*$E23+Sales!J78*'Debtors+Creditors'!$F23*K$8+Sales!I78*'Debtors+Creditors'!$G23*K$9+Sales!H78*'Debtors+Creditors'!$H23*K$10)*(1-bad_debts)</f>
        <v>10022.375</v>
      </c>
      <c r="L23" s="722">
        <f>(Sales!L78*$E23+Sales!K78*'Debtors+Creditors'!$F23*L$8+Sales!J78*'Debtors+Creditors'!$G23*L$9+Sales!I78*'Debtors+Creditors'!$H23*L$10)*(1-bad_debts)</f>
        <v>10022.375</v>
      </c>
      <c r="M23" s="722">
        <f>(Sales!M78*$E23+Sales!L78*'Debtors+Creditors'!$F23*M$8+Sales!K78*'Debtors+Creditors'!$G23*M$9+Sales!J78*'Debtors+Creditors'!$H23*M$10)*(1-bad_debts)</f>
        <v>10022.375</v>
      </c>
      <c r="N23" s="722">
        <f>(Sales!N78*$E23+Sales!M78*'Debtors+Creditors'!$F23*N$8+Sales!L78*'Debtors+Creditors'!$G23*N$9+Sales!K78*'Debtors+Creditors'!$H23*N$10)*(1-bad_debts)</f>
        <v>10022.375</v>
      </c>
      <c r="O23" s="722">
        <f>(Sales!O78*$E23+Sales!N78*'Debtors+Creditors'!$F23*O$8+Sales!M78*'Debtors+Creditors'!$G23*O$9+Sales!L78*'Debtors+Creditors'!$H23*O$10)*(1-bad_debts)</f>
        <v>10022.375</v>
      </c>
      <c r="P23" s="722">
        <f>(Sales!P78*$E23+Sales!O78*'Debtors+Creditors'!$F23*P$8+Sales!N78*'Debtors+Creditors'!$G23*P$9+Sales!M78*'Debtors+Creditors'!$H23*P$10)*(1-bad_debts)</f>
        <v>10022.375</v>
      </c>
      <c r="Q23" s="722">
        <f>(Sales!Q78*$E23+Sales!P78*'Debtors+Creditors'!$F23*Q$8+Sales!O78*'Debtors+Creditors'!$G23*Q$9+Sales!N78*'Debtors+Creditors'!$H23*Q$10)*(1-bad_debts)</f>
        <v>8938.875</v>
      </c>
      <c r="R23" s="722">
        <f>(Sales!R78*$E23+Sales!Q78*'Debtors+Creditors'!$F23*R$8+Sales!P78*'Debtors+Creditors'!$G23*R$9+Sales!O78*'Debtors+Creditors'!$H23*R$10)*(1-bad_debts)</f>
        <v>8938.875</v>
      </c>
      <c r="S23" s="722">
        <f>(Sales!S78*$E23+Sales!R78*'Debtors+Creditors'!$F23*S$8+Sales!Q78*'Debtors+Creditors'!$G23*S$9+Sales!P78*'Debtors+Creditors'!$H23*S$10)*(1-bad_debts)</f>
        <v>8938.875</v>
      </c>
      <c r="T23" s="722">
        <f>(Sales!T78*$E23+Sales!S78*'Debtors+Creditors'!$F23*T$8+Sales!R78*'Debtors+Creditors'!$G23*T$9+Sales!Q78*'Debtors+Creditors'!$H23*T$10)*(1-bad_debts)</f>
        <v>8938.875</v>
      </c>
      <c r="U23" s="722">
        <f>(Sales!U78*$E23+Sales!T78*'Debtors+Creditors'!$F23*U$8+Sales!S78*'Debtors+Creditors'!$G23*U$9+Sales!R78*'Debtors+Creditors'!$H23*U$10)*(1-bad_debts)</f>
        <v>8938.875</v>
      </c>
      <c r="V23" s="722">
        <f>(Sales!V78*$E23+Sales!U78*'Debtors+Creditors'!$F23*V$8+Sales!T78*'Debtors+Creditors'!$G23*V$9+Sales!S78*'Debtors+Creditors'!$H23*V$10)*(1-bad_debts)</f>
        <v>8938.875</v>
      </c>
      <c r="W23" s="722">
        <f>(Sales!W78*$E23+Sales!V78*'Debtors+Creditors'!$F23*W$8+Sales!U78*'Debtors+Creditors'!$G23*W$9+Sales!T78*'Debtors+Creditors'!$H23*W$10)*(1-bad_debts)</f>
        <v>8938.875</v>
      </c>
      <c r="X23" s="722">
        <f>(Sales!X78*$E23+Sales!W78*'Debtors+Creditors'!$F23*X$8+Sales!V78*'Debtors+Creditors'!$G23*X$9+Sales!U78*'Debtors+Creditors'!$H23*X$10)*(1-bad_debts)</f>
        <v>8938.875</v>
      </c>
      <c r="Y23" s="722">
        <f>(Sales!Y78*$E23+Sales!X78*'Debtors+Creditors'!$F23*Y$8+Sales!W78*'Debtors+Creditors'!$G23*Y$9+Sales!V78*'Debtors+Creditors'!$H23*Y$10)*(1-bad_debts)</f>
        <v>8938.875</v>
      </c>
      <c r="Z23" s="722">
        <f>(Sales!Z78*$E23+Sales!Y78*'Debtors+Creditors'!$F23*Z$8+Sales!X78*'Debtors+Creditors'!$G23*Z$9+Sales!W78*'Debtors+Creditors'!$H23*Z$10)*(1-bad_debts)</f>
        <v>8938.875</v>
      </c>
      <c r="AA23" s="722">
        <f>(Sales!AA78*$E23+Sales!Z78*'Debtors+Creditors'!$F23*AA$8+Sales!Y78*'Debtors+Creditors'!$G23*AA$9+Sales!X78*'Debtors+Creditors'!$H23*AA$10)*(1-bad_debts)</f>
        <v>8938.875</v>
      </c>
      <c r="AB23" s="722">
        <f>(Sales!AB78*$E23+Sales!AA78*'Debtors+Creditors'!$F23*AB$8+Sales!Z78*'Debtors+Creditors'!$G23*AB$9+Sales!Y78*'Debtors+Creditors'!$H23*AB$10)*(1-bad_debts)</f>
        <v>8938.875</v>
      </c>
      <c r="AC23" s="722">
        <f>(Sales!AC78*$E23+Sales!AB78*'Debtors+Creditors'!$F23*AC$8+Sales!AA78*'Debtors+Creditors'!$G23*AC$9+Sales!Z78*'Debtors+Creditors'!$H23*AC$10)*(1-bad_debts)</f>
        <v>8938.875</v>
      </c>
      <c r="AD23" s="722">
        <f>(Sales!AD78*$E23+Sales!AC78*'Debtors+Creditors'!$F23*AD$8+Sales!AB78*'Debtors+Creditors'!$G23*AD$9+Sales!AA78*'Debtors+Creditors'!$H23*AD$10)*(1-bad_debts)</f>
        <v>10835</v>
      </c>
      <c r="AE23" s="722">
        <f>(Sales!AE78*$E23+Sales!AD78*'Debtors+Creditors'!$F23*AE$8+Sales!AC78*'Debtors+Creditors'!$G23*AE$9+Sales!AB78*'Debtors+Creditors'!$H23*AE$10)*(1-bad_debts)</f>
        <v>0</v>
      </c>
      <c r="AF23" s="722">
        <f>(Sales!AF78*$E23+Sales!AE78*'Debtors+Creditors'!$F23*AF$8+Sales!AD78*'Debtors+Creditors'!$G23*AF$9+Sales!AC78*'Debtors+Creditors'!$H23*AF$10)*(1-bad_debts)</f>
        <v>0</v>
      </c>
      <c r="AG23" s="722">
        <f>(Sales!AG78*$E23+Sales!AF78*'Debtors+Creditors'!$F23*AG$8+Sales!AE78*'Debtors+Creditors'!$G23*AG$9+Sales!AD78*'Debtors+Creditors'!$H23*AG$10)*(1-bad_debts)</f>
        <v>0</v>
      </c>
    </row>
    <row r="24" spans="1:33" s="649" customFormat="1" ht="16.5" customHeight="1" outlineLevel="1">
      <c r="A24" s="894"/>
      <c r="B24" s="287"/>
      <c r="C24" s="24" t="str">
        <f>Product_10</f>
        <v>License Fees</v>
      </c>
      <c r="D24" s="8" t="str">
        <f t="shared" si="3"/>
        <v>USD</v>
      </c>
      <c r="E24" s="85">
        <f>Inputs!F150</f>
        <v>1</v>
      </c>
      <c r="F24" s="85">
        <f>Inputs!G150</f>
        <v>0</v>
      </c>
      <c r="G24" s="85">
        <f>Inputs!H150</f>
        <v>0</v>
      </c>
      <c r="H24" s="85">
        <f>Inputs!I150</f>
        <v>0</v>
      </c>
      <c r="I24" s="71">
        <f t="shared" si="4"/>
        <v>492697</v>
      </c>
      <c r="J24" s="722">
        <f>(Sales!J79*$E24+Sales!I79*'Debtors+Creditors'!$F24*J$8+Sales!H79*'Debtors+Creditors'!$G24*J$9+Sales!G79*'Debtors+Creditors'!$H24*J$10)*(1-bad_debts)</f>
        <v>0</v>
      </c>
      <c r="K24" s="722">
        <f>(Sales!K79*$E24+Sales!J79*'Debtors+Creditors'!$F24*K$8+Sales!I79*'Debtors+Creditors'!$G24*K$9+Sales!H79*'Debtors+Creditors'!$H24*K$10)*(1-bad_debts)</f>
        <v>0</v>
      </c>
      <c r="L24" s="722">
        <f>(Sales!L79*$E24+Sales!K79*'Debtors+Creditors'!$F24*L$8+Sales!J79*'Debtors+Creditors'!$G24*L$9+Sales!I79*'Debtors+Creditors'!$H24*L$10)*(1-bad_debts)</f>
        <v>0</v>
      </c>
      <c r="M24" s="722">
        <f>(Sales!M79*$E24+Sales!L79*'Debtors+Creditors'!$F24*M$8+Sales!K79*'Debtors+Creditors'!$G24*M$9+Sales!J79*'Debtors+Creditors'!$H24*M$10)*(1-bad_debts)</f>
        <v>0</v>
      </c>
      <c r="N24" s="722">
        <f>(Sales!N79*$E24+Sales!M79*'Debtors+Creditors'!$F24*N$8+Sales!L79*'Debtors+Creditors'!$G24*N$9+Sales!K79*'Debtors+Creditors'!$H24*N$10)*(1-bad_debts)</f>
        <v>0</v>
      </c>
      <c r="O24" s="722">
        <f>(Sales!O79*$E24+Sales!N79*'Debtors+Creditors'!$F24*O$8+Sales!M79*'Debtors+Creditors'!$G24*O$9+Sales!L79*'Debtors+Creditors'!$H24*O$10)*(1-bad_debts)</f>
        <v>0</v>
      </c>
      <c r="P24" s="722">
        <f>(Sales!P79*$E24+Sales!O79*'Debtors+Creditors'!$F24*P$8+Sales!N79*'Debtors+Creditors'!$G24*P$9+Sales!M79*'Debtors+Creditors'!$H24*P$10)*(1-bad_debts)</f>
        <v>98519.7</v>
      </c>
      <c r="Q24" s="722">
        <f>(Sales!Q79*$E24+Sales!P79*'Debtors+Creditors'!$F24*Q$8+Sales!O79*'Debtors+Creditors'!$G24*Q$9+Sales!N79*'Debtors+Creditors'!$H24*Q$10)*(1-bad_debts)</f>
        <v>0</v>
      </c>
      <c r="R24" s="722">
        <f>(Sales!R79*$E24+Sales!Q79*'Debtors+Creditors'!$F24*R$8+Sales!P79*'Debtors+Creditors'!$G24*R$9+Sales!O79*'Debtors+Creditors'!$H24*R$10)*(1-bad_debts)</f>
        <v>0</v>
      </c>
      <c r="S24" s="722">
        <f>(Sales!S79*$E24+Sales!R79*'Debtors+Creditors'!$F24*S$8+Sales!Q79*'Debtors+Creditors'!$G24*S$9+Sales!P79*'Debtors+Creditors'!$H24*S$10)*(1-bad_debts)</f>
        <v>98529.55</v>
      </c>
      <c r="T24" s="722">
        <f>(Sales!T79*$E24+Sales!S79*'Debtors+Creditors'!$F24*T$8+Sales!R79*'Debtors+Creditors'!$G24*T$9+Sales!Q79*'Debtors+Creditors'!$H24*T$10)*(1-bad_debts)</f>
        <v>0</v>
      </c>
      <c r="U24" s="722">
        <f>(Sales!U79*$E24+Sales!T79*'Debtors+Creditors'!$F24*U$8+Sales!S79*'Debtors+Creditors'!$G24*U$9+Sales!R79*'Debtors+Creditors'!$H24*U$10)*(1-bad_debts)</f>
        <v>0</v>
      </c>
      <c r="V24" s="722">
        <f>(Sales!V79*$E24+Sales!U79*'Debtors+Creditors'!$F24*V$8+Sales!T79*'Debtors+Creditors'!$G24*V$9+Sales!S79*'Debtors+Creditors'!$H24*V$10)*(1-bad_debts)</f>
        <v>98539.4</v>
      </c>
      <c r="W24" s="722">
        <f>(Sales!W79*$E24+Sales!V79*'Debtors+Creditors'!$F24*W$8+Sales!U79*'Debtors+Creditors'!$G24*W$9+Sales!T79*'Debtors+Creditors'!$H24*W$10)*(1-bad_debts)</f>
        <v>0</v>
      </c>
      <c r="X24" s="722">
        <f>(Sales!X79*$E24+Sales!W79*'Debtors+Creditors'!$F24*X$8+Sales!V79*'Debtors+Creditors'!$G24*X$9+Sales!U79*'Debtors+Creditors'!$H24*X$10)*(1-bad_debts)</f>
        <v>0</v>
      </c>
      <c r="Y24" s="722">
        <f>(Sales!Y79*$E24+Sales!X79*'Debtors+Creditors'!$F24*Y$8+Sales!W79*'Debtors+Creditors'!$G24*Y$9+Sales!V79*'Debtors+Creditors'!$H24*Y$10)*(1-bad_debts)</f>
        <v>98549.25</v>
      </c>
      <c r="Z24" s="722">
        <f>(Sales!Z79*$E24+Sales!Y79*'Debtors+Creditors'!$F24*Z$8+Sales!X79*'Debtors+Creditors'!$G24*Z$9+Sales!W79*'Debtors+Creditors'!$H24*Z$10)*(1-bad_debts)</f>
        <v>0</v>
      </c>
      <c r="AA24" s="722">
        <f>(Sales!AA79*$E24+Sales!Z79*'Debtors+Creditors'!$F24*AA$8+Sales!Y79*'Debtors+Creditors'!$G24*AA$9+Sales!X79*'Debtors+Creditors'!$H24*AA$10)*(1-bad_debts)</f>
        <v>0</v>
      </c>
      <c r="AB24" s="722">
        <f>(Sales!AB79*$E24+Sales!AA79*'Debtors+Creditors'!$F24*AB$8+Sales!Z79*'Debtors+Creditors'!$G24*AB$9+Sales!Y79*'Debtors+Creditors'!$H24*AB$10)*(1-bad_debts)</f>
        <v>98559.1</v>
      </c>
      <c r="AC24" s="722">
        <f>(Sales!AC79*$E24+Sales!AB79*'Debtors+Creditors'!$F24*AC$8+Sales!AA79*'Debtors+Creditors'!$G24*AC$9+Sales!Z79*'Debtors+Creditors'!$H24*AC$10)*(1-bad_debts)</f>
        <v>0</v>
      </c>
      <c r="AD24" s="722">
        <f>(Sales!AD79*$E24+Sales!AC79*'Debtors+Creditors'!$F24*AD$8+Sales!AB79*'Debtors+Creditors'!$G24*AD$9+Sales!AA79*'Debtors+Creditors'!$H24*AD$10)*(1-bad_debts)</f>
        <v>0</v>
      </c>
      <c r="AE24" s="722">
        <f>(Sales!AE79*$E24+Sales!AD79*'Debtors+Creditors'!$F24*AE$8+Sales!AC79*'Debtors+Creditors'!$G24*AE$9+Sales!AB79*'Debtors+Creditors'!$H24*AE$10)*(1-bad_debts)</f>
        <v>0</v>
      </c>
      <c r="AF24" s="722">
        <f>(Sales!AF79*$E24+Sales!AE79*'Debtors+Creditors'!$F24*AF$8+Sales!AD79*'Debtors+Creditors'!$G24*AF$9+Sales!AC79*'Debtors+Creditors'!$H24*AF$10)*(1-bad_debts)</f>
        <v>0</v>
      </c>
      <c r="AG24" s="722">
        <f>(Sales!AG79*$E24+Sales!AF79*'Debtors+Creditors'!$F24*AG$8+Sales!AE79*'Debtors+Creditors'!$G24*AG$9+Sales!AD79*'Debtors+Creditors'!$H24*AG$10)*(1-bad_debts)</f>
        <v>0</v>
      </c>
    </row>
    <row r="25" spans="1:33" s="649" customFormat="1" ht="16.5" customHeight="1" outlineLevel="1">
      <c r="A25" s="894"/>
      <c r="B25" s="287"/>
      <c r="C25" s="203" t="str">
        <f>CHOOSE(language,"Phasing out of opening BS (Trade Debtors)","Phasing out of opening BS (Accounts Receivables)")</f>
        <v>Phasing out of opening BS (Accounts Receivables)</v>
      </c>
      <c r="D25" s="8" t="str">
        <f t="shared" si="3"/>
        <v>USD</v>
      </c>
      <c r="E25" s="147">
        <f>Inputs!F232</f>
        <v>12500</v>
      </c>
      <c r="F25" s="693">
        <f>Inputs!J232</f>
        <v>4</v>
      </c>
      <c r="G25" s="203" t="s">
        <v>501</v>
      </c>
      <c r="H25" s="203"/>
      <c r="I25" s="71">
        <f t="shared" si="4"/>
        <v>12500</v>
      </c>
      <c r="J25" s="722">
        <f>IF(J$7=1,$E25/$F25,IF(SUM(I25:$J25)&gt;=$E25,0,$E25/$F25))</f>
        <v>3125</v>
      </c>
      <c r="K25" s="722">
        <f>IF(K$7=1,$E25/$F25,IF(SUM(J25:$J25)&gt;=$E25,0,$E25/$F25))</f>
        <v>3125</v>
      </c>
      <c r="L25" s="722">
        <f>IF(L$7=1,$E25/$F25,IF(SUM($J25:K25)&gt;=$E25,0,$E25/$F25))</f>
        <v>3125</v>
      </c>
      <c r="M25" s="722">
        <f>IF(M$7=1,$E25/$F25,IF(SUM($J25:L25)&gt;=$E25,0,$E25/$F25))</f>
        <v>3125</v>
      </c>
      <c r="N25" s="722">
        <f>IF(N$7=1,$E25/$F25,IF(SUM($J25:M25)&gt;=$E25,0,$E25/$F25))</f>
        <v>0</v>
      </c>
      <c r="O25" s="722">
        <f>IF(O$7=1,$E25/$F25,IF(SUM($J25:N25)&gt;=$E25,0,$E25/$F25))</f>
        <v>0</v>
      </c>
      <c r="P25" s="722">
        <f>IF(P$7=1,$E25/$F25,IF(SUM($J25:O25)&gt;=$E25,0,$E25/$F25))</f>
        <v>0</v>
      </c>
      <c r="Q25" s="722">
        <f>IF(Q$7=1,$E25/$F25,IF(SUM($J25:P25)&gt;=$E25,0,$E25/$F25))</f>
        <v>0</v>
      </c>
      <c r="R25" s="722">
        <f>IF(R$7=1,$E25/$F25,IF(SUM($J25:Q25)&gt;=$E25,0,$E25/$F25))</f>
        <v>0</v>
      </c>
      <c r="S25" s="722">
        <f>IF(S$7=1,$E25/$F25,IF(SUM($J25:R25)&gt;=$E25,0,$E25/$F25))</f>
        <v>0</v>
      </c>
      <c r="T25" s="722">
        <f>IF(T$7=1,$E25/$F25,IF(SUM($J25:S25)&gt;=$E25,0,$E25/$F25))</f>
        <v>0</v>
      </c>
      <c r="U25" s="722">
        <f>IF(U$7=1,$E25/$F25,IF(SUM($J25:T25)&gt;=$E25,0,$E25/$F25))</f>
        <v>0</v>
      </c>
      <c r="V25" s="722">
        <f>IF(V$7=1,$E25/$F25,IF(SUM($J25:U25)&gt;=$E25,0,$E25/$F25))</f>
        <v>0</v>
      </c>
      <c r="W25" s="722">
        <f>IF(W$7=1,$E25/$F25,IF(SUM($J25:V25)&gt;=$E25,0,$E25/$F25))</f>
        <v>0</v>
      </c>
      <c r="X25" s="722">
        <f>IF(X$7=1,$E25/$F25,IF(SUM($J25:W25)&gt;=$E25,0,$E25/$F25))</f>
        <v>0</v>
      </c>
      <c r="Y25" s="722">
        <f>IF(Y$7=1,$E25/$F25,IF(SUM($J25:X25)&gt;=$E25,0,$E25/$F25))</f>
        <v>0</v>
      </c>
      <c r="Z25" s="722">
        <f>IF(Z$7=1,$E25/$F25,IF(SUM($J25:Y25)&gt;=$E25,0,$E25/$F25))</f>
        <v>0</v>
      </c>
      <c r="AA25" s="722">
        <f>IF(AA$7=1,$E25/$F25,IF(SUM($J25:Z25)&gt;=$E25,0,$E25/$F25))</f>
        <v>0</v>
      </c>
      <c r="AB25" s="722">
        <f>IF(AB$7=1,$E25/$F25,IF(SUM($J25:AA25)&gt;=$E25,0,$E25/$F25))</f>
        <v>0</v>
      </c>
      <c r="AC25" s="722">
        <f>IF(AC$7=1,$E25/$F25,IF(SUM($J25:AB25)&gt;=$E25,0,$E25/$F25))</f>
        <v>0</v>
      </c>
      <c r="AD25" s="722">
        <f>IF(AD$7=1,$E25/$F25,IF(SUM($J25:AC25)&gt;=$E25,0,$E25/$F25))</f>
        <v>0</v>
      </c>
      <c r="AE25" s="722">
        <f>IF(AE$7=1,$E25/$F25,IF(SUM($J25:AD25)&gt;=$E25,0,$E25/$F25))</f>
        <v>0</v>
      </c>
      <c r="AF25" s="722">
        <f>IF(AF$7=1,$E25/$F25,IF(SUM($J25:AE25)&gt;=$E25,0,$E25/$F25))</f>
        <v>0</v>
      </c>
      <c r="AG25" s="722">
        <f>IF(AG$7=1,$E25/$F25,IF(SUM($J25:AF25)&gt;=$E25,0,$E25/$F25))</f>
        <v>0</v>
      </c>
    </row>
    <row r="26" spans="1:33" s="649" customFormat="1" ht="16.5" customHeight="1" outlineLevel="1" thickBot="1">
      <c r="A26" s="894"/>
      <c r="B26" s="287"/>
      <c r="C26" s="121" t="s">
        <v>925</v>
      </c>
      <c r="D26" s="8" t="str">
        <f t="shared" si="3"/>
        <v>USD</v>
      </c>
      <c r="E26" s="8"/>
      <c r="F26" s="8"/>
      <c r="G26" s="8"/>
      <c r="H26" s="8"/>
      <c r="I26" s="71">
        <f t="shared" si="4"/>
        <v>3693477.9364246516</v>
      </c>
      <c r="J26" s="524">
        <f t="shared" ref="J26:AG26" si="5">SUM(J15:J25)</f>
        <v>115283.995</v>
      </c>
      <c r="K26" s="524">
        <f t="shared" si="5"/>
        <v>144488.80174999998</v>
      </c>
      <c r="L26" s="524">
        <f t="shared" si="5"/>
        <v>152256.9505675</v>
      </c>
      <c r="M26" s="524">
        <f t="shared" si="5"/>
        <v>152693.66012317501</v>
      </c>
      <c r="N26" s="524">
        <f t="shared" si="5"/>
        <v>149761.02427440675</v>
      </c>
      <c r="O26" s="524">
        <f t="shared" si="5"/>
        <v>149955.31206715081</v>
      </c>
      <c r="P26" s="524">
        <f t="shared" si="5"/>
        <v>248671.24273782235</v>
      </c>
      <c r="Q26" s="524">
        <f t="shared" si="5"/>
        <v>147514.90571520056</v>
      </c>
      <c r="R26" s="524">
        <f t="shared" si="5"/>
        <v>149082.26062235257</v>
      </c>
      <c r="S26" s="524">
        <f t="shared" si="5"/>
        <v>249616.53727857606</v>
      </c>
      <c r="T26" s="524">
        <f t="shared" si="5"/>
        <v>153605.93570136183</v>
      </c>
      <c r="U26" s="524">
        <f t="shared" si="5"/>
        <v>152608.99860837546</v>
      </c>
      <c r="V26" s="524">
        <f t="shared" si="5"/>
        <v>251406.94134445922</v>
      </c>
      <c r="W26" s="524">
        <f t="shared" si="5"/>
        <v>153128.6695079038</v>
      </c>
      <c r="X26" s="524">
        <f t="shared" si="5"/>
        <v>153392.40895298286</v>
      </c>
      <c r="Y26" s="524">
        <f t="shared" si="5"/>
        <v>252208.03579251267</v>
      </c>
      <c r="Z26" s="524">
        <f t="shared" si="5"/>
        <v>154447.90640043782</v>
      </c>
      <c r="AA26" s="524">
        <f t="shared" si="5"/>
        <v>154849.65741444219</v>
      </c>
      <c r="AB26" s="524">
        <f t="shared" si="5"/>
        <v>253683.20573858661</v>
      </c>
      <c r="AC26" s="524">
        <f t="shared" si="5"/>
        <v>154268.54854597247</v>
      </c>
      <c r="AD26" s="524">
        <f t="shared" si="5"/>
        <v>160586.5632814322</v>
      </c>
      <c r="AE26" s="524">
        <f t="shared" si="5"/>
        <v>34716.324999999997</v>
      </c>
      <c r="AF26" s="524">
        <f t="shared" si="5"/>
        <v>5250.05</v>
      </c>
      <c r="AG26" s="524">
        <f t="shared" si="5"/>
        <v>0</v>
      </c>
    </row>
    <row r="27" spans="1:33" s="649" customFormat="1" ht="16.5" customHeight="1" outlineLevel="1" thickTop="1">
      <c r="A27" s="894"/>
      <c r="B27" s="287"/>
      <c r="C27" s="277"/>
      <c r="D27" s="342"/>
      <c r="E27" s="277"/>
      <c r="F27" s="277"/>
      <c r="G27" s="277"/>
      <c r="H27" s="277"/>
      <c r="I27" s="277"/>
      <c r="J27" s="343"/>
      <c r="K27" s="344"/>
      <c r="L27" s="344"/>
      <c r="M27" s="344"/>
      <c r="N27" s="344"/>
      <c r="O27" s="344"/>
      <c r="P27" s="344"/>
      <c r="Q27" s="344"/>
      <c r="R27" s="344"/>
      <c r="S27" s="344"/>
      <c r="T27" s="344"/>
      <c r="U27" s="344"/>
      <c r="V27" s="344"/>
      <c r="W27" s="344"/>
      <c r="X27" s="344"/>
      <c r="Y27" s="344"/>
      <c r="Z27" s="344"/>
      <c r="AA27" s="344"/>
      <c r="AB27" s="344"/>
      <c r="AC27" s="344"/>
      <c r="AD27" s="344"/>
      <c r="AE27" s="344"/>
      <c r="AF27" s="344"/>
      <c r="AG27" s="344"/>
    </row>
    <row r="28" spans="1:33" s="117" customFormat="1" ht="15" customHeight="1" outlineLevel="1">
      <c r="A28" s="894"/>
      <c r="B28" s="241"/>
      <c r="C28" s="331" t="str">
        <f>CHOOSE(language,"BS Account: Trade Debtors","BS Account: Accounts Receivables")</f>
        <v>BS Account: Accounts Receivables</v>
      </c>
      <c r="D28" s="342"/>
      <c r="E28" s="128"/>
      <c r="F28" s="128"/>
      <c r="G28" s="128"/>
      <c r="H28" s="128"/>
      <c r="I28" s="332"/>
      <c r="J28" s="332"/>
      <c r="K28" s="332"/>
      <c r="L28" s="332"/>
      <c r="M28" s="332"/>
      <c r="N28" s="332"/>
      <c r="O28" s="332"/>
      <c r="P28" s="332"/>
      <c r="Q28" s="332"/>
      <c r="R28" s="332"/>
      <c r="S28" s="332"/>
      <c r="T28" s="332"/>
      <c r="U28" s="332"/>
      <c r="V28" s="332"/>
      <c r="W28" s="332"/>
      <c r="X28" s="332"/>
      <c r="Y28" s="332"/>
      <c r="Z28" s="332"/>
      <c r="AA28" s="332"/>
      <c r="AB28" s="332"/>
      <c r="AC28" s="332"/>
      <c r="AD28" s="332"/>
      <c r="AE28" s="332"/>
      <c r="AF28" s="332"/>
      <c r="AG28" s="332"/>
    </row>
    <row r="29" spans="1:33" s="117" customFormat="1" ht="16.5" customHeight="1" outlineLevel="1">
      <c r="A29" s="894"/>
      <c r="B29" s="241"/>
      <c r="C29" s="649" t="s">
        <v>140</v>
      </c>
      <c r="D29" s="8" t="str">
        <f>Currency_Label</f>
        <v>USD</v>
      </c>
      <c r="E29" s="40"/>
      <c r="F29" s="40"/>
      <c r="G29" s="40"/>
      <c r="H29" s="40"/>
      <c r="I29" s="122"/>
      <c r="J29" s="720">
        <f t="shared" ref="J29" si="6">I32</f>
        <v>12500</v>
      </c>
      <c r="K29" s="720">
        <f t="shared" ref="K29:AG29" si="7">J32</f>
        <v>38683.674999999988</v>
      </c>
      <c r="L29" s="720">
        <f t="shared" si="7"/>
        <v>43384.5</v>
      </c>
      <c r="M29" s="720">
        <f t="shared" si="7"/>
        <v>40505.75</v>
      </c>
      <c r="N29" s="720">
        <f t="shared" si="7"/>
        <v>37380.75</v>
      </c>
      <c r="O29" s="720">
        <f t="shared" si="7"/>
        <v>37380.75</v>
      </c>
      <c r="P29" s="720">
        <f t="shared" si="7"/>
        <v>37380.75</v>
      </c>
      <c r="Q29" s="720">
        <f t="shared" si="7"/>
        <v>37380.75</v>
      </c>
      <c r="R29" s="720">
        <f t="shared" si="7"/>
        <v>35822.48000000001</v>
      </c>
      <c r="S29" s="720">
        <f t="shared" si="7"/>
        <v>35359.53</v>
      </c>
      <c r="T29" s="720">
        <f t="shared" si="7"/>
        <v>37625.030000000028</v>
      </c>
      <c r="U29" s="720">
        <f t="shared" si="7"/>
        <v>37625.030000000028</v>
      </c>
      <c r="V29" s="720">
        <f t="shared" si="7"/>
        <v>37625.030000000057</v>
      </c>
      <c r="W29" s="720">
        <f t="shared" si="7"/>
        <v>37625.030000000057</v>
      </c>
      <c r="X29" s="720">
        <f t="shared" si="7"/>
        <v>37625.030000000086</v>
      </c>
      <c r="Y29" s="720">
        <f t="shared" si="7"/>
        <v>37625.030000000086</v>
      </c>
      <c r="Z29" s="720">
        <f t="shared" si="7"/>
        <v>37625.030000000057</v>
      </c>
      <c r="AA29" s="720">
        <f t="shared" si="7"/>
        <v>37755.050000000047</v>
      </c>
      <c r="AB29" s="720">
        <f t="shared" si="7"/>
        <v>37755.050000000047</v>
      </c>
      <c r="AC29" s="720">
        <f t="shared" si="7"/>
        <v>37755.050000000047</v>
      </c>
      <c r="AD29" s="720">
        <f t="shared" si="7"/>
        <v>36622.300000000047</v>
      </c>
      <c r="AE29" s="720">
        <f t="shared" si="7"/>
        <v>39966.375000000058</v>
      </c>
      <c r="AF29" s="720">
        <f t="shared" si="7"/>
        <v>5250.0500000000611</v>
      </c>
      <c r="AG29" s="720">
        <f t="shared" si="7"/>
        <v>0</v>
      </c>
    </row>
    <row r="30" spans="1:33" s="117" customFormat="1" ht="16.5" customHeight="1" outlineLevel="1">
      <c r="A30" s="894"/>
      <c r="B30" s="241"/>
      <c r="C30" s="93" t="s">
        <v>230</v>
      </c>
      <c r="D30" s="8" t="str">
        <f>Currency_Label</f>
        <v>USD</v>
      </c>
      <c r="E30" s="40"/>
      <c r="F30" s="40"/>
      <c r="G30" s="40"/>
      <c r="H30" s="40"/>
      <c r="I30" s="71">
        <f>SUM(J30:AG30)</f>
        <v>3680977.9364246521</v>
      </c>
      <c r="J30" s="720">
        <f>Sales!J80*(1-bad_debts)</f>
        <v>141467.66999999998</v>
      </c>
      <c r="K30" s="720">
        <f>Sales!K80*(1-bad_debts)</f>
        <v>149189.62675</v>
      </c>
      <c r="L30" s="720">
        <f>Sales!L80*(1-bad_debts)</f>
        <v>149378.2005675</v>
      </c>
      <c r="M30" s="720">
        <f>Sales!M80*(1-bad_debts)</f>
        <v>149568.66012317501</v>
      </c>
      <c r="N30" s="720">
        <f>Sales!N80*(1-bad_debts)</f>
        <v>149761.02427440675</v>
      </c>
      <c r="O30" s="720">
        <f>Sales!O80*(1-bad_debts)</f>
        <v>149955.31206715081</v>
      </c>
      <c r="P30" s="720">
        <f>Sales!P80*(1-bad_debts)</f>
        <v>248671.24273782232</v>
      </c>
      <c r="Q30" s="720">
        <f>Sales!Q80*(1-bad_debts)</f>
        <v>145956.63571520057</v>
      </c>
      <c r="R30" s="720">
        <f>Sales!R80*(1-bad_debts)</f>
        <v>148619.31062235255</v>
      </c>
      <c r="S30" s="720">
        <f>Sales!S80*(1-bad_debts)</f>
        <v>251882.03727857608</v>
      </c>
      <c r="T30" s="720">
        <f>Sales!T80*(1-bad_debts)</f>
        <v>153605.93570136183</v>
      </c>
      <c r="U30" s="720">
        <f>Sales!U80*(1-bad_debts)</f>
        <v>152608.99860837549</v>
      </c>
      <c r="V30" s="720">
        <f>Sales!V80*(1-bad_debts)</f>
        <v>251406.94134445922</v>
      </c>
      <c r="W30" s="720">
        <f>Sales!W80*(1-bad_debts)</f>
        <v>153128.66950790383</v>
      </c>
      <c r="X30" s="720">
        <f>Sales!X80*(1-bad_debts)</f>
        <v>153392.40895298286</v>
      </c>
      <c r="Y30" s="720">
        <f>Sales!Y80*(1-bad_debts)</f>
        <v>252208.03579251267</v>
      </c>
      <c r="Z30" s="720">
        <f>Sales!Z80*(1-bad_debts)</f>
        <v>154577.92640043781</v>
      </c>
      <c r="AA30" s="720">
        <f>Sales!AA80*(1-bad_debts)</f>
        <v>154849.65741444219</v>
      </c>
      <c r="AB30" s="720">
        <f>Sales!AB80*(1-bad_debts)</f>
        <v>253683.20573858661</v>
      </c>
      <c r="AC30" s="720">
        <f>Sales!AC80*(1-bad_debts)</f>
        <v>153135.79854597247</v>
      </c>
      <c r="AD30" s="720">
        <f>Sales!AD80*(1-bad_debts)</f>
        <v>163930.63828143221</v>
      </c>
      <c r="AE30" s="720">
        <f>Sales!AE80*(1-bad_debts)</f>
        <v>0</v>
      </c>
      <c r="AF30" s="720">
        <f>Sales!AF80*(1-bad_debts)</f>
        <v>0</v>
      </c>
      <c r="AG30" s="720">
        <f>Sales!AG80*(1-bad_debts)</f>
        <v>0</v>
      </c>
    </row>
    <row r="31" spans="1:33" s="117" customFormat="1" ht="16.5" customHeight="1" outlineLevel="1">
      <c r="A31" s="894"/>
      <c r="B31" s="241"/>
      <c r="C31" s="24" t="s">
        <v>229</v>
      </c>
      <c r="D31" s="8" t="str">
        <f>Currency_Label</f>
        <v>USD</v>
      </c>
      <c r="E31" s="40"/>
      <c r="F31" s="40"/>
      <c r="G31" s="40"/>
      <c r="H31" s="40"/>
      <c r="I31" s="71">
        <f>SUM(J31:AG31)</f>
        <v>-3693477.9364246516</v>
      </c>
      <c r="J31" s="720">
        <f t="shared" ref="J31:AG31" si="8">-J26</f>
        <v>-115283.995</v>
      </c>
      <c r="K31" s="720">
        <f t="shared" si="8"/>
        <v>-144488.80174999998</v>
      </c>
      <c r="L31" s="720">
        <f t="shared" si="8"/>
        <v>-152256.9505675</v>
      </c>
      <c r="M31" s="720">
        <f t="shared" si="8"/>
        <v>-152693.66012317501</v>
      </c>
      <c r="N31" s="720">
        <f t="shared" si="8"/>
        <v>-149761.02427440675</v>
      </c>
      <c r="O31" s="720">
        <f t="shared" si="8"/>
        <v>-149955.31206715081</v>
      </c>
      <c r="P31" s="720">
        <f t="shared" si="8"/>
        <v>-248671.24273782235</v>
      </c>
      <c r="Q31" s="720">
        <f t="shared" si="8"/>
        <v>-147514.90571520056</v>
      </c>
      <c r="R31" s="720">
        <f t="shared" si="8"/>
        <v>-149082.26062235257</v>
      </c>
      <c r="S31" s="720">
        <f t="shared" si="8"/>
        <v>-249616.53727857606</v>
      </c>
      <c r="T31" s="720">
        <f t="shared" si="8"/>
        <v>-153605.93570136183</v>
      </c>
      <c r="U31" s="720">
        <f t="shared" si="8"/>
        <v>-152608.99860837546</v>
      </c>
      <c r="V31" s="720">
        <f t="shared" si="8"/>
        <v>-251406.94134445922</v>
      </c>
      <c r="W31" s="720">
        <f t="shared" si="8"/>
        <v>-153128.6695079038</v>
      </c>
      <c r="X31" s="720">
        <f t="shared" si="8"/>
        <v>-153392.40895298286</v>
      </c>
      <c r="Y31" s="720">
        <f t="shared" si="8"/>
        <v>-252208.03579251267</v>
      </c>
      <c r="Z31" s="720">
        <f t="shared" si="8"/>
        <v>-154447.90640043782</v>
      </c>
      <c r="AA31" s="720">
        <f t="shared" si="8"/>
        <v>-154849.65741444219</v>
      </c>
      <c r="AB31" s="720">
        <f t="shared" si="8"/>
        <v>-253683.20573858661</v>
      </c>
      <c r="AC31" s="720">
        <f t="shared" si="8"/>
        <v>-154268.54854597247</v>
      </c>
      <c r="AD31" s="720">
        <f t="shared" si="8"/>
        <v>-160586.5632814322</v>
      </c>
      <c r="AE31" s="720">
        <f t="shared" si="8"/>
        <v>-34716.324999999997</v>
      </c>
      <c r="AF31" s="720">
        <f t="shared" si="8"/>
        <v>-5250.05</v>
      </c>
      <c r="AG31" s="720">
        <f t="shared" si="8"/>
        <v>0</v>
      </c>
    </row>
    <row r="32" spans="1:33" s="117" customFormat="1" ht="16.5" customHeight="1" outlineLevel="1" thickBot="1">
      <c r="A32" s="894"/>
      <c r="B32" s="241"/>
      <c r="C32" s="649" t="s">
        <v>141</v>
      </c>
      <c r="D32" s="8" t="str">
        <f>Currency_Label</f>
        <v>USD</v>
      </c>
      <c r="E32" s="40"/>
      <c r="F32" s="40"/>
      <c r="G32" s="40"/>
      <c r="H32" s="696" t="s">
        <v>233</v>
      </c>
      <c r="I32" s="147">
        <f>Inputs!F232</f>
        <v>12500</v>
      </c>
      <c r="J32" s="524">
        <f t="shared" ref="J32:AG32" si="9">IF(ABS(SUM(J29:J31))&lt;0.001,0,SUM(J29:J31))</f>
        <v>38683.674999999988</v>
      </c>
      <c r="K32" s="524">
        <f t="shared" si="9"/>
        <v>43384.5</v>
      </c>
      <c r="L32" s="524">
        <f t="shared" si="9"/>
        <v>40505.75</v>
      </c>
      <c r="M32" s="524">
        <f t="shared" si="9"/>
        <v>37380.75</v>
      </c>
      <c r="N32" s="524">
        <f t="shared" si="9"/>
        <v>37380.75</v>
      </c>
      <c r="O32" s="524">
        <f t="shared" si="9"/>
        <v>37380.75</v>
      </c>
      <c r="P32" s="524">
        <f t="shared" si="9"/>
        <v>37380.75</v>
      </c>
      <c r="Q32" s="524">
        <f t="shared" si="9"/>
        <v>35822.48000000001</v>
      </c>
      <c r="R32" s="524">
        <f t="shared" si="9"/>
        <v>35359.53</v>
      </c>
      <c r="S32" s="524">
        <f t="shared" si="9"/>
        <v>37625.030000000028</v>
      </c>
      <c r="T32" s="524">
        <f t="shared" si="9"/>
        <v>37625.030000000028</v>
      </c>
      <c r="U32" s="524">
        <f t="shared" si="9"/>
        <v>37625.030000000057</v>
      </c>
      <c r="V32" s="524">
        <f t="shared" si="9"/>
        <v>37625.030000000057</v>
      </c>
      <c r="W32" s="524">
        <f t="shared" si="9"/>
        <v>37625.030000000086</v>
      </c>
      <c r="X32" s="524">
        <f t="shared" si="9"/>
        <v>37625.030000000086</v>
      </c>
      <c r="Y32" s="524">
        <f t="shared" si="9"/>
        <v>37625.030000000057</v>
      </c>
      <c r="Z32" s="524">
        <f t="shared" si="9"/>
        <v>37755.050000000047</v>
      </c>
      <c r="AA32" s="524">
        <f t="shared" si="9"/>
        <v>37755.050000000047</v>
      </c>
      <c r="AB32" s="524">
        <f t="shared" si="9"/>
        <v>37755.050000000047</v>
      </c>
      <c r="AC32" s="524">
        <f t="shared" si="9"/>
        <v>36622.300000000047</v>
      </c>
      <c r="AD32" s="524">
        <f t="shared" si="9"/>
        <v>39966.375000000058</v>
      </c>
      <c r="AE32" s="524">
        <f t="shared" si="9"/>
        <v>5250.0500000000611</v>
      </c>
      <c r="AF32" s="524">
        <f t="shared" si="9"/>
        <v>0</v>
      </c>
      <c r="AG32" s="524">
        <f t="shared" si="9"/>
        <v>0</v>
      </c>
    </row>
    <row r="33" spans="1:33" s="117" customFormat="1" ht="15" customHeight="1" outlineLevel="1" thickTop="1">
      <c r="A33" s="894"/>
      <c r="B33" s="241"/>
      <c r="C33" s="128"/>
      <c r="D33" s="275"/>
      <c r="E33" s="128"/>
      <c r="F33" s="128"/>
      <c r="G33" s="128"/>
      <c r="H33" s="128"/>
      <c r="I33" s="332"/>
      <c r="J33" s="332"/>
      <c r="K33" s="332"/>
      <c r="L33" s="332"/>
      <c r="M33" s="332"/>
      <c r="N33" s="332"/>
      <c r="O33" s="332"/>
      <c r="P33" s="332"/>
      <c r="Q33" s="332"/>
      <c r="R33" s="332"/>
      <c r="S33" s="332"/>
      <c r="T33" s="332"/>
      <c r="U33" s="332"/>
      <c r="V33" s="332"/>
      <c r="W33" s="332"/>
      <c r="X33" s="332"/>
      <c r="Y33" s="332"/>
      <c r="Z33" s="332"/>
      <c r="AA33" s="332"/>
      <c r="AB33" s="332"/>
      <c r="AC33" s="332"/>
      <c r="AD33" s="332"/>
      <c r="AE33" s="332"/>
      <c r="AF33" s="332"/>
      <c r="AG33" s="332"/>
    </row>
    <row r="34" spans="1:33" s="117" customFormat="1" ht="19.5" customHeight="1" outlineLevel="1">
      <c r="A34" s="894"/>
      <c r="B34" s="241"/>
      <c r="C34" s="279" t="str">
        <f>Name_VAT &amp;" receipts (on cash received basis)"</f>
        <v>VAT receipts (on cash received basis)</v>
      </c>
      <c r="D34" s="275"/>
      <c r="E34" s="691" t="s">
        <v>217</v>
      </c>
      <c r="F34" s="688" t="s">
        <v>218</v>
      </c>
      <c r="G34" s="688" t="s">
        <v>219</v>
      </c>
      <c r="H34" s="688" t="s">
        <v>220</v>
      </c>
      <c r="I34" s="517" t="s">
        <v>46</v>
      </c>
      <c r="J34" s="332"/>
      <c r="K34" s="332"/>
      <c r="L34" s="332"/>
      <c r="M34" s="332"/>
      <c r="N34" s="332"/>
      <c r="O34" s="332"/>
      <c r="P34" s="332"/>
      <c r="Q34" s="332"/>
      <c r="R34" s="332"/>
      <c r="S34" s="332"/>
      <c r="T34" s="332"/>
      <c r="U34" s="332"/>
      <c r="V34" s="332"/>
      <c r="W34" s="332"/>
      <c r="X34" s="332"/>
      <c r="Y34" s="332"/>
      <c r="Z34" s="332"/>
      <c r="AA34" s="332"/>
      <c r="AB34" s="332"/>
      <c r="AC34" s="332"/>
      <c r="AD34" s="332"/>
      <c r="AE34" s="332"/>
      <c r="AF34" s="332"/>
      <c r="AG34" s="332"/>
    </row>
    <row r="35" spans="1:33" s="649" customFormat="1" ht="17.25" customHeight="1" outlineLevel="1">
      <c r="A35" s="894"/>
      <c r="B35" s="287"/>
      <c r="C35" s="24" t="str">
        <f>Product_01</f>
        <v>Desktops</v>
      </c>
      <c r="D35" s="8" t="str">
        <f t="shared" ref="D35:D45" si="10">Currency_Label</f>
        <v>USD</v>
      </c>
      <c r="E35" s="85">
        <f>Inputs!F141</f>
        <v>0.6</v>
      </c>
      <c r="F35" s="85">
        <f>Inputs!G141</f>
        <v>0.3</v>
      </c>
      <c r="G35" s="85">
        <f>Inputs!H141</f>
        <v>0.1</v>
      </c>
      <c r="H35" s="85">
        <f>Inputs!I141</f>
        <v>0</v>
      </c>
      <c r="I35" s="71">
        <f t="shared" ref="I35:I45" si="11">SUM(J35:AG35)</f>
        <v>157324.20000000004</v>
      </c>
      <c r="J35" s="722">
        <f>(Sales!J85*$E35+Sales!I85*'Debtors+Creditors'!$F35*J$8+Sales!H85*'Debtors+Creditors'!$G35*J$9+Sales!G85*'Debtors+Creditors'!$H35*J$10)</f>
        <v>4550.7</v>
      </c>
      <c r="K35" s="722">
        <f>(Sales!K85*$E35+Sales!J85*'Debtors+Creditors'!$F35*K$8+Sales!I85*'Debtors+Creditors'!$G35*K$9+Sales!H85*'Debtors+Creditors'!$H35*K$10)</f>
        <v>7086.09</v>
      </c>
      <c r="L35" s="722">
        <f>(Sales!L85*$E35+Sales!K85*'Debtors+Creditors'!$F35*L$8+Sales!J85*'Debtors+Creditors'!$G35*L$9+Sales!I85*'Debtors+Creditors'!$H35*L$10)</f>
        <v>7974.5599999999995</v>
      </c>
      <c r="M35" s="722">
        <f>(Sales!M85*$E35+Sales!L85*'Debtors+Creditors'!$F35*M$8+Sales!K85*'Debtors+Creditors'!$G35*M$9+Sales!J85*'Debtors+Creditors'!$H35*M$10)</f>
        <v>8017.9</v>
      </c>
      <c r="N35" s="722">
        <f>(Sales!N85*$E35+Sales!M85*'Debtors+Creditors'!$F35*N$8+Sales!L85*'Debtors+Creditors'!$G35*N$9+Sales!K85*'Debtors+Creditors'!$H35*N$10)</f>
        <v>8017.9</v>
      </c>
      <c r="O35" s="722">
        <f>(Sales!O85*$E35+Sales!N85*'Debtors+Creditors'!$F35*O$8+Sales!M85*'Debtors+Creditors'!$G35*O$9+Sales!L85*'Debtors+Creditors'!$H35*O$10)</f>
        <v>8017.9</v>
      </c>
      <c r="P35" s="722">
        <f>(Sales!P85*$E35+Sales!O85*'Debtors+Creditors'!$F35*P$8+Sales!N85*'Debtors+Creditors'!$G35*P$9+Sales!M85*'Debtors+Creditors'!$H35*P$10)</f>
        <v>8017.9</v>
      </c>
      <c r="Q35" s="722">
        <f>(Sales!Q85*$E35+Sales!P85*'Debtors+Creditors'!$F35*Q$8+Sales!O85*'Debtors+Creditors'!$G35*Q$9+Sales!N85*'Debtors+Creditors'!$H35*Q$10)</f>
        <v>7497.82</v>
      </c>
      <c r="R35" s="722">
        <f>(Sales!R85*$E35+Sales!Q85*'Debtors+Creditors'!$F35*R$8+Sales!P85*'Debtors+Creditors'!$G35*R$9+Sales!O85*'Debtors+Creditors'!$H35*R$10)</f>
        <v>7237.78</v>
      </c>
      <c r="S35" s="722">
        <f>(Sales!S85*$E35+Sales!R85*'Debtors+Creditors'!$F35*S$8+Sales!Q85*'Debtors+Creditors'!$G35*S$9+Sales!P85*'Debtors+Creditors'!$H35*S$10)</f>
        <v>7151.0999999999995</v>
      </c>
      <c r="T35" s="722">
        <f>(Sales!T85*$E35+Sales!S85*'Debtors+Creditors'!$F35*T$8+Sales!R85*'Debtors+Creditors'!$G35*T$9+Sales!Q85*'Debtors+Creditors'!$H35*T$10)</f>
        <v>7151.0999999999995</v>
      </c>
      <c r="U35" s="722">
        <f>(Sales!U85*$E35+Sales!T85*'Debtors+Creditors'!$F35*U$8+Sales!S85*'Debtors+Creditors'!$G35*U$9+Sales!R85*'Debtors+Creditors'!$H35*U$10)</f>
        <v>7151.0999999999995</v>
      </c>
      <c r="V35" s="722">
        <f>(Sales!V85*$E35+Sales!U85*'Debtors+Creditors'!$F35*V$8+Sales!T85*'Debtors+Creditors'!$G35*V$9+Sales!S85*'Debtors+Creditors'!$H35*V$10)</f>
        <v>7151.0999999999995</v>
      </c>
      <c r="W35" s="722">
        <f>(Sales!W85*$E35+Sales!V85*'Debtors+Creditors'!$F35*W$8+Sales!U85*'Debtors+Creditors'!$G35*W$9+Sales!T85*'Debtors+Creditors'!$H35*W$10)</f>
        <v>7151.0999999999995</v>
      </c>
      <c r="X35" s="722">
        <f>(Sales!X85*$E35+Sales!W85*'Debtors+Creditors'!$F35*X$8+Sales!V85*'Debtors+Creditors'!$G35*X$9+Sales!U85*'Debtors+Creditors'!$H35*X$10)</f>
        <v>7151.0999999999995</v>
      </c>
      <c r="Y35" s="722">
        <f>(Sales!Y85*$E35+Sales!X85*'Debtors+Creditors'!$F35*Y$8+Sales!W85*'Debtors+Creditors'!$G35*Y$9+Sales!V85*'Debtors+Creditors'!$H35*Y$10)</f>
        <v>7151.0999999999995</v>
      </c>
      <c r="Z35" s="722">
        <f>(Sales!Z85*$E35+Sales!Y85*'Debtors+Creditors'!$F35*Z$8+Sales!X85*'Debtors+Creditors'!$G35*Z$9+Sales!W85*'Debtors+Creditors'!$H35*Z$10)</f>
        <v>7151.0999999999995</v>
      </c>
      <c r="AA35" s="722">
        <f>(Sales!AA85*$E35+Sales!Z85*'Debtors+Creditors'!$F35*AA$8+Sales!Y85*'Debtors+Creditors'!$G35*AA$9+Sales!X85*'Debtors+Creditors'!$H35*AA$10)</f>
        <v>7151.0999999999995</v>
      </c>
      <c r="AB35" s="722">
        <f>(Sales!AB85*$E35+Sales!AA85*'Debtors+Creditors'!$F35*AB$8+Sales!Z85*'Debtors+Creditors'!$G35*AB$9+Sales!Y85*'Debtors+Creditors'!$H35*AB$10)</f>
        <v>7151.0999999999995</v>
      </c>
      <c r="AC35" s="722">
        <f>(Sales!AC85*$E35+Sales!AB85*'Debtors+Creditors'!$F35*AC$8+Sales!AA85*'Debtors+Creditors'!$G35*AC$9+Sales!Z85*'Debtors+Creditors'!$H35*AC$10)</f>
        <v>7151.0999999999995</v>
      </c>
      <c r="AD35" s="722">
        <f>(Sales!AD85*$E35+Sales!AC85*'Debtors+Creditors'!$F35*AD$8+Sales!AB85*'Debtors+Creditors'!$G35*AD$9+Sales!AA85*'Debtors+Creditors'!$H35*AD$10)</f>
        <v>8061.24</v>
      </c>
      <c r="AE35" s="722">
        <f>(Sales!AE85*$E35+Sales!AD85*'Debtors+Creditors'!$F35*AE$8+Sales!AC85*'Debtors+Creditors'!$G35*AE$9+Sales!AB85*'Debtors+Creditors'!$H35*AE$10)</f>
        <v>3315.51</v>
      </c>
      <c r="AF35" s="722">
        <f>(Sales!AF85*$E35+Sales!AE85*'Debtors+Creditors'!$F35*AF$8+Sales!AD85*'Debtors+Creditors'!$G35*AF$9+Sales!AC85*'Debtors+Creditors'!$H35*AF$10)</f>
        <v>866.80000000000007</v>
      </c>
      <c r="AG35" s="722">
        <f>(Sales!AG85*$E35+Sales!AF85*'Debtors+Creditors'!$F35*AG$8+Sales!AE85*'Debtors+Creditors'!$G35*AG$9+Sales!AD85*'Debtors+Creditors'!$H35*AG$10)</f>
        <v>0</v>
      </c>
    </row>
    <row r="36" spans="1:33" s="649" customFormat="1" ht="17.25" customHeight="1" outlineLevel="1">
      <c r="A36" s="894"/>
      <c r="B36" s="287"/>
      <c r="C36" s="24" t="str">
        <f>Product_02</f>
        <v>Workstations</v>
      </c>
      <c r="D36" s="8" t="str">
        <f t="shared" si="10"/>
        <v>USD</v>
      </c>
      <c r="E36" s="85">
        <f>Inputs!F142</f>
        <v>0.5</v>
      </c>
      <c r="F36" s="85">
        <f>Inputs!G142</f>
        <v>0.5</v>
      </c>
      <c r="G36" s="85">
        <f>Inputs!H142</f>
        <v>0</v>
      </c>
      <c r="H36" s="85">
        <f>Inputs!I142</f>
        <v>0</v>
      </c>
      <c r="I36" s="71">
        <f t="shared" si="11"/>
        <v>52106.499999999993</v>
      </c>
      <c r="J36" s="722">
        <f>(Sales!J86*$E36+Sales!I86*'Debtors+Creditors'!$F36*J$8+Sales!H86*'Debtors+Creditors'!$G36*J$9+Sales!G86*'Debtors+Creditors'!$H36*J$10)</f>
        <v>906.19999999999993</v>
      </c>
      <c r="K36" s="722">
        <f>(Sales!K86*$E36+Sales!J86*'Debtors+Creditors'!$F36*K$8+Sales!I86*'Debtors+Creditors'!$G36*K$9+Sales!H86*'Debtors+Creditors'!$H36*K$10)</f>
        <v>2038.9499999999998</v>
      </c>
      <c r="L36" s="722">
        <f>(Sales!L86*$E36+Sales!K86*'Debtors+Creditors'!$F36*L$8+Sales!J86*'Debtors+Creditors'!$G36*L$9+Sales!I86*'Debtors+Creditors'!$H36*L$10)</f>
        <v>2265.5</v>
      </c>
      <c r="M36" s="722">
        <f>(Sales!M86*$E36+Sales!L86*'Debtors+Creditors'!$F36*M$8+Sales!K86*'Debtors+Creditors'!$G36*M$9+Sales!J86*'Debtors+Creditors'!$H36*M$10)</f>
        <v>2265.5</v>
      </c>
      <c r="N36" s="722">
        <f>(Sales!N86*$E36+Sales!M86*'Debtors+Creditors'!$F36*N$8+Sales!L86*'Debtors+Creditors'!$G36*N$9+Sales!K86*'Debtors+Creditors'!$H36*N$10)</f>
        <v>2265.5</v>
      </c>
      <c r="O36" s="722">
        <f>(Sales!O86*$E36+Sales!N86*'Debtors+Creditors'!$F36*O$8+Sales!M86*'Debtors+Creditors'!$G36*O$9+Sales!L86*'Debtors+Creditors'!$H36*O$10)</f>
        <v>2265.5</v>
      </c>
      <c r="P36" s="722">
        <f>(Sales!P86*$E36+Sales!O86*'Debtors+Creditors'!$F36*P$8+Sales!N86*'Debtors+Creditors'!$G36*P$9+Sales!M86*'Debtors+Creditors'!$H36*P$10)</f>
        <v>2265.5</v>
      </c>
      <c r="Q36" s="722">
        <f>(Sales!Q86*$E36+Sales!P86*'Debtors+Creditors'!$F36*Q$8+Sales!O86*'Debtors+Creditors'!$G36*Q$9+Sales!N86*'Debtors+Creditors'!$H36*Q$10)</f>
        <v>2265.5</v>
      </c>
      <c r="R36" s="722">
        <f>(Sales!R86*$E36+Sales!Q86*'Debtors+Creditors'!$F36*R$8+Sales!P86*'Debtors+Creditors'!$G36*R$9+Sales!O86*'Debtors+Creditors'!$H36*R$10)</f>
        <v>2265.5</v>
      </c>
      <c r="S36" s="722">
        <f>(Sales!S86*$E36+Sales!R86*'Debtors+Creditors'!$F36*S$8+Sales!Q86*'Debtors+Creditors'!$G36*S$9+Sales!P86*'Debtors+Creditors'!$H36*S$10)</f>
        <v>2492.0500000000002</v>
      </c>
      <c r="T36" s="722">
        <f>(Sales!T86*$E36+Sales!S86*'Debtors+Creditors'!$F36*T$8+Sales!R86*'Debtors+Creditors'!$G36*T$9+Sales!Q86*'Debtors+Creditors'!$H36*T$10)</f>
        <v>2718.6</v>
      </c>
      <c r="U36" s="722">
        <f>(Sales!U86*$E36+Sales!T86*'Debtors+Creditors'!$F36*U$8+Sales!S86*'Debtors+Creditors'!$G36*U$9+Sales!R86*'Debtors+Creditors'!$H36*U$10)</f>
        <v>2718.6</v>
      </c>
      <c r="V36" s="722">
        <f>(Sales!V86*$E36+Sales!U86*'Debtors+Creditors'!$F36*V$8+Sales!T86*'Debtors+Creditors'!$G36*V$9+Sales!S86*'Debtors+Creditors'!$H36*V$10)</f>
        <v>2718.6</v>
      </c>
      <c r="W36" s="722">
        <f>(Sales!W86*$E36+Sales!V86*'Debtors+Creditors'!$F36*W$8+Sales!U86*'Debtors+Creditors'!$G36*W$9+Sales!T86*'Debtors+Creditors'!$H36*W$10)</f>
        <v>2718.6</v>
      </c>
      <c r="X36" s="722">
        <f>(Sales!X86*$E36+Sales!W86*'Debtors+Creditors'!$F36*X$8+Sales!V86*'Debtors+Creditors'!$G36*X$9+Sales!U86*'Debtors+Creditors'!$H36*X$10)</f>
        <v>2718.6</v>
      </c>
      <c r="Y36" s="722">
        <f>(Sales!Y86*$E36+Sales!X86*'Debtors+Creditors'!$F36*Y$8+Sales!W86*'Debtors+Creditors'!$G36*Y$9+Sales!V86*'Debtors+Creditors'!$H36*Y$10)</f>
        <v>2718.6</v>
      </c>
      <c r="Z36" s="722">
        <f>(Sales!Z86*$E36+Sales!Y86*'Debtors+Creditors'!$F36*Z$8+Sales!X86*'Debtors+Creditors'!$G36*Z$9+Sales!W86*'Debtors+Creditors'!$H36*Z$10)</f>
        <v>2718.6</v>
      </c>
      <c r="AA36" s="722">
        <f>(Sales!AA86*$E36+Sales!Z86*'Debtors+Creditors'!$F36*AA$8+Sales!Y86*'Debtors+Creditors'!$G36*AA$9+Sales!X86*'Debtors+Creditors'!$H36*AA$10)</f>
        <v>2718.6</v>
      </c>
      <c r="AB36" s="722">
        <f>(Sales!AB86*$E36+Sales!AA86*'Debtors+Creditors'!$F36*AB$8+Sales!Z86*'Debtors+Creditors'!$G36*AB$9+Sales!Y86*'Debtors+Creditors'!$H36*AB$10)</f>
        <v>2718.6</v>
      </c>
      <c r="AC36" s="722">
        <f>(Sales!AC86*$E36+Sales!AB86*'Debtors+Creditors'!$F36*AC$8+Sales!AA86*'Debtors+Creditors'!$G36*AC$9+Sales!Z86*'Debtors+Creditors'!$H36*AC$10)</f>
        <v>2605.3249999999998</v>
      </c>
      <c r="AD36" s="722">
        <f>(Sales!AD86*$E36+Sales!AC86*'Debtors+Creditors'!$F36*AD$8+Sales!AB86*'Debtors+Creditors'!$G36*AD$9+Sales!AA86*'Debtors+Creditors'!$H36*AD$10)</f>
        <v>2492.0500000000002</v>
      </c>
      <c r="AE36" s="722">
        <f>(Sales!AE86*$E36+Sales!AD86*'Debtors+Creditors'!$F36*AE$8+Sales!AC86*'Debtors+Creditors'!$G36*AE$9+Sales!AB86*'Debtors+Creditors'!$H36*AE$10)</f>
        <v>1246.0250000000001</v>
      </c>
      <c r="AF36" s="722">
        <f>(Sales!AF86*$E36+Sales!AE86*'Debtors+Creditors'!$F36*AF$8+Sales!AD86*'Debtors+Creditors'!$G36*AF$9+Sales!AC86*'Debtors+Creditors'!$H36*AF$10)</f>
        <v>0</v>
      </c>
      <c r="AG36" s="722">
        <f>(Sales!AG86*$E36+Sales!AF86*'Debtors+Creditors'!$F36*AG$8+Sales!AE86*'Debtors+Creditors'!$G36*AG$9+Sales!AD86*'Debtors+Creditors'!$H36*AG$10)</f>
        <v>0</v>
      </c>
    </row>
    <row r="37" spans="1:33" s="649" customFormat="1" ht="17.25" customHeight="1" outlineLevel="1">
      <c r="A37" s="894"/>
      <c r="B37" s="287"/>
      <c r="C37" s="24" t="str">
        <f>Product_03</f>
        <v>Notebooks</v>
      </c>
      <c r="D37" s="8" t="str">
        <f t="shared" si="10"/>
        <v>USD</v>
      </c>
      <c r="E37" s="85">
        <f>Inputs!F143</f>
        <v>0.8</v>
      </c>
      <c r="F37" s="85">
        <f>Inputs!G143</f>
        <v>0.2</v>
      </c>
      <c r="G37" s="85">
        <f>Inputs!H143</f>
        <v>0</v>
      </c>
      <c r="H37" s="85">
        <f>Inputs!I143</f>
        <v>0</v>
      </c>
      <c r="I37" s="71">
        <f t="shared" si="11"/>
        <v>29890.810000000005</v>
      </c>
      <c r="J37" s="722">
        <f>(Sales!J87*$E37+Sales!I87*'Debtors+Creditors'!$F37*J$8+Sales!H87*'Debtors+Creditors'!$G37*J$9+Sales!G87*'Debtors+Creditors'!$H37*J$10)</f>
        <v>1055.92</v>
      </c>
      <c r="K37" s="722">
        <f>(Sales!K87*$E37+Sales!J87*'Debtors+Creditors'!$F37*K$8+Sales!I87*'Debtors+Creditors'!$G37*K$9+Sales!H87*'Debtors+Creditors'!$H37*K$10)</f>
        <v>1319.9</v>
      </c>
      <c r="L37" s="722">
        <f>(Sales!L87*$E37+Sales!K87*'Debtors+Creditors'!$F37*L$8+Sales!J87*'Debtors+Creditors'!$G37*L$9+Sales!I87*'Debtors+Creditors'!$H37*L$10)</f>
        <v>1319.9</v>
      </c>
      <c r="M37" s="722">
        <f>(Sales!M87*$E37+Sales!L87*'Debtors+Creditors'!$F37*M$8+Sales!K87*'Debtors+Creditors'!$G37*M$9+Sales!J87*'Debtors+Creditors'!$H37*M$10)</f>
        <v>1319.9</v>
      </c>
      <c r="N37" s="722">
        <f>(Sales!N87*$E37+Sales!M87*'Debtors+Creditors'!$F37*N$8+Sales!L87*'Debtors+Creditors'!$G37*N$9+Sales!K87*'Debtors+Creditors'!$H37*N$10)</f>
        <v>1319.9</v>
      </c>
      <c r="O37" s="722">
        <f>(Sales!O87*$E37+Sales!N87*'Debtors+Creditors'!$F37*O$8+Sales!M87*'Debtors+Creditors'!$G37*O$9+Sales!L87*'Debtors+Creditors'!$H37*O$10)</f>
        <v>1319.9</v>
      </c>
      <c r="P37" s="722">
        <f>(Sales!P87*$E37+Sales!O87*'Debtors+Creditors'!$F37*P$8+Sales!N87*'Debtors+Creditors'!$G37*P$9+Sales!M87*'Debtors+Creditors'!$H37*P$10)</f>
        <v>1319.9</v>
      </c>
      <c r="Q37" s="722">
        <f>(Sales!Q87*$E37+Sales!P87*'Debtors+Creditors'!$F37*Q$8+Sales!O87*'Debtors+Creditors'!$G37*Q$9+Sales!N87*'Debtors+Creditors'!$H37*Q$10)</f>
        <v>1425.492</v>
      </c>
      <c r="R37" s="722">
        <f>(Sales!R87*$E37+Sales!Q87*'Debtors+Creditors'!$F37*R$8+Sales!P87*'Debtors+Creditors'!$G37*R$9+Sales!O87*'Debtors+Creditors'!$H37*R$10)</f>
        <v>1451.8899999999999</v>
      </c>
      <c r="S37" s="722">
        <f>(Sales!S87*$E37+Sales!R87*'Debtors+Creditors'!$F37*S$8+Sales!Q87*'Debtors+Creditors'!$G37*S$9+Sales!P87*'Debtors+Creditors'!$H37*S$10)</f>
        <v>1451.8899999999999</v>
      </c>
      <c r="T37" s="722">
        <f>(Sales!T87*$E37+Sales!S87*'Debtors+Creditors'!$F37*T$8+Sales!R87*'Debtors+Creditors'!$G37*T$9+Sales!Q87*'Debtors+Creditors'!$H37*T$10)</f>
        <v>1451.8899999999999</v>
      </c>
      <c r="U37" s="722">
        <f>(Sales!U87*$E37+Sales!T87*'Debtors+Creditors'!$F37*U$8+Sales!S87*'Debtors+Creditors'!$G37*U$9+Sales!R87*'Debtors+Creditors'!$H37*U$10)</f>
        <v>1451.8899999999999</v>
      </c>
      <c r="V37" s="722">
        <f>(Sales!V87*$E37+Sales!U87*'Debtors+Creditors'!$F37*V$8+Sales!T87*'Debtors+Creditors'!$G37*V$9+Sales!S87*'Debtors+Creditors'!$H37*V$10)</f>
        <v>1451.8899999999999</v>
      </c>
      <c r="W37" s="722">
        <f>(Sales!W87*$E37+Sales!V87*'Debtors+Creditors'!$F37*W$8+Sales!U87*'Debtors+Creditors'!$G37*W$9+Sales!T87*'Debtors+Creditors'!$H37*W$10)</f>
        <v>1451.8899999999999</v>
      </c>
      <c r="X37" s="722">
        <f>(Sales!X87*$E37+Sales!W87*'Debtors+Creditors'!$F37*X$8+Sales!V87*'Debtors+Creditors'!$G37*X$9+Sales!U87*'Debtors+Creditors'!$H37*X$10)</f>
        <v>1451.8899999999999</v>
      </c>
      <c r="Y37" s="722">
        <f>(Sales!Y87*$E37+Sales!X87*'Debtors+Creditors'!$F37*Y$8+Sales!W87*'Debtors+Creditors'!$G37*Y$9+Sales!V87*'Debtors+Creditors'!$H37*Y$10)</f>
        <v>1451.8899999999999</v>
      </c>
      <c r="Z37" s="722">
        <f>(Sales!Z87*$E37+Sales!Y87*'Debtors+Creditors'!$F37*Z$8+Sales!X87*'Debtors+Creditors'!$G37*Z$9+Sales!W87*'Debtors+Creditors'!$H37*Z$10)</f>
        <v>1503.8980000000001</v>
      </c>
      <c r="AA37" s="722">
        <f>(Sales!AA87*$E37+Sales!Z87*'Debtors+Creditors'!$F37*AA$8+Sales!Y87*'Debtors+Creditors'!$G37*AA$9+Sales!X87*'Debtors+Creditors'!$H37*AA$10)</f>
        <v>1516.9000000000003</v>
      </c>
      <c r="AB37" s="722">
        <f>(Sales!AB87*$E37+Sales!AA87*'Debtors+Creditors'!$F37*AB$8+Sales!Z87*'Debtors+Creditors'!$G37*AB$9+Sales!Y87*'Debtors+Creditors'!$H37*AB$10)</f>
        <v>1516.9000000000003</v>
      </c>
      <c r="AC37" s="722">
        <f>(Sales!AC87*$E37+Sales!AB87*'Debtors+Creditors'!$F37*AC$8+Sales!AA87*'Debtors+Creditors'!$G37*AC$9+Sales!Z87*'Debtors+Creditors'!$H37*AC$10)</f>
        <v>1516.9000000000003</v>
      </c>
      <c r="AD37" s="722">
        <f>(Sales!AD87*$E37+Sales!AC87*'Debtors+Creditors'!$F37*AD$8+Sales!AB87*'Debtors+Creditors'!$G37*AD$9+Sales!AA87*'Debtors+Creditors'!$H37*AD$10)</f>
        <v>1516.9000000000003</v>
      </c>
      <c r="AE37" s="722">
        <f>(Sales!AE87*$E37+Sales!AD87*'Debtors+Creditors'!$F37*AE$8+Sales!AC87*'Debtors+Creditors'!$G37*AE$9+Sales!AB87*'Debtors+Creditors'!$H37*AE$10)</f>
        <v>303.38000000000005</v>
      </c>
      <c r="AF37" s="722">
        <f>(Sales!AF87*$E37+Sales!AE87*'Debtors+Creditors'!$F37*AF$8+Sales!AD87*'Debtors+Creditors'!$G37*AF$9+Sales!AC87*'Debtors+Creditors'!$H37*AF$10)</f>
        <v>0</v>
      </c>
      <c r="AG37" s="722">
        <f>(Sales!AG87*$E37+Sales!AF87*'Debtors+Creditors'!$F37*AG$8+Sales!AE87*'Debtors+Creditors'!$G37*AG$9+Sales!AD87*'Debtors+Creditors'!$H37*AG$10)</f>
        <v>0</v>
      </c>
    </row>
    <row r="38" spans="1:33" s="649" customFormat="1" ht="17.25" customHeight="1" outlineLevel="1">
      <c r="A38" s="894"/>
      <c r="B38" s="287"/>
      <c r="C38" s="24" t="str">
        <f>Product_04</f>
        <v>Software Products</v>
      </c>
      <c r="D38" s="8" t="str">
        <f t="shared" si="10"/>
        <v>USD</v>
      </c>
      <c r="E38" s="85">
        <f>Inputs!F144</f>
        <v>0.7</v>
      </c>
      <c r="F38" s="85">
        <f>Inputs!G144</f>
        <v>0.2</v>
      </c>
      <c r="G38" s="85">
        <f>Inputs!H144</f>
        <v>0.1</v>
      </c>
      <c r="H38" s="85">
        <f>Inputs!I144</f>
        <v>0</v>
      </c>
      <c r="I38" s="71">
        <f t="shared" si="11"/>
        <v>34691.699999999997</v>
      </c>
      <c r="J38" s="722">
        <f>(Sales!J88*$E38+Sales!I88*'Debtors+Creditors'!$F38*J$8+Sales!H88*'Debtors+Creditors'!$G38*J$9+Sales!G88*'Debtors+Creditors'!$H38*J$10)</f>
        <v>1137.675</v>
      </c>
      <c r="K38" s="722">
        <f>(Sales!K88*$E38+Sales!J88*'Debtors+Creditors'!$F38*K$8+Sales!I88*'Debtors+Creditors'!$G38*K$9+Sales!H88*'Debtors+Creditors'!$H38*K$10)</f>
        <v>1504.0949999999998</v>
      </c>
      <c r="L38" s="722">
        <f>(Sales!L88*$E38+Sales!K88*'Debtors+Creditors'!$F38*L$8+Sales!J88*'Debtors+Creditors'!$G38*L$9+Sales!I88*'Debtors+Creditors'!$H38*L$10)</f>
        <v>1678.44</v>
      </c>
      <c r="M38" s="722">
        <f>(Sales!M88*$E38+Sales!L88*'Debtors+Creditors'!$F38*M$8+Sales!K88*'Debtors+Creditors'!$G38*M$9+Sales!J88*'Debtors+Creditors'!$H38*M$10)</f>
        <v>1684.35</v>
      </c>
      <c r="N38" s="722">
        <f>(Sales!N88*$E38+Sales!M88*'Debtors+Creditors'!$F38*N$8+Sales!L88*'Debtors+Creditors'!$G38*N$9+Sales!K88*'Debtors+Creditors'!$H38*N$10)</f>
        <v>1684.35</v>
      </c>
      <c r="O38" s="722">
        <f>(Sales!O88*$E38+Sales!N88*'Debtors+Creditors'!$F38*O$8+Sales!M88*'Debtors+Creditors'!$G38*O$9+Sales!L88*'Debtors+Creditors'!$H38*O$10)</f>
        <v>1684.35</v>
      </c>
      <c r="P38" s="722">
        <f>(Sales!P88*$E38+Sales!O88*'Debtors+Creditors'!$F38*P$8+Sales!N88*'Debtors+Creditors'!$G38*P$9+Sales!M88*'Debtors+Creditors'!$H38*P$10)</f>
        <v>1684.35</v>
      </c>
      <c r="Q38" s="722">
        <f>(Sales!Q88*$E38+Sales!P88*'Debtors+Creditors'!$F38*Q$8+Sales!O88*'Debtors+Creditors'!$G38*Q$9+Sales!N88*'Debtors+Creditors'!$H38*Q$10)</f>
        <v>1642.98</v>
      </c>
      <c r="R38" s="722">
        <f>(Sales!R88*$E38+Sales!Q88*'Debtors+Creditors'!$F38*R$8+Sales!P88*'Debtors+Creditors'!$G38*R$9+Sales!O88*'Debtors+Creditors'!$H38*R$10)</f>
        <v>1631.1599999999999</v>
      </c>
      <c r="S38" s="722">
        <f>(Sales!S88*$E38+Sales!R88*'Debtors+Creditors'!$F38*S$8+Sales!Q88*'Debtors+Creditors'!$G38*S$9+Sales!P88*'Debtors+Creditors'!$H38*S$10)</f>
        <v>1625.25</v>
      </c>
      <c r="T38" s="722">
        <f>(Sales!T88*$E38+Sales!S88*'Debtors+Creditors'!$F38*T$8+Sales!R88*'Debtors+Creditors'!$G38*T$9+Sales!Q88*'Debtors+Creditors'!$H38*T$10)</f>
        <v>1625.25</v>
      </c>
      <c r="U38" s="722">
        <f>(Sales!U88*$E38+Sales!T88*'Debtors+Creditors'!$F38*U$8+Sales!S88*'Debtors+Creditors'!$G38*U$9+Sales!R88*'Debtors+Creditors'!$H38*U$10)</f>
        <v>1625.25</v>
      </c>
      <c r="V38" s="722">
        <f>(Sales!V88*$E38+Sales!U88*'Debtors+Creditors'!$F38*V$8+Sales!T88*'Debtors+Creditors'!$G38*V$9+Sales!S88*'Debtors+Creditors'!$H38*V$10)</f>
        <v>1625.25</v>
      </c>
      <c r="W38" s="722">
        <f>(Sales!W88*$E38+Sales!V88*'Debtors+Creditors'!$F38*W$8+Sales!U88*'Debtors+Creditors'!$G38*W$9+Sales!T88*'Debtors+Creditors'!$H38*W$10)</f>
        <v>1625.25</v>
      </c>
      <c r="X38" s="722">
        <f>(Sales!X88*$E38+Sales!W88*'Debtors+Creditors'!$F38*X$8+Sales!V88*'Debtors+Creditors'!$G38*X$9+Sales!U88*'Debtors+Creditors'!$H38*X$10)</f>
        <v>1625.25</v>
      </c>
      <c r="Y38" s="722">
        <f>(Sales!Y88*$E38+Sales!X88*'Debtors+Creditors'!$F38*Y$8+Sales!W88*'Debtors+Creditors'!$G38*Y$9+Sales!V88*'Debtors+Creditors'!$H38*Y$10)</f>
        <v>1625.25</v>
      </c>
      <c r="Z38" s="722">
        <f>(Sales!Z88*$E38+Sales!Y88*'Debtors+Creditors'!$F38*Z$8+Sales!X88*'Debtors+Creditors'!$G38*Z$9+Sales!W88*'Debtors+Creditors'!$H38*Z$10)</f>
        <v>1625.25</v>
      </c>
      <c r="AA38" s="722">
        <f>(Sales!AA88*$E38+Sales!Z88*'Debtors+Creditors'!$F38*AA$8+Sales!Y88*'Debtors+Creditors'!$G38*AA$9+Sales!X88*'Debtors+Creditors'!$H38*AA$10)</f>
        <v>1625.25</v>
      </c>
      <c r="AB38" s="722">
        <f>(Sales!AB88*$E38+Sales!AA88*'Debtors+Creditors'!$F38*AB$8+Sales!Z88*'Debtors+Creditors'!$G38*AB$9+Sales!Y88*'Debtors+Creditors'!$H38*AB$10)</f>
        <v>1625.25</v>
      </c>
      <c r="AC38" s="722">
        <f>(Sales!AC88*$E38+Sales!AB88*'Debtors+Creditors'!$F38*AC$8+Sales!AA88*'Debtors+Creditors'!$G38*AC$9+Sales!Z88*'Debtors+Creditors'!$H38*AC$10)</f>
        <v>1625.25</v>
      </c>
      <c r="AD38" s="722">
        <f>(Sales!AD88*$E38+Sales!AC88*'Debtors+Creditors'!$F38*AD$8+Sales!AB88*'Debtors+Creditors'!$G38*AD$9+Sales!AA88*'Debtors+Creditors'!$H38*AD$10)</f>
        <v>1770.0449999999998</v>
      </c>
      <c r="AE38" s="722">
        <f>(Sales!AE88*$E38+Sales!AD88*'Debtors+Creditors'!$F38*AE$8+Sales!AC88*'Debtors+Creditors'!$G38*AE$9+Sales!AB88*'Debtors+Creditors'!$H38*AE$10)</f>
        <v>528.94500000000005</v>
      </c>
      <c r="AF38" s="722">
        <f>(Sales!AF88*$E38+Sales!AE88*'Debtors+Creditors'!$F38*AF$8+Sales!AD88*'Debtors+Creditors'!$G38*AF$9+Sales!AC88*'Debtors+Creditors'!$H38*AF$10)</f>
        <v>183.21</v>
      </c>
      <c r="AG38" s="722">
        <f>(Sales!AG88*$E38+Sales!AF88*'Debtors+Creditors'!$F38*AG$8+Sales!AE88*'Debtors+Creditors'!$G38*AG$9+Sales!AD88*'Debtors+Creditors'!$H38*AG$10)</f>
        <v>0</v>
      </c>
    </row>
    <row r="39" spans="1:33" s="649" customFormat="1" ht="17.25" customHeight="1" outlineLevel="1">
      <c r="A39" s="894"/>
      <c r="B39" s="287"/>
      <c r="C39" s="24" t="str">
        <f>Product_05</f>
        <v>Net work infrastructure solutions</v>
      </c>
      <c r="D39" s="8" t="str">
        <f t="shared" si="10"/>
        <v>USD</v>
      </c>
      <c r="E39" s="85">
        <f>Inputs!F145</f>
        <v>1</v>
      </c>
      <c r="F39" s="85">
        <f>Inputs!G145</f>
        <v>0</v>
      </c>
      <c r="G39" s="85">
        <f>Inputs!H145</f>
        <v>0</v>
      </c>
      <c r="H39" s="85">
        <f>Inputs!I145</f>
        <v>0</v>
      </c>
      <c r="I39" s="71">
        <f t="shared" si="11"/>
        <v>8227.7061871996066</v>
      </c>
      <c r="J39" s="722">
        <f>(Sales!J89*$E39+Sales!I89*'Debtors+Creditors'!$F39*J$8+Sales!H89*'Debtors+Creditors'!$G39*J$9+Sales!G89*'Debtors+Creditors'!$H39*J$10)</f>
        <v>354.6</v>
      </c>
      <c r="K39" s="722">
        <f>(Sales!K89*$E39+Sales!J89*'Debtors+Creditors'!$F39*K$8+Sales!I89*'Debtors+Creditors'!$G39*K$9+Sales!H89*'Debtors+Creditors'!$H39*K$10)</f>
        <v>354.6</v>
      </c>
      <c r="L39" s="722">
        <f>(Sales!L89*$E39+Sales!K89*'Debtors+Creditors'!$F39*L$8+Sales!J89*'Debtors+Creditors'!$G39*L$9+Sales!I89*'Debtors+Creditors'!$H39*L$10)</f>
        <v>354.6</v>
      </c>
      <c r="M39" s="722">
        <f>(Sales!M89*$E39+Sales!L89*'Debtors+Creditors'!$F39*M$8+Sales!K89*'Debtors+Creditors'!$G39*M$9+Sales!J89*'Debtors+Creditors'!$H39*M$10)</f>
        <v>354.6</v>
      </c>
      <c r="N39" s="722">
        <f>(Sales!N89*$E39+Sales!M89*'Debtors+Creditors'!$F39*N$8+Sales!L89*'Debtors+Creditors'!$G39*N$9+Sales!K89*'Debtors+Creditors'!$H39*N$10)</f>
        <v>354.6</v>
      </c>
      <c r="O39" s="722">
        <f>(Sales!O89*$E39+Sales!N89*'Debtors+Creditors'!$F39*O$8+Sales!M89*'Debtors+Creditors'!$G39*O$9+Sales!L89*'Debtors+Creditors'!$H39*O$10)</f>
        <v>354.6</v>
      </c>
      <c r="P39" s="722">
        <f>(Sales!P89*$E39+Sales!O89*'Debtors+Creditors'!$F39*P$8+Sales!N89*'Debtors+Creditors'!$G39*P$9+Sales!M89*'Debtors+Creditors'!$H39*P$10)</f>
        <v>354.6</v>
      </c>
      <c r="Q39" s="722">
        <f>(Sales!Q89*$E39+Sales!P89*'Debtors+Creditors'!$F39*Q$8+Sales!O89*'Debtors+Creditors'!$G39*Q$9+Sales!N89*'Debtors+Creditors'!$H39*Q$10)</f>
        <v>354.6</v>
      </c>
      <c r="R39" s="722">
        <f>(Sales!R89*$E39+Sales!Q89*'Debtors+Creditors'!$F39*R$8+Sales!P89*'Debtors+Creditors'!$G39*R$9+Sales!O89*'Debtors+Creditors'!$H39*R$10)</f>
        <v>394</v>
      </c>
      <c r="S39" s="722">
        <f>(Sales!S89*$E39+Sales!R89*'Debtors+Creditors'!$F39*S$8+Sales!Q89*'Debtors+Creditors'!$G39*S$9+Sales!P89*'Debtors+Creditors'!$H39*S$10)</f>
        <v>394</v>
      </c>
      <c r="T39" s="722">
        <f>(Sales!T89*$E39+Sales!S89*'Debtors+Creditors'!$F39*T$8+Sales!R89*'Debtors+Creditors'!$G39*T$9+Sales!Q89*'Debtors+Creditors'!$H39*T$10)</f>
        <v>397.94</v>
      </c>
      <c r="U39" s="722">
        <f>(Sales!U89*$E39+Sales!T89*'Debtors+Creditors'!$F39*U$8+Sales!S89*'Debtors+Creditors'!$G39*U$9+Sales!R89*'Debtors+Creditors'!$H39*U$10)</f>
        <v>401.9194</v>
      </c>
      <c r="V39" s="722">
        <f>(Sales!V89*$E39+Sales!U89*'Debtors+Creditors'!$F39*V$8+Sales!T89*'Debtors+Creditors'!$G39*V$9+Sales!S89*'Debtors+Creditors'!$H39*V$10)</f>
        <v>405.93859400000002</v>
      </c>
      <c r="W39" s="722">
        <f>(Sales!W89*$E39+Sales!V89*'Debtors+Creditors'!$F39*W$8+Sales!U89*'Debtors+Creditors'!$G39*W$9+Sales!T89*'Debtors+Creditors'!$H39*W$10)</f>
        <v>409.99797993999999</v>
      </c>
      <c r="X39" s="722">
        <f>(Sales!X89*$E39+Sales!W89*'Debtors+Creditors'!$F39*X$8+Sales!V89*'Debtors+Creditors'!$G39*X$9+Sales!U89*'Debtors+Creditors'!$H39*X$10)</f>
        <v>414.09795973940004</v>
      </c>
      <c r="Y39" s="722">
        <f>(Sales!Y89*$E39+Sales!X89*'Debtors+Creditors'!$F39*Y$8+Sales!W89*'Debtors+Creditors'!$G39*Y$9+Sales!V89*'Debtors+Creditors'!$H39*Y$10)</f>
        <v>418.23893933679398</v>
      </c>
      <c r="Z39" s="722">
        <f>(Sales!Z89*$E39+Sales!Y89*'Debtors+Creditors'!$F39*Z$8+Sales!X89*'Debtors+Creditors'!$G39*Z$9+Sales!W89*'Debtors+Creditors'!$H39*Z$10)</f>
        <v>422.42132873016197</v>
      </c>
      <c r="AA39" s="722">
        <f>(Sales!AA89*$E39+Sales!Z89*'Debtors+Creditors'!$F39*AA$8+Sales!Y89*'Debtors+Creditors'!$G39*AA$9+Sales!X89*'Debtors+Creditors'!$H39*AA$10)</f>
        <v>426.64554201746364</v>
      </c>
      <c r="AB39" s="722">
        <f>(Sales!AB89*$E39+Sales!AA89*'Debtors+Creditors'!$F39*AB$8+Sales!Z89*'Debtors+Creditors'!$G39*AB$9+Sales!Y89*'Debtors+Creditors'!$H39*AB$10)</f>
        <v>430.91199743763821</v>
      </c>
      <c r="AC39" s="722">
        <f>(Sales!AC89*$E39+Sales!AB89*'Debtors+Creditors'!$F39*AC$8+Sales!AA89*'Debtors+Creditors'!$G39*AC$9+Sales!Z89*'Debtors+Creditors'!$H39*AC$10)</f>
        <v>435.22111741201462</v>
      </c>
      <c r="AD39" s="722">
        <f>(Sales!AD89*$E39+Sales!AC89*'Debtors+Creditors'!$F39*AD$8+Sales!AB89*'Debtors+Creditors'!$G39*AD$9+Sales!AA89*'Debtors+Creditors'!$H39*AD$10)</f>
        <v>439.57332858613478</v>
      </c>
      <c r="AE39" s="722">
        <f>(Sales!AE89*$E39+Sales!AD89*'Debtors+Creditors'!$F39*AE$8+Sales!AC89*'Debtors+Creditors'!$G39*AE$9+Sales!AB89*'Debtors+Creditors'!$H39*AE$10)</f>
        <v>0</v>
      </c>
      <c r="AF39" s="722">
        <f>(Sales!AF89*$E39+Sales!AE89*'Debtors+Creditors'!$F39*AF$8+Sales!AD89*'Debtors+Creditors'!$G39*AF$9+Sales!AC89*'Debtors+Creditors'!$H39*AF$10)</f>
        <v>0</v>
      </c>
      <c r="AG39" s="722">
        <f>(Sales!AG89*$E39+Sales!AF89*'Debtors+Creditors'!$F39*AG$8+Sales!AE89*'Debtors+Creditors'!$G39*AG$9+Sales!AD89*'Debtors+Creditors'!$H39*AG$10)</f>
        <v>0</v>
      </c>
    </row>
    <row r="40" spans="1:33" s="649" customFormat="1" ht="17.25" customHeight="1" outlineLevel="1">
      <c r="A40" s="894"/>
      <c r="B40" s="287"/>
      <c r="C40" s="24" t="str">
        <f>Product_06</f>
        <v>Repair Services</v>
      </c>
      <c r="D40" s="8" t="str">
        <f t="shared" si="10"/>
        <v>USD</v>
      </c>
      <c r="E40" s="85">
        <f>Inputs!F146</f>
        <v>1</v>
      </c>
      <c r="F40" s="85">
        <f>Inputs!G146</f>
        <v>0</v>
      </c>
      <c r="G40" s="85">
        <f>Inputs!H146</f>
        <v>0</v>
      </c>
      <c r="H40" s="85">
        <f>Inputs!I146</f>
        <v>0</v>
      </c>
      <c r="I40" s="71">
        <f t="shared" si="11"/>
        <v>55379.063999999969</v>
      </c>
      <c r="J40" s="722">
        <f>(Sales!J90*$E40+Sales!I90*'Debtors+Creditors'!$F40*J$8+Sales!H90*'Debtors+Creditors'!$G40*J$9+Sales!G90*'Debtors+Creditors'!$H40*J$10)</f>
        <v>2756.424</v>
      </c>
      <c r="K40" s="722">
        <f>(Sales!K90*$E40+Sales!J90*'Debtors+Creditors'!$F40*K$8+Sales!I90*'Debtors+Creditors'!$G40*K$9+Sales!H90*'Debtors+Creditors'!$H40*K$10)</f>
        <v>2756.424</v>
      </c>
      <c r="L40" s="722">
        <f>(Sales!L90*$E40+Sales!K90*'Debtors+Creditors'!$F40*L$8+Sales!J90*'Debtors+Creditors'!$G40*L$9+Sales!I90*'Debtors+Creditors'!$H40*L$10)</f>
        <v>2756.424</v>
      </c>
      <c r="M40" s="722">
        <f>(Sales!M90*$E40+Sales!L90*'Debtors+Creditors'!$F40*M$8+Sales!K90*'Debtors+Creditors'!$G40*M$9+Sales!J90*'Debtors+Creditors'!$H40*M$10)</f>
        <v>2756.424</v>
      </c>
      <c r="N40" s="722">
        <f>(Sales!N90*$E40+Sales!M90*'Debtors+Creditors'!$F40*N$8+Sales!L90*'Debtors+Creditors'!$G40*N$9+Sales!K90*'Debtors+Creditors'!$H40*N$10)</f>
        <v>2756.424</v>
      </c>
      <c r="O40" s="722">
        <f>(Sales!O90*$E40+Sales!N90*'Debtors+Creditors'!$F40*O$8+Sales!M90*'Debtors+Creditors'!$G40*O$9+Sales!L90*'Debtors+Creditors'!$H40*O$10)</f>
        <v>2756.424</v>
      </c>
      <c r="P40" s="722">
        <f>(Sales!P90*$E40+Sales!O90*'Debtors+Creditors'!$F40*P$8+Sales!N90*'Debtors+Creditors'!$G40*P$9+Sales!M90*'Debtors+Creditors'!$H40*P$10)</f>
        <v>2756.424</v>
      </c>
      <c r="Q40" s="722">
        <f>(Sales!Q90*$E40+Sales!P90*'Debtors+Creditors'!$F40*Q$8+Sales!O90*'Debtors+Creditors'!$G40*Q$9+Sales!N90*'Debtors+Creditors'!$H40*Q$10)</f>
        <v>2756.424</v>
      </c>
      <c r="R40" s="722">
        <f>(Sales!R90*$E40+Sales!Q90*'Debtors+Creditors'!$F40*R$8+Sales!P90*'Debtors+Creditors'!$G40*R$9+Sales!O90*'Debtors+Creditors'!$H40*R$10)</f>
        <v>2756.424</v>
      </c>
      <c r="S40" s="722">
        <f>(Sales!S90*$E40+Sales!R90*'Debtors+Creditors'!$F40*S$8+Sales!Q90*'Debtors+Creditors'!$G40*S$9+Sales!P90*'Debtors+Creditors'!$H40*S$10)</f>
        <v>2756.424</v>
      </c>
      <c r="T40" s="722">
        <f>(Sales!T90*$E40+Sales!S90*'Debtors+Creditors'!$F40*T$8+Sales!R90*'Debtors+Creditors'!$G40*T$9+Sales!Q90*'Debtors+Creditors'!$H40*T$10)</f>
        <v>2756.424</v>
      </c>
      <c r="U40" s="722">
        <f>(Sales!U90*$E40+Sales!T90*'Debtors+Creditors'!$F40*U$8+Sales!S90*'Debtors+Creditors'!$G40*U$9+Sales!R90*'Debtors+Creditors'!$H40*U$10)</f>
        <v>2505.84</v>
      </c>
      <c r="V40" s="722">
        <f>(Sales!V90*$E40+Sales!U90*'Debtors+Creditors'!$F40*V$8+Sales!T90*'Debtors+Creditors'!$G40*V$9+Sales!S90*'Debtors+Creditors'!$H40*V$10)</f>
        <v>2505.84</v>
      </c>
      <c r="W40" s="722">
        <f>(Sales!W90*$E40+Sales!V90*'Debtors+Creditors'!$F40*W$8+Sales!U90*'Debtors+Creditors'!$G40*W$9+Sales!T90*'Debtors+Creditors'!$H40*W$10)</f>
        <v>2505.84</v>
      </c>
      <c r="X40" s="722">
        <f>(Sales!X90*$E40+Sales!W90*'Debtors+Creditors'!$F40*X$8+Sales!V90*'Debtors+Creditors'!$G40*X$9+Sales!U90*'Debtors+Creditors'!$H40*X$10)</f>
        <v>2505.84</v>
      </c>
      <c r="Y40" s="722">
        <f>(Sales!Y90*$E40+Sales!X90*'Debtors+Creditors'!$F40*Y$8+Sales!W90*'Debtors+Creditors'!$G40*Y$9+Sales!V90*'Debtors+Creditors'!$H40*Y$10)</f>
        <v>2505.84</v>
      </c>
      <c r="Z40" s="722">
        <f>(Sales!Z90*$E40+Sales!Y90*'Debtors+Creditors'!$F40*Z$8+Sales!X90*'Debtors+Creditors'!$G40*Z$9+Sales!W90*'Debtors+Creditors'!$H40*Z$10)</f>
        <v>2505.84</v>
      </c>
      <c r="AA40" s="722">
        <f>(Sales!AA90*$E40+Sales!Z90*'Debtors+Creditors'!$F40*AA$8+Sales!Y90*'Debtors+Creditors'!$G40*AA$9+Sales!X90*'Debtors+Creditors'!$H40*AA$10)</f>
        <v>2505.84</v>
      </c>
      <c r="AB40" s="722">
        <f>(Sales!AB90*$E40+Sales!AA90*'Debtors+Creditors'!$F40*AB$8+Sales!Z90*'Debtors+Creditors'!$G40*AB$9+Sales!Y90*'Debtors+Creditors'!$H40*AB$10)</f>
        <v>2505.84</v>
      </c>
      <c r="AC40" s="722">
        <f>(Sales!AC90*$E40+Sales!AB90*'Debtors+Creditors'!$F40*AC$8+Sales!AA90*'Debtors+Creditors'!$G40*AC$9+Sales!Z90*'Debtors+Creditors'!$H40*AC$10)</f>
        <v>2505.84</v>
      </c>
      <c r="AD40" s="722">
        <f>(Sales!AD90*$E40+Sales!AC90*'Debtors+Creditors'!$F40*AD$8+Sales!AB90*'Debtors+Creditors'!$G40*AD$9+Sales!AA90*'Debtors+Creditors'!$H40*AD$10)</f>
        <v>2505.84</v>
      </c>
      <c r="AE40" s="722">
        <f>(Sales!AE90*$E40+Sales!AD90*'Debtors+Creditors'!$F40*AE$8+Sales!AC90*'Debtors+Creditors'!$G40*AE$9+Sales!AB90*'Debtors+Creditors'!$H40*AE$10)</f>
        <v>0</v>
      </c>
      <c r="AF40" s="722">
        <f>(Sales!AF90*$E40+Sales!AE90*'Debtors+Creditors'!$F40*AF$8+Sales!AD90*'Debtors+Creditors'!$G40*AF$9+Sales!AC90*'Debtors+Creditors'!$H40*AF$10)</f>
        <v>0</v>
      </c>
      <c r="AG40" s="722">
        <f>(Sales!AG90*$E40+Sales!AF90*'Debtors+Creditors'!$F40*AG$8+Sales!AE90*'Debtors+Creditors'!$G40*AG$9+Sales!AD90*'Debtors+Creditors'!$H40*AG$10)</f>
        <v>0</v>
      </c>
    </row>
    <row r="41" spans="1:33" s="649" customFormat="1" ht="17.25" customHeight="1" outlineLevel="1">
      <c r="A41" s="894"/>
      <c r="B41" s="287"/>
      <c r="C41" s="24" t="str">
        <f>Product_07</f>
        <v>Integration Services</v>
      </c>
      <c r="D41" s="8" t="str">
        <f t="shared" si="10"/>
        <v>USD</v>
      </c>
      <c r="E41" s="85">
        <f>Inputs!F147</f>
        <v>1</v>
      </c>
      <c r="F41" s="85">
        <f>Inputs!G147</f>
        <v>0</v>
      </c>
      <c r="G41" s="85">
        <f>Inputs!H147</f>
        <v>0</v>
      </c>
      <c r="H41" s="85">
        <f>Inputs!I147</f>
        <v>0</v>
      </c>
      <c r="I41" s="71">
        <f t="shared" si="11"/>
        <v>79588</v>
      </c>
      <c r="J41" s="722">
        <f>(Sales!J91*$E41+Sales!I91*'Debtors+Creditors'!$F41*J$8+Sales!H91*'Debtors+Creditors'!$G41*J$9+Sales!G91*'Debtors+Creditors'!$H41*J$10)</f>
        <v>3546</v>
      </c>
      <c r="K41" s="722">
        <f>(Sales!K91*$E41+Sales!J91*'Debtors+Creditors'!$F41*K$8+Sales!I91*'Debtors+Creditors'!$G41*K$9+Sales!H91*'Debtors+Creditors'!$H41*K$10)</f>
        <v>3546</v>
      </c>
      <c r="L41" s="722">
        <f>(Sales!L91*$E41+Sales!K91*'Debtors+Creditors'!$F41*L$8+Sales!J91*'Debtors+Creditors'!$G41*L$9+Sales!I91*'Debtors+Creditors'!$H41*L$10)</f>
        <v>3546</v>
      </c>
      <c r="M41" s="722">
        <f>(Sales!M91*$E41+Sales!L91*'Debtors+Creditors'!$F41*M$8+Sales!K91*'Debtors+Creditors'!$G41*M$9+Sales!J91*'Debtors+Creditors'!$H41*M$10)</f>
        <v>3546</v>
      </c>
      <c r="N41" s="722">
        <f>(Sales!N91*$E41+Sales!M91*'Debtors+Creditors'!$F41*N$8+Sales!L91*'Debtors+Creditors'!$G41*N$9+Sales!K91*'Debtors+Creditors'!$H41*N$10)</f>
        <v>3546</v>
      </c>
      <c r="O41" s="722">
        <f>(Sales!O91*$E41+Sales!N91*'Debtors+Creditors'!$F41*O$8+Sales!M91*'Debtors+Creditors'!$G41*O$9+Sales!L91*'Debtors+Creditors'!$H41*O$10)</f>
        <v>3546</v>
      </c>
      <c r="P41" s="722">
        <f>(Sales!P91*$E41+Sales!O91*'Debtors+Creditors'!$F41*P$8+Sales!N91*'Debtors+Creditors'!$G41*P$9+Sales!M91*'Debtors+Creditors'!$H41*P$10)</f>
        <v>3546</v>
      </c>
      <c r="Q41" s="722">
        <f>(Sales!Q91*$E41+Sales!P91*'Debtors+Creditors'!$F41*Q$8+Sales!O91*'Debtors+Creditors'!$G41*Q$9+Sales!N91*'Debtors+Creditors'!$H41*Q$10)</f>
        <v>3546</v>
      </c>
      <c r="R41" s="722">
        <f>(Sales!R91*$E41+Sales!Q91*'Debtors+Creditors'!$F41*R$8+Sales!P91*'Debtors+Creditors'!$G41*R$9+Sales!O91*'Debtors+Creditors'!$H41*R$10)</f>
        <v>3940</v>
      </c>
      <c r="S41" s="722">
        <f>(Sales!S91*$E41+Sales!R91*'Debtors+Creditors'!$F41*S$8+Sales!Q91*'Debtors+Creditors'!$G41*S$9+Sales!P91*'Debtors+Creditors'!$H41*S$10)</f>
        <v>3940</v>
      </c>
      <c r="T41" s="722">
        <f>(Sales!T91*$E41+Sales!S91*'Debtors+Creditors'!$F41*T$8+Sales!R91*'Debtors+Creditors'!$G41*T$9+Sales!Q91*'Debtors+Creditors'!$H41*T$10)</f>
        <v>3940</v>
      </c>
      <c r="U41" s="722">
        <f>(Sales!U91*$E41+Sales!T91*'Debtors+Creditors'!$F41*U$8+Sales!S91*'Debtors+Creditors'!$G41*U$9+Sales!R91*'Debtors+Creditors'!$H41*U$10)</f>
        <v>3940</v>
      </c>
      <c r="V41" s="722">
        <f>(Sales!V91*$E41+Sales!U91*'Debtors+Creditors'!$F41*V$8+Sales!T91*'Debtors+Creditors'!$G41*V$9+Sales!S91*'Debtors+Creditors'!$H41*V$10)</f>
        <v>3940</v>
      </c>
      <c r="W41" s="722">
        <f>(Sales!W91*$E41+Sales!V91*'Debtors+Creditors'!$F41*W$8+Sales!U91*'Debtors+Creditors'!$G41*W$9+Sales!T91*'Debtors+Creditors'!$H41*W$10)</f>
        <v>3940</v>
      </c>
      <c r="X41" s="722">
        <f>(Sales!X91*$E41+Sales!W91*'Debtors+Creditors'!$F41*X$8+Sales!V91*'Debtors+Creditors'!$G41*X$9+Sales!U91*'Debtors+Creditors'!$H41*X$10)</f>
        <v>3940</v>
      </c>
      <c r="Y41" s="722">
        <f>(Sales!Y91*$E41+Sales!X91*'Debtors+Creditors'!$F41*Y$8+Sales!W91*'Debtors+Creditors'!$G41*Y$9+Sales!V91*'Debtors+Creditors'!$H41*Y$10)</f>
        <v>3940</v>
      </c>
      <c r="Z41" s="722">
        <f>(Sales!Z91*$E41+Sales!Y91*'Debtors+Creditors'!$F41*Z$8+Sales!X91*'Debtors+Creditors'!$G41*Z$9+Sales!W91*'Debtors+Creditors'!$H41*Z$10)</f>
        <v>3940</v>
      </c>
      <c r="AA41" s="722">
        <f>(Sales!AA91*$E41+Sales!Z91*'Debtors+Creditors'!$F41*AA$8+Sales!Y91*'Debtors+Creditors'!$G41*AA$9+Sales!X91*'Debtors+Creditors'!$H41*AA$10)</f>
        <v>3940</v>
      </c>
      <c r="AB41" s="722">
        <f>(Sales!AB91*$E41+Sales!AA91*'Debtors+Creditors'!$F41*AB$8+Sales!Z91*'Debtors+Creditors'!$G41*AB$9+Sales!Y91*'Debtors+Creditors'!$H41*AB$10)</f>
        <v>3940</v>
      </c>
      <c r="AC41" s="722">
        <f>(Sales!AC91*$E41+Sales!AB91*'Debtors+Creditors'!$F41*AC$8+Sales!AA91*'Debtors+Creditors'!$G41*AC$9+Sales!Z91*'Debtors+Creditors'!$H41*AC$10)</f>
        <v>3940</v>
      </c>
      <c r="AD41" s="722">
        <f>(Sales!AD91*$E41+Sales!AC91*'Debtors+Creditors'!$F41*AD$8+Sales!AB91*'Debtors+Creditors'!$G41*AD$9+Sales!AA91*'Debtors+Creditors'!$H41*AD$10)</f>
        <v>3940</v>
      </c>
      <c r="AE41" s="722">
        <f>(Sales!AE91*$E41+Sales!AD91*'Debtors+Creditors'!$F41*AE$8+Sales!AC91*'Debtors+Creditors'!$G41*AE$9+Sales!AB91*'Debtors+Creditors'!$H41*AE$10)</f>
        <v>0</v>
      </c>
      <c r="AF41" s="722">
        <f>(Sales!AF91*$E41+Sales!AE91*'Debtors+Creditors'!$F41*AF$8+Sales!AD91*'Debtors+Creditors'!$G41*AF$9+Sales!AC91*'Debtors+Creditors'!$H41*AF$10)</f>
        <v>0</v>
      </c>
      <c r="AG41" s="722">
        <f>(Sales!AG91*$E41+Sales!AF91*'Debtors+Creditors'!$F41*AG$8+Sales!AE91*'Debtors+Creditors'!$G41*AG$9+Sales!AD91*'Debtors+Creditors'!$H41*AG$10)</f>
        <v>0</v>
      </c>
    </row>
    <row r="42" spans="1:33" s="649" customFormat="1" ht="17.25" customHeight="1" outlineLevel="1">
      <c r="A42" s="894"/>
      <c r="B42" s="287"/>
      <c r="C42" s="24" t="str">
        <f>Product_08</f>
        <v>Consulting Services</v>
      </c>
      <c r="D42" s="8" t="str">
        <f t="shared" si="10"/>
        <v>USD</v>
      </c>
      <c r="E42" s="85">
        <f>Inputs!F148</f>
        <v>1</v>
      </c>
      <c r="F42" s="85">
        <f>Inputs!G148</f>
        <v>0</v>
      </c>
      <c r="G42" s="85">
        <f>Inputs!H148</f>
        <v>0</v>
      </c>
      <c r="H42" s="85">
        <f>Inputs!I148</f>
        <v>0</v>
      </c>
      <c r="I42" s="71">
        <f t="shared" si="11"/>
        <v>86778.287816931246</v>
      </c>
      <c r="J42" s="722">
        <f>(Sales!J92*$E42+Sales!I92*'Debtors+Creditors'!$F42*J$8+Sales!H92*'Debtors+Creditors'!$G42*J$9+Sales!G92*'Debtors+Creditors'!$H42*J$10)</f>
        <v>3734.1349999999998</v>
      </c>
      <c r="K42" s="722">
        <f>(Sales!K92*$E42+Sales!J92*'Debtors+Creditors'!$F42*K$8+Sales!I92*'Debtors+Creditors'!$G42*K$9+Sales!H92*'Debtors+Creditors'!$H42*K$10)</f>
        <v>3771.4763499999999</v>
      </c>
      <c r="L42" s="722">
        <f>(Sales!L92*$E42+Sales!K92*'Debtors+Creditors'!$F42*L$8+Sales!J92*'Debtors+Creditors'!$G42*L$9+Sales!I92*'Debtors+Creditors'!$H42*L$10)</f>
        <v>3809.1911135</v>
      </c>
      <c r="M42" s="722">
        <f>(Sales!M92*$E42+Sales!L92*'Debtors+Creditors'!$F42*M$8+Sales!K92*'Debtors+Creditors'!$G42*M$9+Sales!J92*'Debtors+Creditors'!$H42*M$10)</f>
        <v>3847.2830246350004</v>
      </c>
      <c r="N42" s="722">
        <f>(Sales!N92*$E42+Sales!M92*'Debtors+Creditors'!$F42*N$8+Sales!L92*'Debtors+Creditors'!$G42*N$9+Sales!K92*'Debtors+Creditors'!$H42*N$10)</f>
        <v>3885.7558548813504</v>
      </c>
      <c r="O42" s="722">
        <f>(Sales!O92*$E42+Sales!N92*'Debtors+Creditors'!$F42*O$8+Sales!M92*'Debtors+Creditors'!$G42*O$9+Sales!L92*'Debtors+Creditors'!$H42*O$10)</f>
        <v>3924.6134134301642</v>
      </c>
      <c r="P42" s="722">
        <f>(Sales!P92*$E42+Sales!O92*'Debtors+Creditors'!$F42*P$8+Sales!N92*'Debtors+Creditors'!$G42*P$9+Sales!M92*'Debtors+Creditors'!$H42*P$10)</f>
        <v>3963.8595475644661</v>
      </c>
      <c r="Q42" s="722">
        <f>(Sales!Q92*$E42+Sales!P92*'Debtors+Creditors'!$F42*Q$8+Sales!O92*'Debtors+Creditors'!$G42*Q$9+Sales!N92*'Debtors+Creditors'!$H42*Q$10)</f>
        <v>4003.4981430401112</v>
      </c>
      <c r="R42" s="722">
        <f>(Sales!R92*$E42+Sales!Q92*'Debtors+Creditors'!$F42*R$8+Sales!P92*'Debtors+Creditors'!$G42*R$9+Sales!O92*'Debtors+Creditors'!$H42*R$10)</f>
        <v>4043.5331244705126</v>
      </c>
      <c r="S42" s="722">
        <f>(Sales!S92*$E42+Sales!R92*'Debtors+Creditors'!$F42*S$8+Sales!Q92*'Debtors+Creditors'!$G42*S$9+Sales!P92*'Debtors+Creditors'!$H42*S$10)</f>
        <v>4083.9684557152177</v>
      </c>
      <c r="T42" s="722">
        <f>(Sales!T92*$E42+Sales!S92*'Debtors+Creditors'!$F42*T$8+Sales!R92*'Debtors+Creditors'!$G42*T$9+Sales!Q92*'Debtors+Creditors'!$H42*T$10)</f>
        <v>4124.808140272371</v>
      </c>
      <c r="U42" s="722">
        <f>(Sales!U92*$E42+Sales!T92*'Debtors+Creditors'!$F42*U$8+Sales!S92*'Debtors+Creditors'!$G42*U$9+Sales!R92*'Debtors+Creditors'!$H42*U$10)</f>
        <v>4166.0562216750941</v>
      </c>
      <c r="V42" s="722">
        <f>(Sales!V92*$E42+Sales!U92*'Debtors+Creditors'!$F42*V$8+Sales!T92*'Debtors+Creditors'!$G42*V$9+Sales!S92*'Debtors+Creditors'!$H42*V$10)</f>
        <v>4207.7167838918449</v>
      </c>
      <c r="W42" s="722">
        <f>(Sales!W92*$E42+Sales!V92*'Debtors+Creditors'!$F42*W$8+Sales!U92*'Debtors+Creditors'!$G42*W$9+Sales!T92*'Debtors+Creditors'!$H42*W$10)</f>
        <v>4249.7939517307641</v>
      </c>
      <c r="X42" s="722">
        <f>(Sales!X92*$E42+Sales!W92*'Debtors+Creditors'!$F42*X$8+Sales!V92*'Debtors+Creditors'!$G42*X$9+Sales!U92*'Debtors+Creditors'!$H42*X$10)</f>
        <v>4292.2918912480718</v>
      </c>
      <c r="Y42" s="722">
        <f>(Sales!Y92*$E42+Sales!X92*'Debtors+Creditors'!$F42*Y$8+Sales!W92*'Debtors+Creditors'!$G42*Y$9+Sales!V92*'Debtors+Creditors'!$H42*Y$10)</f>
        <v>4335.2148101605526</v>
      </c>
      <c r="Z42" s="722">
        <f>(Sales!Z92*$E42+Sales!Y92*'Debtors+Creditors'!$F42*Z$8+Sales!X92*'Debtors+Creditors'!$G42*Z$9+Sales!W92*'Debtors+Creditors'!$H42*Z$10)</f>
        <v>4378.5669582621586</v>
      </c>
      <c r="AA42" s="722">
        <f>(Sales!AA92*$E42+Sales!Z92*'Debtors+Creditors'!$F42*AA$8+Sales!Y92*'Debtors+Creditors'!$G42*AA$9+Sales!X92*'Debtors+Creditors'!$H42*AA$10)</f>
        <v>4422.3526278447798</v>
      </c>
      <c r="AB42" s="722">
        <f>(Sales!AB92*$E42+Sales!AA92*'Debtors+Creditors'!$F42*AB$8+Sales!Z92*'Debtors+Creditors'!$G42*AB$9+Sales!Y92*'Debtors+Creditors'!$H42*AB$10)</f>
        <v>4466.5761541232268</v>
      </c>
      <c r="AC42" s="722">
        <f>(Sales!AC92*$E42+Sales!AB92*'Debtors+Creditors'!$F42*AC$8+Sales!AA92*'Debtors+Creditors'!$G42*AC$9+Sales!Z92*'Debtors+Creditors'!$H42*AC$10)</f>
        <v>4511.2419156644592</v>
      </c>
      <c r="AD42" s="722">
        <f>(Sales!AD92*$E42+Sales!AC92*'Debtors+Creditors'!$F42*AD$8+Sales!AB92*'Debtors+Creditors'!$G42*AD$9+Sales!AA92*'Debtors+Creditors'!$H42*AD$10)</f>
        <v>4556.3543348211042</v>
      </c>
      <c r="AE42" s="722">
        <f>(Sales!AE92*$E42+Sales!AD92*'Debtors+Creditors'!$F42*AE$8+Sales!AC92*'Debtors+Creditors'!$G42*AE$9+Sales!AB92*'Debtors+Creditors'!$H42*AE$10)</f>
        <v>0</v>
      </c>
      <c r="AF42" s="722">
        <f>(Sales!AF92*$E42+Sales!AE92*'Debtors+Creditors'!$F42*AF$8+Sales!AD92*'Debtors+Creditors'!$G42*AF$9+Sales!AC92*'Debtors+Creditors'!$H42*AF$10)</f>
        <v>0</v>
      </c>
      <c r="AG42" s="722">
        <f>(Sales!AG92*$E42+Sales!AF92*'Debtors+Creditors'!$F42*AG$8+Sales!AE92*'Debtors+Creditors'!$G42*AG$9+Sales!AD92*'Debtors+Creditors'!$H42*AG$10)</f>
        <v>0</v>
      </c>
    </row>
    <row r="43" spans="1:33" s="649" customFormat="1" ht="17.25" customHeight="1" outlineLevel="1">
      <c r="A43" s="894"/>
      <c r="B43" s="287"/>
      <c r="C43" s="24" t="str">
        <f>Product_09</f>
        <v>Spare Parts</v>
      </c>
      <c r="D43" s="8" t="str">
        <f t="shared" si="10"/>
        <v>USD</v>
      </c>
      <c r="E43" s="85">
        <f>Inputs!F149</f>
        <v>1</v>
      </c>
      <c r="F43" s="85">
        <f>Inputs!G149</f>
        <v>0</v>
      </c>
      <c r="G43" s="85">
        <f>Inputs!H149</f>
        <v>0</v>
      </c>
      <c r="H43" s="85">
        <f>Inputs!I149</f>
        <v>0</v>
      </c>
      <c r="I43" s="71">
        <f t="shared" si="11"/>
        <v>39331.050000000017</v>
      </c>
      <c r="J43" s="722">
        <f>(Sales!J93*$E43+Sales!I93*'Debtors+Creditors'!$F43*J$8+Sales!H93*'Debtors+Creditors'!$G43*J$9+Sales!G93*'Debtors+Creditors'!$H43*J$10)</f>
        <v>1896.125</v>
      </c>
      <c r="K43" s="722">
        <f>(Sales!K93*$E43+Sales!J93*'Debtors+Creditors'!$F43*K$8+Sales!I93*'Debtors+Creditors'!$G43*K$9+Sales!H93*'Debtors+Creditors'!$H43*K$10)</f>
        <v>2004.4749999999999</v>
      </c>
      <c r="L43" s="722">
        <f>(Sales!L93*$E43+Sales!K93*'Debtors+Creditors'!$F43*L$8+Sales!J93*'Debtors+Creditors'!$G43*L$9+Sales!I93*'Debtors+Creditors'!$H43*L$10)</f>
        <v>2004.4749999999999</v>
      </c>
      <c r="M43" s="722">
        <f>(Sales!M93*$E43+Sales!L93*'Debtors+Creditors'!$F43*M$8+Sales!K93*'Debtors+Creditors'!$G43*M$9+Sales!J93*'Debtors+Creditors'!$H43*M$10)</f>
        <v>2004.4749999999999</v>
      </c>
      <c r="N43" s="722">
        <f>(Sales!N93*$E43+Sales!M93*'Debtors+Creditors'!$F43*N$8+Sales!L93*'Debtors+Creditors'!$G43*N$9+Sales!K93*'Debtors+Creditors'!$H43*N$10)</f>
        <v>2004.4749999999999</v>
      </c>
      <c r="O43" s="722">
        <f>(Sales!O93*$E43+Sales!N93*'Debtors+Creditors'!$F43*O$8+Sales!M93*'Debtors+Creditors'!$G43*O$9+Sales!L93*'Debtors+Creditors'!$H43*O$10)</f>
        <v>2004.4749999999999</v>
      </c>
      <c r="P43" s="722">
        <f>(Sales!P93*$E43+Sales!O93*'Debtors+Creditors'!$F43*P$8+Sales!N93*'Debtors+Creditors'!$G43*P$9+Sales!M93*'Debtors+Creditors'!$H43*P$10)</f>
        <v>2004.4749999999999</v>
      </c>
      <c r="Q43" s="722">
        <f>(Sales!Q93*$E43+Sales!P93*'Debtors+Creditors'!$F43*Q$8+Sales!O93*'Debtors+Creditors'!$G43*Q$9+Sales!N93*'Debtors+Creditors'!$H43*Q$10)</f>
        <v>1787.7749999999999</v>
      </c>
      <c r="R43" s="722">
        <f>(Sales!R93*$E43+Sales!Q93*'Debtors+Creditors'!$F43*R$8+Sales!P93*'Debtors+Creditors'!$G43*R$9+Sales!O93*'Debtors+Creditors'!$H43*R$10)</f>
        <v>1787.7749999999999</v>
      </c>
      <c r="S43" s="722">
        <f>(Sales!S93*$E43+Sales!R93*'Debtors+Creditors'!$F43*S$8+Sales!Q93*'Debtors+Creditors'!$G43*S$9+Sales!P93*'Debtors+Creditors'!$H43*S$10)</f>
        <v>1787.7749999999999</v>
      </c>
      <c r="T43" s="722">
        <f>(Sales!T93*$E43+Sales!S93*'Debtors+Creditors'!$F43*T$8+Sales!R93*'Debtors+Creditors'!$G43*T$9+Sales!Q93*'Debtors+Creditors'!$H43*T$10)</f>
        <v>1787.7749999999999</v>
      </c>
      <c r="U43" s="722">
        <f>(Sales!U93*$E43+Sales!T93*'Debtors+Creditors'!$F43*U$8+Sales!S93*'Debtors+Creditors'!$G43*U$9+Sales!R93*'Debtors+Creditors'!$H43*U$10)</f>
        <v>1787.7749999999999</v>
      </c>
      <c r="V43" s="722">
        <f>(Sales!V93*$E43+Sales!U93*'Debtors+Creditors'!$F43*V$8+Sales!T93*'Debtors+Creditors'!$G43*V$9+Sales!S93*'Debtors+Creditors'!$H43*V$10)</f>
        <v>1787.7749999999999</v>
      </c>
      <c r="W43" s="722">
        <f>(Sales!W93*$E43+Sales!V93*'Debtors+Creditors'!$F43*W$8+Sales!U93*'Debtors+Creditors'!$G43*W$9+Sales!T93*'Debtors+Creditors'!$H43*W$10)</f>
        <v>1787.7749999999999</v>
      </c>
      <c r="X43" s="722">
        <f>(Sales!X93*$E43+Sales!W93*'Debtors+Creditors'!$F43*X$8+Sales!V93*'Debtors+Creditors'!$G43*X$9+Sales!U93*'Debtors+Creditors'!$H43*X$10)</f>
        <v>1787.7749999999999</v>
      </c>
      <c r="Y43" s="722">
        <f>(Sales!Y93*$E43+Sales!X93*'Debtors+Creditors'!$F43*Y$8+Sales!W93*'Debtors+Creditors'!$G43*Y$9+Sales!V93*'Debtors+Creditors'!$H43*Y$10)</f>
        <v>1787.7749999999999</v>
      </c>
      <c r="Z43" s="722">
        <f>(Sales!Z93*$E43+Sales!Y93*'Debtors+Creditors'!$F43*Z$8+Sales!X93*'Debtors+Creditors'!$G43*Z$9+Sales!W93*'Debtors+Creditors'!$H43*Z$10)</f>
        <v>1787.7749999999999</v>
      </c>
      <c r="AA43" s="722">
        <f>(Sales!AA93*$E43+Sales!Z93*'Debtors+Creditors'!$F43*AA$8+Sales!Y93*'Debtors+Creditors'!$G43*AA$9+Sales!X93*'Debtors+Creditors'!$H43*AA$10)</f>
        <v>1787.7749999999999</v>
      </c>
      <c r="AB43" s="722">
        <f>(Sales!AB93*$E43+Sales!AA93*'Debtors+Creditors'!$F43*AB$8+Sales!Z93*'Debtors+Creditors'!$G43*AB$9+Sales!Y93*'Debtors+Creditors'!$H43*AB$10)</f>
        <v>1787.7749999999999</v>
      </c>
      <c r="AC43" s="722">
        <f>(Sales!AC93*$E43+Sales!AB93*'Debtors+Creditors'!$F43*AC$8+Sales!AA93*'Debtors+Creditors'!$G43*AC$9+Sales!Z93*'Debtors+Creditors'!$H43*AC$10)</f>
        <v>1787.7749999999999</v>
      </c>
      <c r="AD43" s="722">
        <f>(Sales!AD93*$E43+Sales!AC93*'Debtors+Creditors'!$F43*AD$8+Sales!AB93*'Debtors+Creditors'!$G43*AD$9+Sales!AA93*'Debtors+Creditors'!$H43*AD$10)</f>
        <v>2167</v>
      </c>
      <c r="AE43" s="722">
        <f>(Sales!AE93*$E43+Sales!AD93*'Debtors+Creditors'!$F43*AE$8+Sales!AC93*'Debtors+Creditors'!$G43*AE$9+Sales!AB93*'Debtors+Creditors'!$H43*AE$10)</f>
        <v>0</v>
      </c>
      <c r="AF43" s="722">
        <f>(Sales!AF93*$E43+Sales!AE93*'Debtors+Creditors'!$F43*AF$8+Sales!AD93*'Debtors+Creditors'!$G43*AF$9+Sales!AC93*'Debtors+Creditors'!$H43*AF$10)</f>
        <v>0</v>
      </c>
      <c r="AG43" s="722">
        <f>(Sales!AG93*$E43+Sales!AF93*'Debtors+Creditors'!$F43*AG$8+Sales!AE93*'Debtors+Creditors'!$G43*AG$9+Sales!AD93*'Debtors+Creditors'!$H43*AG$10)</f>
        <v>0</v>
      </c>
    </row>
    <row r="44" spans="1:33" s="649" customFormat="1" ht="17.25" customHeight="1" outlineLevel="1">
      <c r="A44" s="894"/>
      <c r="B44" s="287"/>
      <c r="C44" s="24" t="str">
        <f>Product_10</f>
        <v>License Fees</v>
      </c>
      <c r="D44" s="8" t="str">
        <f t="shared" si="10"/>
        <v>USD</v>
      </c>
      <c r="E44" s="85">
        <f>Inputs!F150</f>
        <v>1</v>
      </c>
      <c r="F44" s="85">
        <f>Inputs!G150</f>
        <v>0</v>
      </c>
      <c r="G44" s="85">
        <f>Inputs!H150</f>
        <v>0</v>
      </c>
      <c r="H44" s="85">
        <f>Inputs!I150</f>
        <v>0</v>
      </c>
      <c r="I44" s="71">
        <f t="shared" si="11"/>
        <v>0</v>
      </c>
      <c r="J44" s="722">
        <f>(Sales!J94*$E44+Sales!I94*'Debtors+Creditors'!$F44*J$8+Sales!H94*'Debtors+Creditors'!$G44*J$9+Sales!G94*'Debtors+Creditors'!$H44*J$10)</f>
        <v>0</v>
      </c>
      <c r="K44" s="722">
        <f>(Sales!K94*$E44+Sales!J94*'Debtors+Creditors'!$F44*K$8+Sales!I94*'Debtors+Creditors'!$G44*K$9+Sales!H94*'Debtors+Creditors'!$H44*K$10)</f>
        <v>0</v>
      </c>
      <c r="L44" s="722">
        <f>(Sales!L94*$E44+Sales!K94*'Debtors+Creditors'!$F44*L$8+Sales!J94*'Debtors+Creditors'!$G44*L$9+Sales!I94*'Debtors+Creditors'!$H44*L$10)</f>
        <v>0</v>
      </c>
      <c r="M44" s="722">
        <f>(Sales!M94*$E44+Sales!L94*'Debtors+Creditors'!$F44*M$8+Sales!K94*'Debtors+Creditors'!$G44*M$9+Sales!J94*'Debtors+Creditors'!$H44*M$10)</f>
        <v>0</v>
      </c>
      <c r="N44" s="722">
        <f>(Sales!N94*$E44+Sales!M94*'Debtors+Creditors'!$F44*N$8+Sales!L94*'Debtors+Creditors'!$G44*N$9+Sales!K94*'Debtors+Creditors'!$H44*N$10)</f>
        <v>0</v>
      </c>
      <c r="O44" s="722">
        <f>(Sales!O94*$E44+Sales!N94*'Debtors+Creditors'!$F44*O$8+Sales!M94*'Debtors+Creditors'!$G44*O$9+Sales!L94*'Debtors+Creditors'!$H44*O$10)</f>
        <v>0</v>
      </c>
      <c r="P44" s="722">
        <f>(Sales!P94*$E44+Sales!O94*'Debtors+Creditors'!$F44*P$8+Sales!N94*'Debtors+Creditors'!$G44*P$9+Sales!M94*'Debtors+Creditors'!$H44*P$10)</f>
        <v>0</v>
      </c>
      <c r="Q44" s="722">
        <f>(Sales!Q94*$E44+Sales!P94*'Debtors+Creditors'!$F44*Q$8+Sales!O94*'Debtors+Creditors'!$G44*Q$9+Sales!N94*'Debtors+Creditors'!$H44*Q$10)</f>
        <v>0</v>
      </c>
      <c r="R44" s="722">
        <f>(Sales!R94*$E44+Sales!Q94*'Debtors+Creditors'!$F44*R$8+Sales!P94*'Debtors+Creditors'!$G44*R$9+Sales!O94*'Debtors+Creditors'!$H44*R$10)</f>
        <v>0</v>
      </c>
      <c r="S44" s="722">
        <f>(Sales!S94*$E44+Sales!R94*'Debtors+Creditors'!$F44*S$8+Sales!Q94*'Debtors+Creditors'!$G44*S$9+Sales!P94*'Debtors+Creditors'!$H44*S$10)</f>
        <v>0</v>
      </c>
      <c r="T44" s="722">
        <f>(Sales!T94*$E44+Sales!S94*'Debtors+Creditors'!$F44*T$8+Sales!R94*'Debtors+Creditors'!$G44*T$9+Sales!Q94*'Debtors+Creditors'!$H44*T$10)</f>
        <v>0</v>
      </c>
      <c r="U44" s="722">
        <f>(Sales!U94*$E44+Sales!T94*'Debtors+Creditors'!$F44*U$8+Sales!S94*'Debtors+Creditors'!$G44*U$9+Sales!R94*'Debtors+Creditors'!$H44*U$10)</f>
        <v>0</v>
      </c>
      <c r="V44" s="722">
        <f>(Sales!V94*$E44+Sales!U94*'Debtors+Creditors'!$F44*V$8+Sales!T94*'Debtors+Creditors'!$G44*V$9+Sales!S94*'Debtors+Creditors'!$H44*V$10)</f>
        <v>0</v>
      </c>
      <c r="W44" s="722">
        <f>(Sales!W94*$E44+Sales!V94*'Debtors+Creditors'!$F44*W$8+Sales!U94*'Debtors+Creditors'!$G44*W$9+Sales!T94*'Debtors+Creditors'!$H44*W$10)</f>
        <v>0</v>
      </c>
      <c r="X44" s="722">
        <f>(Sales!X94*$E44+Sales!W94*'Debtors+Creditors'!$F44*X$8+Sales!V94*'Debtors+Creditors'!$G44*X$9+Sales!U94*'Debtors+Creditors'!$H44*X$10)</f>
        <v>0</v>
      </c>
      <c r="Y44" s="722">
        <f>(Sales!Y94*$E44+Sales!X94*'Debtors+Creditors'!$F44*Y$8+Sales!W94*'Debtors+Creditors'!$G44*Y$9+Sales!V94*'Debtors+Creditors'!$H44*Y$10)</f>
        <v>0</v>
      </c>
      <c r="Z44" s="722">
        <f>(Sales!Z94*$E44+Sales!Y94*'Debtors+Creditors'!$F44*Z$8+Sales!X94*'Debtors+Creditors'!$G44*Z$9+Sales!W94*'Debtors+Creditors'!$H44*Z$10)</f>
        <v>0</v>
      </c>
      <c r="AA44" s="722">
        <f>(Sales!AA94*$E44+Sales!Z94*'Debtors+Creditors'!$F44*AA$8+Sales!Y94*'Debtors+Creditors'!$G44*AA$9+Sales!X94*'Debtors+Creditors'!$H44*AA$10)</f>
        <v>0</v>
      </c>
      <c r="AB44" s="722">
        <f>(Sales!AB94*$E44+Sales!AA94*'Debtors+Creditors'!$F44*AB$8+Sales!Z94*'Debtors+Creditors'!$G44*AB$9+Sales!Y94*'Debtors+Creditors'!$H44*AB$10)</f>
        <v>0</v>
      </c>
      <c r="AC44" s="722">
        <f>(Sales!AC94*$E44+Sales!AB94*'Debtors+Creditors'!$F44*AC$8+Sales!AA94*'Debtors+Creditors'!$G44*AC$9+Sales!Z94*'Debtors+Creditors'!$H44*AC$10)</f>
        <v>0</v>
      </c>
      <c r="AD44" s="722">
        <f>(Sales!AD94*$E44+Sales!AC94*'Debtors+Creditors'!$F44*AD$8+Sales!AB94*'Debtors+Creditors'!$G44*AD$9+Sales!AA94*'Debtors+Creditors'!$H44*AD$10)</f>
        <v>0</v>
      </c>
      <c r="AE44" s="722">
        <f>(Sales!AE94*$E44+Sales!AD94*'Debtors+Creditors'!$F44*AE$8+Sales!AC94*'Debtors+Creditors'!$G44*AE$9+Sales!AB94*'Debtors+Creditors'!$H44*AE$10)</f>
        <v>0</v>
      </c>
      <c r="AF44" s="722">
        <f>(Sales!AF94*$E44+Sales!AE94*'Debtors+Creditors'!$F44*AF$8+Sales!AD94*'Debtors+Creditors'!$G44*AF$9+Sales!AC94*'Debtors+Creditors'!$H44*AF$10)</f>
        <v>0</v>
      </c>
      <c r="AG44" s="722">
        <f>(Sales!AG94*$E44+Sales!AF94*'Debtors+Creditors'!$F44*AG$8+Sales!AE94*'Debtors+Creditors'!$G44*AG$9+Sales!AD94*'Debtors+Creditors'!$H44*AG$10)</f>
        <v>0</v>
      </c>
    </row>
    <row r="45" spans="1:33" s="649" customFormat="1" ht="17.25" customHeight="1" outlineLevel="1" thickBot="1">
      <c r="A45" s="894"/>
      <c r="B45" s="287"/>
      <c r="C45" s="121" t="str">
        <f>"   Total " &amp;Name_VAT &amp;" receipts"</f>
        <v xml:space="preserve">   Total VAT receipts</v>
      </c>
      <c r="D45" s="8" t="str">
        <f t="shared" si="10"/>
        <v>USD</v>
      </c>
      <c r="E45" s="8"/>
      <c r="F45" s="8"/>
      <c r="G45" s="8"/>
      <c r="H45" s="8"/>
      <c r="I45" s="71">
        <f t="shared" si="11"/>
        <v>543317.31800413085</v>
      </c>
      <c r="J45" s="524">
        <f t="shared" ref="J45:AG45" si="12">SUM(J35:J44)</f>
        <v>19937.778999999999</v>
      </c>
      <c r="K45" s="524">
        <f t="shared" si="12"/>
        <v>24382.01035</v>
      </c>
      <c r="L45" s="524">
        <f t="shared" si="12"/>
        <v>25709.090113499999</v>
      </c>
      <c r="M45" s="524">
        <f t="shared" si="12"/>
        <v>25796.432024634996</v>
      </c>
      <c r="N45" s="524">
        <f t="shared" si="12"/>
        <v>25834.904854881348</v>
      </c>
      <c r="O45" s="524">
        <f t="shared" si="12"/>
        <v>25873.762413430162</v>
      </c>
      <c r="P45" s="524">
        <f t="shared" si="12"/>
        <v>25913.008547564463</v>
      </c>
      <c r="Q45" s="524">
        <f t="shared" si="12"/>
        <v>25280.08914304011</v>
      </c>
      <c r="R45" s="524">
        <f t="shared" si="12"/>
        <v>25508.062124470511</v>
      </c>
      <c r="S45" s="524">
        <f t="shared" si="12"/>
        <v>25682.457455715219</v>
      </c>
      <c r="T45" s="524">
        <f t="shared" si="12"/>
        <v>25953.787140272369</v>
      </c>
      <c r="U45" s="524">
        <f t="shared" si="12"/>
        <v>25748.430621675096</v>
      </c>
      <c r="V45" s="524">
        <f t="shared" si="12"/>
        <v>25794.110377891848</v>
      </c>
      <c r="W45" s="524">
        <f t="shared" si="12"/>
        <v>25840.246931670765</v>
      </c>
      <c r="X45" s="524">
        <f t="shared" si="12"/>
        <v>25886.844850987469</v>
      </c>
      <c r="Y45" s="524">
        <f t="shared" si="12"/>
        <v>25933.908749497346</v>
      </c>
      <c r="Z45" s="524">
        <f t="shared" si="12"/>
        <v>26033.451286992324</v>
      </c>
      <c r="AA45" s="524">
        <f t="shared" si="12"/>
        <v>26094.463169862243</v>
      </c>
      <c r="AB45" s="524">
        <f t="shared" si="12"/>
        <v>26142.953151560869</v>
      </c>
      <c r="AC45" s="524">
        <f t="shared" si="12"/>
        <v>26078.653033076473</v>
      </c>
      <c r="AD45" s="524">
        <f t="shared" si="12"/>
        <v>27449.002663407242</v>
      </c>
      <c r="AE45" s="524">
        <f t="shared" si="12"/>
        <v>5393.86</v>
      </c>
      <c r="AF45" s="524">
        <f t="shared" si="12"/>
        <v>1050.01</v>
      </c>
      <c r="AG45" s="524">
        <f t="shared" si="12"/>
        <v>0</v>
      </c>
    </row>
    <row r="46" spans="1:33" s="649" customFormat="1" ht="17.25" customHeight="1" outlineLevel="1" thickTop="1">
      <c r="A46" s="894"/>
      <c r="B46" s="287"/>
      <c r="C46" s="279"/>
      <c r="D46" s="275"/>
      <c r="E46" s="128"/>
      <c r="F46" s="128"/>
      <c r="G46" s="128"/>
      <c r="H46" s="128"/>
      <c r="I46" s="332"/>
      <c r="J46" s="332"/>
      <c r="K46" s="332"/>
      <c r="L46" s="332"/>
      <c r="M46" s="332"/>
      <c r="N46" s="332"/>
      <c r="O46" s="332"/>
      <c r="P46" s="332"/>
      <c r="Q46" s="332"/>
      <c r="R46" s="332"/>
      <c r="S46" s="332"/>
      <c r="T46" s="332"/>
      <c r="U46" s="332"/>
      <c r="V46" s="332"/>
      <c r="W46" s="332"/>
      <c r="X46" s="332"/>
      <c r="Y46" s="332"/>
      <c r="Z46" s="332"/>
      <c r="AA46" s="332"/>
      <c r="AB46" s="332"/>
      <c r="AC46" s="332"/>
      <c r="AD46" s="332"/>
      <c r="AE46" s="332"/>
      <c r="AF46" s="332"/>
      <c r="AG46" s="332"/>
    </row>
    <row r="47" spans="1:33" s="117" customFormat="1" ht="15" customHeight="1" outlineLevel="1">
      <c r="A47" s="894"/>
      <c r="B47" s="241"/>
      <c r="C47" s="331" t="str">
        <f>"BS Account: " &amp;Name_VAT &amp;" owed to company"</f>
        <v>BS Account: VAT owed to company</v>
      </c>
      <c r="D47" s="342"/>
      <c r="E47" s="287"/>
      <c r="F47" s="287"/>
      <c r="G47" s="287"/>
      <c r="H47" s="287"/>
      <c r="I47" s="287"/>
      <c r="J47" s="287"/>
      <c r="K47" s="241"/>
      <c r="L47" s="241"/>
      <c r="M47" s="241"/>
      <c r="N47" s="241"/>
      <c r="O47" s="241"/>
      <c r="P47" s="241"/>
      <c r="Q47" s="241"/>
      <c r="R47" s="241"/>
      <c r="S47" s="241"/>
      <c r="T47" s="241"/>
      <c r="U47" s="241"/>
      <c r="V47" s="241"/>
      <c r="W47" s="241"/>
      <c r="X47" s="241"/>
      <c r="Y47" s="241"/>
      <c r="Z47" s="241"/>
      <c r="AA47" s="241"/>
      <c r="AB47" s="241"/>
      <c r="AC47" s="241"/>
      <c r="AD47" s="241"/>
      <c r="AE47" s="241"/>
      <c r="AF47" s="241"/>
      <c r="AG47" s="241"/>
    </row>
    <row r="48" spans="1:33" s="117" customFormat="1" ht="17.25" customHeight="1" outlineLevel="1">
      <c r="A48" s="894"/>
      <c r="B48" s="241"/>
      <c r="C48" s="649" t="s">
        <v>140</v>
      </c>
      <c r="D48" s="8" t="str">
        <f>Currency_Label</f>
        <v>USD</v>
      </c>
      <c r="E48" s="40"/>
      <c r="F48" s="40"/>
      <c r="G48" s="40"/>
      <c r="H48" s="40"/>
      <c r="I48" s="122"/>
      <c r="J48" s="720">
        <f t="shared" ref="J48" si="13">I51</f>
        <v>0</v>
      </c>
      <c r="K48" s="720">
        <f t="shared" ref="K48:AG48" si="14">J51</f>
        <v>4691.5550000000003</v>
      </c>
      <c r="L48" s="720">
        <f t="shared" si="14"/>
        <v>6030.1699999999983</v>
      </c>
      <c r="M48" s="720">
        <f t="shared" si="14"/>
        <v>6079.4199999999983</v>
      </c>
      <c r="N48" s="720">
        <f t="shared" si="14"/>
        <v>6079.4199999999983</v>
      </c>
      <c r="O48" s="720">
        <f t="shared" si="14"/>
        <v>6079.4199999999983</v>
      </c>
      <c r="P48" s="720">
        <f t="shared" si="14"/>
        <v>6079.4199999999983</v>
      </c>
      <c r="Q48" s="720">
        <f t="shared" si="14"/>
        <v>6079.4199999999983</v>
      </c>
      <c r="R48" s="720">
        <f t="shared" si="14"/>
        <v>5741.3680000000022</v>
      </c>
      <c r="S48" s="720">
        <f t="shared" si="14"/>
        <v>5648.7780000000021</v>
      </c>
      <c r="T48" s="720">
        <f t="shared" si="14"/>
        <v>5875.3280000000013</v>
      </c>
      <c r="U48" s="720">
        <f t="shared" si="14"/>
        <v>5875.3280000000013</v>
      </c>
      <c r="V48" s="720">
        <f t="shared" si="14"/>
        <v>5875.3280000000013</v>
      </c>
      <c r="W48" s="720">
        <f t="shared" si="14"/>
        <v>5875.3280000000013</v>
      </c>
      <c r="X48" s="720">
        <f t="shared" si="14"/>
        <v>5875.3280000000013</v>
      </c>
      <c r="Y48" s="720">
        <f t="shared" si="14"/>
        <v>5875.3280000000013</v>
      </c>
      <c r="Z48" s="720">
        <f t="shared" si="14"/>
        <v>5875.3280000000013</v>
      </c>
      <c r="AA48" s="720">
        <f t="shared" si="14"/>
        <v>5888.3300000000017</v>
      </c>
      <c r="AB48" s="720">
        <f t="shared" si="14"/>
        <v>5888.3300000000017</v>
      </c>
      <c r="AC48" s="720">
        <f t="shared" si="14"/>
        <v>5888.3300000000017</v>
      </c>
      <c r="AD48" s="720">
        <f t="shared" si="14"/>
        <v>5775.0550000000076</v>
      </c>
      <c r="AE48" s="720">
        <f t="shared" si="14"/>
        <v>6443.8700000000026</v>
      </c>
      <c r="AF48" s="720">
        <f t="shared" si="14"/>
        <v>1050.0100000000029</v>
      </c>
      <c r="AG48" s="720">
        <f t="shared" si="14"/>
        <v>2.9558577807620168E-12</v>
      </c>
    </row>
    <row r="49" spans="1:33" s="117" customFormat="1" ht="17.25" customHeight="1" outlineLevel="1">
      <c r="A49" s="894"/>
      <c r="B49" s="241"/>
      <c r="C49" s="40" t="str">
        <f>"Output "&amp;Name_VAT</f>
        <v>Output VAT</v>
      </c>
      <c r="D49" s="8" t="str">
        <f>Currency_Label</f>
        <v>USD</v>
      </c>
      <c r="E49" s="40"/>
      <c r="F49" s="40"/>
      <c r="G49" s="40"/>
      <c r="H49" s="40"/>
      <c r="I49" s="71">
        <f>SUM(J49:AG49)</f>
        <v>543317.31800413085</v>
      </c>
      <c r="J49" s="722">
        <f>Sales!J95</f>
        <v>24629.333999999999</v>
      </c>
      <c r="K49" s="722">
        <f>Sales!K95</f>
        <v>25720.625349999998</v>
      </c>
      <c r="L49" s="722">
        <f>Sales!L95</f>
        <v>25758.340113499999</v>
      </c>
      <c r="M49" s="722">
        <f>Sales!M95</f>
        <v>25796.432024634996</v>
      </c>
      <c r="N49" s="722">
        <f>Sales!N95</f>
        <v>25834.904854881348</v>
      </c>
      <c r="O49" s="722">
        <f>Sales!O95</f>
        <v>25873.762413430162</v>
      </c>
      <c r="P49" s="722">
        <f>Sales!P95</f>
        <v>25913.008547564463</v>
      </c>
      <c r="Q49" s="722">
        <f>Sales!Q95</f>
        <v>24942.037143040114</v>
      </c>
      <c r="R49" s="722">
        <f>Sales!R95</f>
        <v>25415.472124470511</v>
      </c>
      <c r="S49" s="722">
        <f>Sales!S95</f>
        <v>25909.007455715218</v>
      </c>
      <c r="T49" s="722">
        <f>Sales!T95</f>
        <v>25953.787140272369</v>
      </c>
      <c r="U49" s="722">
        <f>Sales!U95</f>
        <v>25748.430621675096</v>
      </c>
      <c r="V49" s="722">
        <f>Sales!V95</f>
        <v>25794.110377891848</v>
      </c>
      <c r="W49" s="722">
        <f>Sales!W95</f>
        <v>25840.246931670765</v>
      </c>
      <c r="X49" s="722">
        <f>Sales!X95</f>
        <v>25886.844850987469</v>
      </c>
      <c r="Y49" s="722">
        <f>Sales!Y95</f>
        <v>25933.908749497346</v>
      </c>
      <c r="Z49" s="722">
        <f>Sales!Z95</f>
        <v>26046.453286992324</v>
      </c>
      <c r="AA49" s="722">
        <f>Sales!AA95</f>
        <v>26094.463169862243</v>
      </c>
      <c r="AB49" s="722">
        <f>Sales!AB95</f>
        <v>26142.953151560869</v>
      </c>
      <c r="AC49" s="722">
        <f>Sales!AC95</f>
        <v>25965.378033076478</v>
      </c>
      <c r="AD49" s="722">
        <f>Sales!AD95</f>
        <v>28117.817663407237</v>
      </c>
      <c r="AE49" s="722">
        <f>Sales!AE95</f>
        <v>0</v>
      </c>
      <c r="AF49" s="722">
        <f>Sales!AF95</f>
        <v>0</v>
      </c>
      <c r="AG49" s="722">
        <f>Sales!AG95</f>
        <v>0</v>
      </c>
    </row>
    <row r="50" spans="1:33" s="117" customFormat="1" ht="17.25" customHeight="1" outlineLevel="1">
      <c r="A50" s="894"/>
      <c r="B50" s="241"/>
      <c r="C50" s="40" t="str">
        <f>Name_VAT &amp;" received"</f>
        <v>VAT received</v>
      </c>
      <c r="D50" s="8" t="str">
        <f>Currency_Label</f>
        <v>USD</v>
      </c>
      <c r="E50" s="40"/>
      <c r="F50" s="40"/>
      <c r="G50" s="40"/>
      <c r="H50" s="40"/>
      <c r="I50" s="71">
        <f>SUM(J50:AG50)</f>
        <v>-543317.31800413085</v>
      </c>
      <c r="J50" s="720">
        <f t="shared" ref="J50:AG50" si="15">-J45</f>
        <v>-19937.778999999999</v>
      </c>
      <c r="K50" s="720">
        <f t="shared" si="15"/>
        <v>-24382.01035</v>
      </c>
      <c r="L50" s="720">
        <f t="shared" si="15"/>
        <v>-25709.090113499999</v>
      </c>
      <c r="M50" s="720">
        <f t="shared" si="15"/>
        <v>-25796.432024634996</v>
      </c>
      <c r="N50" s="720">
        <f t="shared" si="15"/>
        <v>-25834.904854881348</v>
      </c>
      <c r="O50" s="720">
        <f t="shared" si="15"/>
        <v>-25873.762413430162</v>
      </c>
      <c r="P50" s="720">
        <f t="shared" si="15"/>
        <v>-25913.008547564463</v>
      </c>
      <c r="Q50" s="720">
        <f t="shared" si="15"/>
        <v>-25280.08914304011</v>
      </c>
      <c r="R50" s="720">
        <f t="shared" si="15"/>
        <v>-25508.062124470511</v>
      </c>
      <c r="S50" s="720">
        <f t="shared" si="15"/>
        <v>-25682.457455715219</v>
      </c>
      <c r="T50" s="720">
        <f t="shared" si="15"/>
        <v>-25953.787140272369</v>
      </c>
      <c r="U50" s="720">
        <f t="shared" si="15"/>
        <v>-25748.430621675096</v>
      </c>
      <c r="V50" s="720">
        <f t="shared" si="15"/>
        <v>-25794.110377891848</v>
      </c>
      <c r="W50" s="720">
        <f t="shared" si="15"/>
        <v>-25840.246931670765</v>
      </c>
      <c r="X50" s="720">
        <f t="shared" si="15"/>
        <v>-25886.844850987469</v>
      </c>
      <c r="Y50" s="720">
        <f t="shared" si="15"/>
        <v>-25933.908749497346</v>
      </c>
      <c r="Z50" s="720">
        <f t="shared" si="15"/>
        <v>-26033.451286992324</v>
      </c>
      <c r="AA50" s="720">
        <f t="shared" si="15"/>
        <v>-26094.463169862243</v>
      </c>
      <c r="AB50" s="720">
        <f t="shared" si="15"/>
        <v>-26142.953151560869</v>
      </c>
      <c r="AC50" s="720">
        <f t="shared" si="15"/>
        <v>-26078.653033076473</v>
      </c>
      <c r="AD50" s="720">
        <f t="shared" si="15"/>
        <v>-27449.002663407242</v>
      </c>
      <c r="AE50" s="720">
        <f t="shared" si="15"/>
        <v>-5393.86</v>
      </c>
      <c r="AF50" s="720">
        <f t="shared" si="15"/>
        <v>-1050.01</v>
      </c>
      <c r="AG50" s="720">
        <f t="shared" si="15"/>
        <v>0</v>
      </c>
    </row>
    <row r="51" spans="1:33" s="117" customFormat="1" ht="17.25" customHeight="1" outlineLevel="1" thickBot="1">
      <c r="A51" s="894"/>
      <c r="B51" s="241"/>
      <c r="C51" s="649" t="s">
        <v>141</v>
      </c>
      <c r="D51" s="8" t="str">
        <f>Currency_Label</f>
        <v>USD</v>
      </c>
      <c r="E51" s="40"/>
      <c r="F51" s="40"/>
      <c r="G51" s="40"/>
      <c r="H51" s="40"/>
      <c r="I51" s="123"/>
      <c r="J51" s="524">
        <f>SUM(J48:J50)</f>
        <v>4691.5550000000003</v>
      </c>
      <c r="K51" s="524">
        <f t="shared" ref="K51:AG51" si="16">SUM(K48:K50)</f>
        <v>6030.1699999999983</v>
      </c>
      <c r="L51" s="524">
        <f t="shared" si="16"/>
        <v>6079.4199999999983</v>
      </c>
      <c r="M51" s="524">
        <f t="shared" si="16"/>
        <v>6079.4199999999983</v>
      </c>
      <c r="N51" s="524">
        <f t="shared" si="16"/>
        <v>6079.4199999999983</v>
      </c>
      <c r="O51" s="524">
        <f t="shared" si="16"/>
        <v>6079.4199999999983</v>
      </c>
      <c r="P51" s="524">
        <f t="shared" si="16"/>
        <v>6079.4199999999983</v>
      </c>
      <c r="Q51" s="524">
        <f t="shared" si="16"/>
        <v>5741.3680000000022</v>
      </c>
      <c r="R51" s="524">
        <f t="shared" si="16"/>
        <v>5648.7780000000021</v>
      </c>
      <c r="S51" s="524">
        <f t="shared" si="16"/>
        <v>5875.3280000000013</v>
      </c>
      <c r="T51" s="524">
        <f t="shared" si="16"/>
        <v>5875.3280000000013</v>
      </c>
      <c r="U51" s="524">
        <f t="shared" si="16"/>
        <v>5875.3280000000013</v>
      </c>
      <c r="V51" s="524">
        <f t="shared" si="16"/>
        <v>5875.3280000000013</v>
      </c>
      <c r="W51" s="524">
        <f t="shared" si="16"/>
        <v>5875.3280000000013</v>
      </c>
      <c r="X51" s="524">
        <f t="shared" si="16"/>
        <v>5875.3280000000013</v>
      </c>
      <c r="Y51" s="524">
        <f t="shared" si="16"/>
        <v>5875.3280000000013</v>
      </c>
      <c r="Z51" s="524">
        <f t="shared" si="16"/>
        <v>5888.3300000000017</v>
      </c>
      <c r="AA51" s="524">
        <f t="shared" si="16"/>
        <v>5888.3300000000017</v>
      </c>
      <c r="AB51" s="524">
        <f t="shared" si="16"/>
        <v>5888.3300000000017</v>
      </c>
      <c r="AC51" s="524">
        <f t="shared" si="16"/>
        <v>5775.0550000000076</v>
      </c>
      <c r="AD51" s="524">
        <f t="shared" si="16"/>
        <v>6443.8700000000026</v>
      </c>
      <c r="AE51" s="524">
        <f t="shared" si="16"/>
        <v>1050.0100000000029</v>
      </c>
      <c r="AF51" s="524">
        <f t="shared" si="16"/>
        <v>2.9558577807620168E-12</v>
      </c>
      <c r="AG51" s="524">
        <f t="shared" si="16"/>
        <v>2.9558577807620168E-12</v>
      </c>
    </row>
    <row r="52" spans="1:33" s="649" customFormat="1" ht="15" customHeight="1" outlineLevel="1" thickTop="1">
      <c r="A52" s="894"/>
      <c r="B52" s="287"/>
      <c r="C52" s="128"/>
      <c r="D52" s="275"/>
      <c r="E52" s="128"/>
      <c r="F52" s="128"/>
      <c r="G52" s="128"/>
      <c r="H52" s="128"/>
      <c r="I52" s="128"/>
      <c r="J52" s="332"/>
      <c r="K52" s="332"/>
      <c r="L52" s="332"/>
      <c r="M52" s="332"/>
      <c r="N52" s="332"/>
      <c r="O52" s="332"/>
      <c r="P52" s="332"/>
      <c r="Q52" s="332"/>
      <c r="R52" s="332"/>
      <c r="S52" s="332"/>
      <c r="T52" s="332"/>
      <c r="U52" s="332"/>
      <c r="V52" s="332"/>
      <c r="W52" s="332"/>
      <c r="X52" s="332"/>
      <c r="Y52" s="332"/>
      <c r="Z52" s="332"/>
      <c r="AA52" s="332"/>
      <c r="AB52" s="332"/>
      <c r="AC52" s="332"/>
      <c r="AD52" s="332"/>
      <c r="AE52" s="332"/>
      <c r="AF52" s="332"/>
      <c r="AG52" s="332"/>
    </row>
    <row r="53" spans="1:33" s="649" customFormat="1" ht="26.25" customHeight="1" thickBot="1">
      <c r="A53" s="323"/>
      <c r="B53" s="323"/>
      <c r="C53" s="323" t="str">
        <f>CHOOSE(language,"Creditors","Payables")</f>
        <v>Payables</v>
      </c>
      <c r="D53" s="323"/>
      <c r="E53" s="323"/>
      <c r="F53" s="323"/>
      <c r="G53" s="323"/>
      <c r="H53" s="323"/>
      <c r="I53" s="323"/>
      <c r="J53" s="323"/>
      <c r="K53" s="323"/>
      <c r="L53" s="323"/>
      <c r="M53" s="323"/>
      <c r="N53" s="323"/>
      <c r="O53" s="323"/>
      <c r="P53" s="323"/>
      <c r="Q53" s="323"/>
      <c r="R53" s="323"/>
      <c r="S53" s="323"/>
      <c r="T53" s="323"/>
      <c r="U53" s="323"/>
      <c r="V53" s="323"/>
      <c r="W53" s="323"/>
      <c r="X53" s="323"/>
      <c r="Y53" s="323"/>
      <c r="Z53" s="323"/>
      <c r="AA53" s="323"/>
      <c r="AB53" s="323"/>
      <c r="AC53" s="323"/>
      <c r="AD53" s="323"/>
      <c r="AE53" s="323"/>
      <c r="AF53" s="323"/>
      <c r="AG53" s="323"/>
    </row>
    <row r="54" spans="1:33" s="649" customFormat="1" ht="23.25" customHeight="1" outlineLevel="1">
      <c r="A54" s="894"/>
      <c r="B54" s="279">
        <v>1</v>
      </c>
      <c r="C54" s="279" t="str">
        <f>CHOOSE(language,"Trade Creditors","Accounts Payables")</f>
        <v>Accounts Payables</v>
      </c>
      <c r="D54" s="275"/>
      <c r="E54" s="128"/>
      <c r="F54" s="128"/>
      <c r="G54" s="128"/>
      <c r="H54" s="128"/>
      <c r="I54" s="128"/>
      <c r="J54" s="128"/>
      <c r="K54" s="128"/>
      <c r="L54" s="128"/>
      <c r="M54" s="128"/>
      <c r="N54" s="128"/>
      <c r="O54" s="332"/>
      <c r="P54" s="332"/>
      <c r="Q54" s="332"/>
      <c r="R54" s="332"/>
      <c r="S54" s="332"/>
      <c r="T54" s="332"/>
      <c r="U54" s="332"/>
      <c r="V54" s="332"/>
      <c r="W54" s="332"/>
      <c r="X54" s="332"/>
      <c r="Y54" s="332"/>
      <c r="Z54" s="332"/>
      <c r="AA54" s="332"/>
      <c r="AB54" s="332"/>
      <c r="AC54" s="332"/>
      <c r="AD54" s="332"/>
      <c r="AE54" s="332"/>
      <c r="AF54" s="332"/>
      <c r="AG54" s="332"/>
    </row>
    <row r="55" spans="1:33" s="649" customFormat="1" ht="23.25" customHeight="1" outlineLevel="1">
      <c r="A55" s="894"/>
      <c r="B55" s="279"/>
      <c r="C55" s="273" t="s">
        <v>923</v>
      </c>
      <c r="D55" s="275"/>
      <c r="E55" s="128"/>
      <c r="F55" s="128"/>
      <c r="G55" s="128"/>
      <c r="H55" s="128"/>
      <c r="I55" s="332"/>
      <c r="J55" s="332"/>
      <c r="K55" s="332"/>
      <c r="L55" s="332"/>
      <c r="M55" s="332"/>
      <c r="N55" s="332"/>
      <c r="O55" s="332"/>
      <c r="P55" s="332"/>
      <c r="Q55" s="332"/>
      <c r="R55" s="332"/>
      <c r="S55" s="332"/>
      <c r="T55" s="332"/>
      <c r="U55" s="332"/>
      <c r="V55" s="332"/>
      <c r="W55" s="332"/>
      <c r="X55" s="332"/>
      <c r="Y55" s="332"/>
      <c r="Z55" s="332"/>
      <c r="AA55" s="332"/>
      <c r="AB55" s="332"/>
      <c r="AC55" s="332"/>
      <c r="AD55" s="332"/>
      <c r="AE55" s="332"/>
      <c r="AF55" s="332"/>
      <c r="AG55" s="332"/>
    </row>
    <row r="56" spans="1:33" s="649" customFormat="1" ht="24" customHeight="1" outlineLevel="1">
      <c r="A56" s="894"/>
      <c r="B56" s="287"/>
      <c r="C56" s="273" t="s">
        <v>405</v>
      </c>
      <c r="D56" s="342"/>
      <c r="E56" s="691" t="s">
        <v>217</v>
      </c>
      <c r="F56" s="688" t="s">
        <v>218</v>
      </c>
      <c r="G56" s="688" t="s">
        <v>219</v>
      </c>
      <c r="H56" s="688" t="s">
        <v>220</v>
      </c>
      <c r="I56" s="517" t="s">
        <v>46</v>
      </c>
      <c r="J56" s="343"/>
      <c r="K56" s="343"/>
      <c r="L56" s="343"/>
      <c r="M56" s="343"/>
      <c r="N56" s="343"/>
      <c r="O56" s="332"/>
      <c r="P56" s="332"/>
      <c r="Q56" s="332"/>
      <c r="R56" s="332"/>
      <c r="S56" s="332"/>
      <c r="T56" s="332"/>
      <c r="U56" s="332"/>
      <c r="V56" s="332"/>
      <c r="W56" s="332"/>
      <c r="X56" s="332"/>
      <c r="Y56" s="332"/>
      <c r="Z56" s="332"/>
      <c r="AA56" s="332"/>
      <c r="AB56" s="332"/>
      <c r="AC56" s="332"/>
      <c r="AD56" s="332"/>
      <c r="AE56" s="332"/>
      <c r="AF56" s="332"/>
      <c r="AG56" s="332"/>
    </row>
    <row r="57" spans="1:33" s="649" customFormat="1" ht="18" customHeight="1" outlineLevel="1">
      <c r="A57" s="894"/>
      <c r="B57" s="287"/>
      <c r="C57" s="24" t="str">
        <f>Product_01</f>
        <v>Desktops</v>
      </c>
      <c r="D57" s="8" t="str">
        <f t="shared" ref="D57:D68" si="17">Currency_Label</f>
        <v>USD</v>
      </c>
      <c r="E57" s="85">
        <f>Inputs!F155</f>
        <v>0.25</v>
      </c>
      <c r="F57" s="85">
        <f>Inputs!G155</f>
        <v>0.75</v>
      </c>
      <c r="G57" s="85">
        <f>Inputs!H155</f>
        <v>0</v>
      </c>
      <c r="H57" s="85">
        <f>Inputs!I155</f>
        <v>0</v>
      </c>
      <c r="I57" s="71">
        <f t="shared" ref="I57:I68" si="18">SUM(J57:AG57)</f>
        <v>438400</v>
      </c>
      <c r="J57" s="722">
        <f>('Costs 01'!J112+'Costs 01'!J132)*$E57 + ('Costs 01'!I112+'Costs 01'!I132)*'Debtors+Creditors'!$F57*J$8 + ('Costs 01'!H112+'Costs 01'!H132)*'Debtors+Creditors'!$G57*J$9 + ('Costs 01'!G112+'Costs 01'!G132)*'Debtors+Creditors'!$H57*J$10</f>
        <v>5675</v>
      </c>
      <c r="K57" s="722">
        <f>('Costs 01'!K112+'Costs 01'!K132)*$E57 + ('Costs 01'!J112+'Costs 01'!J132)*'Debtors+Creditors'!$F57*K$8 + ('Costs 01'!I112+'Costs 01'!I132)*'Debtors+Creditors'!$G57*K$9 + ('Costs 01'!H112+'Costs 01'!H132)*'Debtors+Creditors'!$H57*K$10</f>
        <v>22685</v>
      </c>
      <c r="L57" s="722">
        <f>('Costs 01'!L112+'Costs 01'!L132)*$E57 + ('Costs 01'!K112+'Costs 01'!K132)*'Debtors+Creditors'!$F57*L$8 + ('Costs 01'!J112+'Costs 01'!J132)*'Debtors+Creditors'!$G57*L$9 + ('Costs 01'!I112+'Costs 01'!I132)*'Debtors+Creditors'!$H57*L$10</f>
        <v>22530</v>
      </c>
      <c r="M57" s="722">
        <f>('Costs 01'!M112+'Costs 01'!M132)*$E57 + ('Costs 01'!L112+'Costs 01'!L132)*'Debtors+Creditors'!$F57*M$8 + ('Costs 01'!K112+'Costs 01'!K132)*'Debtors+Creditors'!$G57*M$9 + ('Costs 01'!J112+'Costs 01'!J132)*'Debtors+Creditors'!$H57*M$10</f>
        <v>22200</v>
      </c>
      <c r="N57" s="722">
        <f>('Costs 01'!N112+'Costs 01'!N132)*$E57 + ('Costs 01'!M112+'Costs 01'!M132)*'Debtors+Creditors'!$F57*N$8 + ('Costs 01'!L112+'Costs 01'!L132)*'Debtors+Creditors'!$G57*N$9 + ('Costs 01'!K112+'Costs 01'!K132)*'Debtors+Creditors'!$H57*N$10</f>
        <v>22200</v>
      </c>
      <c r="O57" s="722">
        <f>('Costs 01'!O112+'Costs 01'!O132)*$E57 + ('Costs 01'!N112+'Costs 01'!N132)*'Debtors+Creditors'!$F57*O$8 + ('Costs 01'!M112+'Costs 01'!M132)*'Debtors+Creditors'!$G57*O$9 + ('Costs 01'!L112+'Costs 01'!L132)*'Debtors+Creditors'!$H57*O$10</f>
        <v>22200</v>
      </c>
      <c r="P57" s="722">
        <f>('Costs 01'!P112+'Costs 01'!P132)*$E57 + ('Costs 01'!O112+'Costs 01'!O132)*'Debtors+Creditors'!$F57*P$8 + ('Costs 01'!N112+'Costs 01'!N132)*'Debtors+Creditors'!$G57*P$9 + ('Costs 01'!M112+'Costs 01'!M132)*'Debtors+Creditors'!$H57*P$10</f>
        <v>22200</v>
      </c>
      <c r="Q57" s="722">
        <f>('Costs 01'!Q112+'Costs 01'!Q132)*$E57 + ('Costs 01'!P112+'Costs 01'!P132)*'Debtors+Creditors'!$F57*Q$8 + ('Costs 01'!O112+'Costs 01'!O132)*'Debtors+Creditors'!$G57*Q$9 + ('Costs 01'!N112+'Costs 01'!N132)*'Debtors+Creditors'!$H57*Q$10</f>
        <v>21380</v>
      </c>
      <c r="R57" s="722">
        <f>('Costs 01'!R112+'Costs 01'!R132)*$E57 + ('Costs 01'!Q112+'Costs 01'!Q132)*'Debtors+Creditors'!$F57*R$8 + ('Costs 01'!P112+'Costs 01'!P132)*'Debtors+Creditors'!$G57*R$9 + ('Costs 01'!O112+'Costs 01'!O132)*'Debtors+Creditors'!$H57*R$10</f>
        <v>19140</v>
      </c>
      <c r="S57" s="722">
        <f>('Costs 01'!S112+'Costs 01'!S132)*$E57 + ('Costs 01'!R112+'Costs 01'!R132)*'Debtors+Creditors'!$F57*S$8 + ('Costs 01'!Q112+'Costs 01'!Q132)*'Debtors+Creditors'!$G57*S$9 + ('Costs 01'!P112+'Costs 01'!P132)*'Debtors+Creditors'!$H57*S$10</f>
        <v>19800</v>
      </c>
      <c r="T57" s="722">
        <f>('Costs 01'!T112+'Costs 01'!T132)*$E57 + ('Costs 01'!S112+'Costs 01'!S132)*'Debtors+Creditors'!$F57*T$8 + ('Costs 01'!R112+'Costs 01'!R132)*'Debtors+Creditors'!$G57*T$9 + ('Costs 01'!Q112+'Costs 01'!Q132)*'Debtors+Creditors'!$H57*T$10</f>
        <v>19800</v>
      </c>
      <c r="U57" s="722">
        <f>('Costs 01'!U112+'Costs 01'!U132)*$E57 + ('Costs 01'!T112+'Costs 01'!T132)*'Debtors+Creditors'!$F57*U$8 + ('Costs 01'!S112+'Costs 01'!S132)*'Debtors+Creditors'!$G57*U$9 + ('Costs 01'!R112+'Costs 01'!R132)*'Debtors+Creditors'!$H57*U$10</f>
        <v>19800</v>
      </c>
      <c r="V57" s="722">
        <f>('Costs 01'!V112+'Costs 01'!V132)*$E57 + ('Costs 01'!U112+'Costs 01'!U132)*'Debtors+Creditors'!$F57*V$8 + ('Costs 01'!T112+'Costs 01'!T132)*'Debtors+Creditors'!$G57*V$9 + ('Costs 01'!S112+'Costs 01'!S132)*'Debtors+Creditors'!$H57*V$10</f>
        <v>19800</v>
      </c>
      <c r="W57" s="722">
        <f>('Costs 01'!W112+'Costs 01'!W132)*$E57 + ('Costs 01'!V112+'Costs 01'!V132)*'Debtors+Creditors'!$F57*W$8 + ('Costs 01'!U112+'Costs 01'!U132)*'Debtors+Creditors'!$G57*W$9 + ('Costs 01'!T112+'Costs 01'!T132)*'Debtors+Creditors'!$H57*W$10</f>
        <v>19800</v>
      </c>
      <c r="X57" s="722">
        <f>('Costs 01'!X112+'Costs 01'!X132)*$E57 + ('Costs 01'!W112+'Costs 01'!W132)*'Debtors+Creditors'!$F57*X$8 + ('Costs 01'!V112+'Costs 01'!V132)*'Debtors+Creditors'!$G57*X$9 + ('Costs 01'!U112+'Costs 01'!U132)*'Debtors+Creditors'!$H57*X$10</f>
        <v>19800</v>
      </c>
      <c r="Y57" s="722">
        <f>('Costs 01'!Y112+'Costs 01'!Y132)*$E57 + ('Costs 01'!X112+'Costs 01'!X132)*'Debtors+Creditors'!$F57*Y$8 + ('Costs 01'!W112+'Costs 01'!W132)*'Debtors+Creditors'!$G57*Y$9 + ('Costs 01'!V112+'Costs 01'!V132)*'Debtors+Creditors'!$H57*Y$10</f>
        <v>19800</v>
      </c>
      <c r="Z57" s="722">
        <f>('Costs 01'!Z112+'Costs 01'!Z132)*$E57 + ('Costs 01'!Y112+'Costs 01'!Y132)*'Debtors+Creditors'!$F57*Z$8 + ('Costs 01'!X112+'Costs 01'!X132)*'Debtors+Creditors'!$G57*Z$9 + ('Costs 01'!W112+'Costs 01'!W132)*'Debtors+Creditors'!$H57*Z$10</f>
        <v>19800</v>
      </c>
      <c r="AA57" s="722">
        <f>('Costs 01'!AA112+'Costs 01'!AA132)*$E57 + ('Costs 01'!Z112+'Costs 01'!Z132)*'Debtors+Creditors'!$F57*AA$8 + ('Costs 01'!Y112+'Costs 01'!Y132)*'Debtors+Creditors'!$G57*AA$9 + ('Costs 01'!X112+'Costs 01'!X132)*'Debtors+Creditors'!$H57*AA$10</f>
        <v>19800</v>
      </c>
      <c r="AB57" s="722">
        <f>('Costs 01'!AB112+'Costs 01'!AB132)*$E57 + ('Costs 01'!AA112+'Costs 01'!AA132)*'Debtors+Creditors'!$F57*AB$8 + ('Costs 01'!Z112+'Costs 01'!Z132)*'Debtors+Creditors'!$G57*AB$9 + ('Costs 01'!Y112+'Costs 01'!Y132)*'Debtors+Creditors'!$H57*AB$10</f>
        <v>19800</v>
      </c>
      <c r="AC57" s="722">
        <f>('Costs 01'!AC112+'Costs 01'!AC132)*$E57 + ('Costs 01'!AB112+'Costs 01'!AB132)*'Debtors+Creditors'!$F57*AC$8 + ('Costs 01'!AA112+'Costs 01'!AA132)*'Debtors+Creditors'!$G57*AC$9 + ('Costs 01'!Z112+'Costs 01'!Z132)*'Debtors+Creditors'!$H57*AC$10</f>
        <v>19800</v>
      </c>
      <c r="AD57" s="722">
        <f>('Costs 01'!AD112+'Costs 01'!AD132)*$E57 + ('Costs 01'!AC112+'Costs 01'!AC132)*'Debtors+Creditors'!$F57*AD$8 + ('Costs 01'!AB112+'Costs 01'!AB132)*'Debtors+Creditors'!$G57*AD$9 + ('Costs 01'!AA112+'Costs 01'!AA132)*'Debtors+Creditors'!$H57*AD$10</f>
        <v>21235</v>
      </c>
      <c r="AE57" s="722">
        <f>('Costs 01'!AE112+'Costs 01'!AE132)*$E57 + ('Costs 01'!AD112+'Costs 01'!AD132)*'Debtors+Creditors'!$F57*AE$8 + ('Costs 01'!AC112+'Costs 01'!AC132)*'Debtors+Creditors'!$G57*AE$9 + ('Costs 01'!AB112+'Costs 01'!AB132)*'Debtors+Creditors'!$H57*AE$10</f>
        <v>19155</v>
      </c>
      <c r="AF57" s="722">
        <f>('Costs 01'!AF112+'Costs 01'!AF132)*$E57 + ('Costs 01'!AE112+'Costs 01'!AE132)*'Debtors+Creditors'!$F57*AF$8 + ('Costs 01'!AD112+'Costs 01'!AD132)*'Debtors+Creditors'!$G57*AF$9 + ('Costs 01'!AC112+'Costs 01'!AC132)*'Debtors+Creditors'!$H57*AF$10</f>
        <v>0</v>
      </c>
      <c r="AG57" s="722">
        <f>('Costs 01'!AG112+'Costs 01'!AG132)*$E57 + ('Costs 01'!AF112+'Costs 01'!AF132)*'Debtors+Creditors'!$F57*AG$8 + ('Costs 01'!AE112+'Costs 01'!AE132)*'Debtors+Creditors'!$G57*AG$9 + ('Costs 01'!AD112+'Costs 01'!AD132)*'Debtors+Creditors'!$H57*AG$10</f>
        <v>0</v>
      </c>
    </row>
    <row r="58" spans="1:33" s="649" customFormat="1" ht="18" customHeight="1" outlineLevel="1">
      <c r="A58" s="894"/>
      <c r="B58" s="287"/>
      <c r="C58" s="24" t="str">
        <f>Product_02</f>
        <v>Workstations</v>
      </c>
      <c r="D58" s="8" t="str">
        <f t="shared" si="17"/>
        <v>USD</v>
      </c>
      <c r="E58" s="85">
        <f>Inputs!F156</f>
        <v>0.5</v>
      </c>
      <c r="F58" s="85">
        <f>Inputs!G156</f>
        <v>0.5</v>
      </c>
      <c r="G58" s="85">
        <f>Inputs!H156</f>
        <v>0</v>
      </c>
      <c r="H58" s="85">
        <f>Inputs!I156</f>
        <v>0</v>
      </c>
      <c r="I58" s="71">
        <f t="shared" si="18"/>
        <v>374840</v>
      </c>
      <c r="J58" s="722">
        <f>('Costs 01'!J113+'Costs 01'!J140)*$E58 + ('Costs 01'!I113+'Costs 01'!I140)*'Debtors+Creditors'!$F58*J$8 + ('Costs 01'!H113+'Costs 01'!H140)*'Debtors+Creditors'!$G58*J$9 + ('Costs 01'!G113+'Costs 01'!G140)*'Debtors+Creditors'!$H58*J$10</f>
        <v>8785</v>
      </c>
      <c r="K58" s="722">
        <f>('Costs 01'!K113+'Costs 01'!K140)*$E58 + ('Costs 01'!J113+'Costs 01'!J140)*'Debtors+Creditors'!$F58*K$8 + ('Costs 01'!I113+'Costs 01'!I140)*'Debtors+Creditors'!$G58*K$9 + ('Costs 01'!H113+'Costs 01'!H140)*'Debtors+Creditors'!$H58*K$10</f>
        <v>17475</v>
      </c>
      <c r="L58" s="722">
        <f>('Costs 01'!L113+'Costs 01'!L140)*$E58 + ('Costs 01'!K113+'Costs 01'!K140)*'Debtors+Creditors'!$F58*L$8 + ('Costs 01'!J113+'Costs 01'!J140)*'Debtors+Creditors'!$G58*L$9 + ('Costs 01'!I113+'Costs 01'!I140)*'Debtors+Creditors'!$H58*L$10</f>
        <v>16690</v>
      </c>
      <c r="M58" s="722">
        <f>('Costs 01'!M113+'Costs 01'!M140)*$E58 + ('Costs 01'!L113+'Costs 01'!L140)*'Debtors+Creditors'!$F58*M$8 + ('Costs 01'!K113+'Costs 01'!K140)*'Debtors+Creditors'!$G58*M$9 + ('Costs 01'!J113+'Costs 01'!J140)*'Debtors+Creditors'!$H58*M$10</f>
        <v>16000</v>
      </c>
      <c r="N58" s="722">
        <f>('Costs 01'!N113+'Costs 01'!N140)*$E58 + ('Costs 01'!M113+'Costs 01'!M140)*'Debtors+Creditors'!$F58*N$8 + ('Costs 01'!L113+'Costs 01'!L140)*'Debtors+Creditors'!$G58*N$9 + ('Costs 01'!K113+'Costs 01'!K140)*'Debtors+Creditors'!$H58*N$10</f>
        <v>16000</v>
      </c>
      <c r="O58" s="722">
        <f>('Costs 01'!O113+'Costs 01'!O140)*$E58 + ('Costs 01'!N113+'Costs 01'!N140)*'Debtors+Creditors'!$F58*O$8 + ('Costs 01'!M113+'Costs 01'!M140)*'Debtors+Creditors'!$G58*O$9 + ('Costs 01'!L113+'Costs 01'!L140)*'Debtors+Creditors'!$H58*O$10</f>
        <v>16000</v>
      </c>
      <c r="P58" s="722">
        <f>('Costs 01'!P113+'Costs 01'!P140)*$E58 + ('Costs 01'!O113+'Costs 01'!O140)*'Debtors+Creditors'!$F58*P$8 + ('Costs 01'!N113+'Costs 01'!N140)*'Debtors+Creditors'!$G58*P$9 + ('Costs 01'!M113+'Costs 01'!M140)*'Debtors+Creditors'!$H58*P$10</f>
        <v>16000</v>
      </c>
      <c r="Q58" s="722">
        <f>('Costs 01'!Q113+'Costs 01'!Q140)*$E58 + ('Costs 01'!P113+'Costs 01'!P140)*'Debtors+Creditors'!$F58*Q$8 + ('Costs 01'!O113+'Costs 01'!O140)*'Debtors+Creditors'!$G58*Q$9 + ('Costs 01'!N113+'Costs 01'!N140)*'Debtors+Creditors'!$H58*Q$10</f>
        <v>16000</v>
      </c>
      <c r="R58" s="722">
        <f>('Costs 01'!R113+'Costs 01'!R140)*$E58 + ('Costs 01'!Q113+'Costs 01'!Q140)*'Debtors+Creditors'!$F58*R$8 + ('Costs 01'!P113+'Costs 01'!P140)*'Debtors+Creditors'!$G58*R$9 + ('Costs 01'!O113+'Costs 01'!O140)*'Debtors+Creditors'!$H58*R$10</f>
        <v>16000</v>
      </c>
      <c r="S58" s="722">
        <f>('Costs 01'!S113+'Costs 01'!S140)*$E58 + ('Costs 01'!R113+'Costs 01'!R140)*'Debtors+Creditors'!$F58*S$8 + ('Costs 01'!Q113+'Costs 01'!Q140)*'Debtors+Creditors'!$G58*S$9 + ('Costs 01'!P113+'Costs 01'!P140)*'Debtors+Creditors'!$H58*S$10</f>
        <v>18290</v>
      </c>
      <c r="T58" s="722">
        <f>('Costs 01'!T113+'Costs 01'!T140)*$E58 + ('Costs 01'!S113+'Costs 01'!S140)*'Debtors+Creditors'!$F58*T$8 + ('Costs 01'!R113+'Costs 01'!R140)*'Debtors+Creditors'!$G58*T$9 + ('Costs 01'!Q113+'Costs 01'!Q140)*'Debtors+Creditors'!$H58*T$10</f>
        <v>19890</v>
      </c>
      <c r="U58" s="722">
        <f>('Costs 01'!U113+'Costs 01'!U140)*$E58 + ('Costs 01'!T113+'Costs 01'!T140)*'Debtors+Creditors'!$F58*U$8 + ('Costs 01'!S113+'Costs 01'!S140)*'Debtors+Creditors'!$G58*U$9 + ('Costs 01'!R113+'Costs 01'!R140)*'Debtors+Creditors'!$H58*U$10</f>
        <v>19200</v>
      </c>
      <c r="V58" s="722">
        <f>('Costs 01'!V113+'Costs 01'!V140)*$E58 + ('Costs 01'!U113+'Costs 01'!U140)*'Debtors+Creditors'!$F58*V$8 + ('Costs 01'!T113+'Costs 01'!T140)*'Debtors+Creditors'!$G58*V$9 + ('Costs 01'!S113+'Costs 01'!S140)*'Debtors+Creditors'!$H58*V$10</f>
        <v>19200</v>
      </c>
      <c r="W58" s="722">
        <f>('Costs 01'!W113+'Costs 01'!W140)*$E58 + ('Costs 01'!V113+'Costs 01'!V140)*'Debtors+Creditors'!$F58*W$8 + ('Costs 01'!U113+'Costs 01'!U140)*'Debtors+Creditors'!$G58*W$9 + ('Costs 01'!T113+'Costs 01'!T140)*'Debtors+Creditors'!$H58*W$10</f>
        <v>19200</v>
      </c>
      <c r="X58" s="722">
        <f>('Costs 01'!X113+'Costs 01'!X140)*$E58 + ('Costs 01'!W113+'Costs 01'!W140)*'Debtors+Creditors'!$F58*X$8 + ('Costs 01'!V113+'Costs 01'!V140)*'Debtors+Creditors'!$G58*X$9 + ('Costs 01'!U113+'Costs 01'!U140)*'Debtors+Creditors'!$H58*X$10</f>
        <v>19200</v>
      </c>
      <c r="Y58" s="722">
        <f>('Costs 01'!Y113+'Costs 01'!Y140)*$E58 + ('Costs 01'!X113+'Costs 01'!X140)*'Debtors+Creditors'!$F58*Y$8 + ('Costs 01'!W113+'Costs 01'!W140)*'Debtors+Creditors'!$G58*Y$9 + ('Costs 01'!V113+'Costs 01'!V140)*'Debtors+Creditors'!$H58*Y$10</f>
        <v>19200</v>
      </c>
      <c r="Z58" s="722">
        <f>('Costs 01'!Z113+'Costs 01'!Z140)*$E58 + ('Costs 01'!Y113+'Costs 01'!Y140)*'Debtors+Creditors'!$F58*Z$8 + ('Costs 01'!X113+'Costs 01'!X140)*'Debtors+Creditors'!$G58*Z$9 + ('Costs 01'!W113+'Costs 01'!W140)*'Debtors+Creditors'!$H58*Z$10</f>
        <v>19200</v>
      </c>
      <c r="AA58" s="722">
        <f>('Costs 01'!AA113+'Costs 01'!AA140)*$E58 + ('Costs 01'!Z113+'Costs 01'!Z140)*'Debtors+Creditors'!$F58*AA$8 + ('Costs 01'!Y113+'Costs 01'!Y140)*'Debtors+Creditors'!$G58*AA$9 + ('Costs 01'!X113+'Costs 01'!X140)*'Debtors+Creditors'!$H58*AA$10</f>
        <v>19200</v>
      </c>
      <c r="AB58" s="722">
        <f>('Costs 01'!AB113+'Costs 01'!AB140)*$E58 + ('Costs 01'!AA113+'Costs 01'!AA140)*'Debtors+Creditors'!$F58*AB$8 + ('Costs 01'!Z113+'Costs 01'!Z140)*'Debtors+Creditors'!$G58*AB$9 + ('Costs 01'!Y113+'Costs 01'!Y140)*'Debtors+Creditors'!$H58*AB$10</f>
        <v>19200</v>
      </c>
      <c r="AC58" s="722">
        <f>('Costs 01'!AC113+'Costs 01'!AC140)*$E58 + ('Costs 01'!AB113+'Costs 01'!AB140)*'Debtors+Creditors'!$F58*AC$8 + ('Costs 01'!AA113+'Costs 01'!AA140)*'Debtors+Creditors'!$G58*AC$9 + ('Costs 01'!Z113+'Costs 01'!Z140)*'Debtors+Creditors'!$H58*AC$10</f>
        <v>18055</v>
      </c>
      <c r="AD58" s="722">
        <f>('Costs 01'!AD113+'Costs 01'!AD140)*$E58 + ('Costs 01'!AC113+'Costs 01'!AC140)*'Debtors+Creditors'!$F58*AD$8 + ('Costs 01'!AB113+'Costs 01'!AB140)*'Debtors+Creditors'!$G58*AD$9 + ('Costs 01'!AA113+'Costs 01'!AA140)*'Debtors+Creditors'!$H58*AD$10</f>
        <v>17255</v>
      </c>
      <c r="AE58" s="722">
        <f>('Costs 01'!AE113+'Costs 01'!AE140)*$E58 + ('Costs 01'!AD113+'Costs 01'!AD140)*'Debtors+Creditors'!$F58*AE$8 + ('Costs 01'!AC113+'Costs 01'!AC140)*'Debtors+Creditors'!$G58*AE$9 + ('Costs 01'!AB113+'Costs 01'!AB140)*'Debtors+Creditors'!$H58*AE$10</f>
        <v>8800</v>
      </c>
      <c r="AF58" s="722">
        <f>('Costs 01'!AF113+'Costs 01'!AF140)*$E58 + ('Costs 01'!AE113+'Costs 01'!AE140)*'Debtors+Creditors'!$F58*AF$8 + ('Costs 01'!AD113+'Costs 01'!AD140)*'Debtors+Creditors'!$G58*AF$9 + ('Costs 01'!AC113+'Costs 01'!AC140)*'Debtors+Creditors'!$H58*AF$10</f>
        <v>0</v>
      </c>
      <c r="AG58" s="722">
        <f>('Costs 01'!AG113+'Costs 01'!AG140)*$E58 + ('Costs 01'!AF113+'Costs 01'!AF140)*'Debtors+Creditors'!$F58*AG$8 + ('Costs 01'!AE113+'Costs 01'!AE140)*'Debtors+Creditors'!$G58*AG$9 + ('Costs 01'!AD113+'Costs 01'!AD140)*'Debtors+Creditors'!$H58*AG$10</f>
        <v>0</v>
      </c>
    </row>
    <row r="59" spans="1:33" s="649" customFormat="1" ht="18" customHeight="1" outlineLevel="1">
      <c r="A59" s="894"/>
      <c r="B59" s="287"/>
      <c r="C59" s="24" t="str">
        <f>Product_03</f>
        <v>Notebooks</v>
      </c>
      <c r="D59" s="8" t="str">
        <f t="shared" si="17"/>
        <v>USD</v>
      </c>
      <c r="E59" s="85">
        <f>Inputs!F157</f>
        <v>0.6</v>
      </c>
      <c r="F59" s="85">
        <f>Inputs!G157</f>
        <v>0.4</v>
      </c>
      <c r="G59" s="85">
        <f>Inputs!H157</f>
        <v>0</v>
      </c>
      <c r="H59" s="85">
        <f>Inputs!I157</f>
        <v>0</v>
      </c>
      <c r="I59" s="71">
        <f t="shared" si="18"/>
        <v>178550</v>
      </c>
      <c r="J59" s="722">
        <f>('Costs 01'!J114+'Costs 01'!J148)*$E59 + ('Costs 01'!I114+'Costs 01'!I148)*'Debtors+Creditors'!$F59*J$8 + ('Costs 01'!H114+'Costs 01'!H148)*'Debtors+Creditors'!$G59*J$9 + ('Costs 01'!G114+'Costs 01'!G148)*'Debtors+Creditors'!$H59*J$10</f>
        <v>4110</v>
      </c>
      <c r="K59" s="722">
        <f>('Costs 01'!K114+'Costs 01'!K148)*$E59 + ('Costs 01'!J114+'Costs 01'!J148)*'Debtors+Creditors'!$F59*K$8 + ('Costs 01'!I114+'Costs 01'!I148)*'Debtors+Creditors'!$G59*K$9 + ('Costs 01'!H114+'Costs 01'!H148)*'Debtors+Creditors'!$H59*K$10</f>
        <v>7540</v>
      </c>
      <c r="L59" s="722">
        <f>('Costs 01'!L114+'Costs 01'!L148)*$E59 + ('Costs 01'!K114+'Costs 01'!K148)*'Debtors+Creditors'!$F59*L$8 + ('Costs 01'!J114+'Costs 01'!J148)*'Debtors+Creditors'!$G59*L$9 + ('Costs 01'!I114+'Costs 01'!I148)*'Debtors+Creditors'!$H59*L$10</f>
        <v>8000</v>
      </c>
      <c r="M59" s="722">
        <f>('Costs 01'!M114+'Costs 01'!M148)*$E59 + ('Costs 01'!L114+'Costs 01'!L148)*'Debtors+Creditors'!$F59*M$8 + ('Costs 01'!K114+'Costs 01'!K148)*'Debtors+Creditors'!$G59*M$9 + ('Costs 01'!J114+'Costs 01'!J148)*'Debtors+Creditors'!$H59*M$10</f>
        <v>8000</v>
      </c>
      <c r="N59" s="722">
        <f>('Costs 01'!N114+'Costs 01'!N148)*$E59 + ('Costs 01'!M114+'Costs 01'!M148)*'Debtors+Creditors'!$F59*N$8 + ('Costs 01'!L114+'Costs 01'!L148)*'Debtors+Creditors'!$G59*N$9 + ('Costs 01'!K114+'Costs 01'!K148)*'Debtors+Creditors'!$H59*N$10</f>
        <v>8000</v>
      </c>
      <c r="O59" s="722">
        <f>('Costs 01'!O114+'Costs 01'!O148)*$E59 + ('Costs 01'!N114+'Costs 01'!N148)*'Debtors+Creditors'!$F59*O$8 + ('Costs 01'!M114+'Costs 01'!M148)*'Debtors+Creditors'!$G59*O$9 + ('Costs 01'!L114+'Costs 01'!L148)*'Debtors+Creditors'!$H59*O$10</f>
        <v>8000</v>
      </c>
      <c r="P59" s="722">
        <f>('Costs 01'!P114+'Costs 01'!P148)*$E59 + ('Costs 01'!O114+'Costs 01'!O148)*'Debtors+Creditors'!$F59*P$8 + ('Costs 01'!N114+'Costs 01'!N148)*'Debtors+Creditors'!$G59*P$9 + ('Costs 01'!M114+'Costs 01'!M148)*'Debtors+Creditors'!$H59*P$10</f>
        <v>8000</v>
      </c>
      <c r="Q59" s="722">
        <f>('Costs 01'!Q114+'Costs 01'!Q148)*$E59 + ('Costs 01'!P114+'Costs 01'!P148)*'Debtors+Creditors'!$F59*Q$8 + ('Costs 01'!O114+'Costs 01'!O148)*'Debtors+Creditors'!$G59*Q$9 + ('Costs 01'!N114+'Costs 01'!N148)*'Debtors+Creditors'!$H59*Q$10</f>
        <v>8681</v>
      </c>
      <c r="R59" s="722">
        <f>('Costs 01'!R114+'Costs 01'!R148)*$E59 + ('Costs 01'!Q114+'Costs 01'!Q148)*'Debtors+Creditors'!$F59*R$8 + ('Costs 01'!P114+'Costs 01'!P148)*'Debtors+Creditors'!$G59*R$9 + ('Costs 01'!O114+'Costs 01'!O148)*'Debtors+Creditors'!$H59*R$10</f>
        <v>8934</v>
      </c>
      <c r="S59" s="722">
        <f>('Costs 01'!S114+'Costs 01'!S148)*$E59 + ('Costs 01'!R114+'Costs 01'!R148)*'Debtors+Creditors'!$F59*S$8 + ('Costs 01'!Q114+'Costs 01'!Q148)*'Debtors+Creditors'!$G59*S$9 + ('Costs 01'!P114+'Costs 01'!P148)*'Debtors+Creditors'!$H59*S$10</f>
        <v>8800</v>
      </c>
      <c r="T59" s="722">
        <f>('Costs 01'!T114+'Costs 01'!T148)*$E59 + ('Costs 01'!S114+'Costs 01'!S148)*'Debtors+Creditors'!$F59*T$8 + ('Costs 01'!R114+'Costs 01'!R148)*'Debtors+Creditors'!$G59*T$9 + ('Costs 01'!Q114+'Costs 01'!Q148)*'Debtors+Creditors'!$H59*T$10</f>
        <v>8800</v>
      </c>
      <c r="U59" s="722">
        <f>('Costs 01'!U114+'Costs 01'!U148)*$E59 + ('Costs 01'!T114+'Costs 01'!T148)*'Debtors+Creditors'!$F59*U$8 + ('Costs 01'!S114+'Costs 01'!S148)*'Debtors+Creditors'!$G59*U$9 + ('Costs 01'!R114+'Costs 01'!R148)*'Debtors+Creditors'!$H59*U$10</f>
        <v>8800</v>
      </c>
      <c r="V59" s="722">
        <f>('Costs 01'!V114+'Costs 01'!V148)*$E59 + ('Costs 01'!U114+'Costs 01'!U148)*'Debtors+Creditors'!$F59*V$8 + ('Costs 01'!T114+'Costs 01'!T148)*'Debtors+Creditors'!$G59*V$9 + ('Costs 01'!S114+'Costs 01'!S148)*'Debtors+Creditors'!$H59*V$10</f>
        <v>8800</v>
      </c>
      <c r="W59" s="722">
        <f>('Costs 01'!W114+'Costs 01'!W148)*$E59 + ('Costs 01'!V114+'Costs 01'!V148)*'Debtors+Creditors'!$F59*W$8 + ('Costs 01'!U114+'Costs 01'!U148)*'Debtors+Creditors'!$G59*W$9 + ('Costs 01'!T114+'Costs 01'!T148)*'Debtors+Creditors'!$H59*W$10</f>
        <v>8800</v>
      </c>
      <c r="X59" s="722">
        <f>('Costs 01'!X114+'Costs 01'!X148)*$E59 + ('Costs 01'!W114+'Costs 01'!W148)*'Debtors+Creditors'!$F59*X$8 + ('Costs 01'!V114+'Costs 01'!V148)*'Debtors+Creditors'!$G59*X$9 + ('Costs 01'!U114+'Costs 01'!U148)*'Debtors+Creditors'!$H59*X$10</f>
        <v>8800</v>
      </c>
      <c r="Y59" s="722">
        <f>('Costs 01'!Y114+'Costs 01'!Y148)*$E59 + ('Costs 01'!X114+'Costs 01'!X148)*'Debtors+Creditors'!$F59*Y$8 + ('Costs 01'!W114+'Costs 01'!W148)*'Debtors+Creditors'!$G59*Y$9 + ('Costs 01'!V114+'Costs 01'!V148)*'Debtors+Creditors'!$H59*Y$10</f>
        <v>8800</v>
      </c>
      <c r="Z59" s="722">
        <f>('Costs 01'!Z114+'Costs 01'!Z148)*$E59 + ('Costs 01'!Y114+'Costs 01'!Y148)*'Debtors+Creditors'!$F59*Z$8 + ('Costs 01'!X114+'Costs 01'!X148)*'Debtors+Creditors'!$G59*Z$9 + ('Costs 01'!W114+'Costs 01'!W148)*'Debtors+Creditors'!$H59*Z$10</f>
        <v>8899</v>
      </c>
      <c r="AA59" s="722">
        <f>('Costs 01'!AA114+'Costs 01'!AA148)*$E59 + ('Costs 01'!Z114+'Costs 01'!Z148)*'Debtors+Creditors'!$F59*AA$8 + ('Costs 01'!Y114+'Costs 01'!Y148)*'Debtors+Creditors'!$G59*AA$9 + ('Costs 01'!X114+'Costs 01'!X148)*'Debtors+Creditors'!$H59*AA$10</f>
        <v>8866</v>
      </c>
      <c r="AB59" s="722">
        <f>('Costs 01'!AB114+'Costs 01'!AB148)*$E59 + ('Costs 01'!AA114+'Costs 01'!AA148)*'Debtors+Creditors'!$F59*AB$8 + ('Costs 01'!Z114+'Costs 01'!Z148)*'Debtors+Creditors'!$G59*AB$9 + ('Costs 01'!Y114+'Costs 01'!Y148)*'Debtors+Creditors'!$H59*AB$10</f>
        <v>8800</v>
      </c>
      <c r="AC59" s="722">
        <f>('Costs 01'!AC114+'Costs 01'!AC148)*$E59 + ('Costs 01'!AB114+'Costs 01'!AB148)*'Debtors+Creditors'!$F59*AC$8 + ('Costs 01'!AA114+'Costs 01'!AA148)*'Debtors+Creditors'!$G59*AC$9 + ('Costs 01'!Z114+'Costs 01'!Z148)*'Debtors+Creditors'!$H59*AC$10</f>
        <v>8800</v>
      </c>
      <c r="AD59" s="722">
        <f>('Costs 01'!AD114+'Costs 01'!AD148)*$E59 + ('Costs 01'!AC114+'Costs 01'!AC148)*'Debtors+Creditors'!$F59*AD$8 + ('Costs 01'!AB114+'Costs 01'!AB148)*'Debtors+Creditors'!$G59*AD$9 + ('Costs 01'!AA114+'Costs 01'!AA148)*'Debtors+Creditors'!$H59*AD$10</f>
        <v>8800</v>
      </c>
      <c r="AE59" s="722">
        <f>('Costs 01'!AE114+'Costs 01'!AE148)*$E59 + ('Costs 01'!AD114+'Costs 01'!AD148)*'Debtors+Creditors'!$F59*AE$8 + ('Costs 01'!AC114+'Costs 01'!AC148)*'Debtors+Creditors'!$G59*AE$9 + ('Costs 01'!AB114+'Costs 01'!AB148)*'Debtors+Creditors'!$H59*AE$10</f>
        <v>3520</v>
      </c>
      <c r="AF59" s="722">
        <f>('Costs 01'!AF114+'Costs 01'!AF148)*$E59 + ('Costs 01'!AE114+'Costs 01'!AE148)*'Debtors+Creditors'!$F59*AF$8 + ('Costs 01'!AD114+'Costs 01'!AD148)*'Debtors+Creditors'!$G59*AF$9 + ('Costs 01'!AC114+'Costs 01'!AC148)*'Debtors+Creditors'!$H59*AF$10</f>
        <v>0</v>
      </c>
      <c r="AG59" s="722">
        <f>('Costs 01'!AG114+'Costs 01'!AG148)*$E59 + ('Costs 01'!AF114+'Costs 01'!AF148)*'Debtors+Creditors'!$F59*AG$8 + ('Costs 01'!AE114+'Costs 01'!AE148)*'Debtors+Creditors'!$G59*AG$9 + ('Costs 01'!AD114+'Costs 01'!AD148)*'Debtors+Creditors'!$H59*AG$10</f>
        <v>0</v>
      </c>
    </row>
    <row r="60" spans="1:33" s="649" customFormat="1" ht="18" customHeight="1" outlineLevel="1">
      <c r="A60" s="894"/>
      <c r="B60" s="287"/>
      <c r="C60" s="24" t="str">
        <f>Product_04</f>
        <v>Software Products</v>
      </c>
      <c r="D60" s="8" t="str">
        <f t="shared" si="17"/>
        <v>USD</v>
      </c>
      <c r="E60" s="85">
        <f>Inputs!F158</f>
        <v>0</v>
      </c>
      <c r="F60" s="85">
        <f>Inputs!G158</f>
        <v>0.7</v>
      </c>
      <c r="G60" s="85">
        <f>Inputs!H158</f>
        <v>0.2</v>
      </c>
      <c r="H60" s="85">
        <f>Inputs!I158</f>
        <v>0.1</v>
      </c>
      <c r="I60" s="71">
        <f t="shared" si="18"/>
        <v>128390</v>
      </c>
      <c r="J60" s="722">
        <f>('Costs 01'!J115+'Costs 01'!J156)*$E60 + ('Costs 01'!I115+'Costs 01'!I156)*'Debtors+Creditors'!$F60*J$8 + ('Costs 01'!H115+'Costs 01'!H156)*'Debtors+Creditors'!$G60*J$9 + ('Costs 01'!G115+'Costs 01'!G156)*'Debtors+Creditors'!$H60*J$10</f>
        <v>0</v>
      </c>
      <c r="K60" s="722">
        <f>('Costs 01'!K115+'Costs 01'!K156)*$E60 + ('Costs 01'!J115+'Costs 01'!J156)*'Debtors+Creditors'!$F60*K$8 + ('Costs 01'!I115+'Costs 01'!I156)*'Debtors+Creditors'!$G60*K$9 + ('Costs 01'!H115+'Costs 01'!H156)*'Debtors+Creditors'!$H60*K$10</f>
        <v>3709.9999999999995</v>
      </c>
      <c r="L60" s="722">
        <f>('Costs 01'!L115+'Costs 01'!L156)*$E60 + ('Costs 01'!K115+'Costs 01'!K156)*'Debtors+Creditors'!$F60*L$8 + ('Costs 01'!J115+'Costs 01'!J156)*'Debtors+Creditors'!$G60*L$9 + ('Costs 01'!I115+'Costs 01'!I156)*'Debtors+Creditors'!$H60*L$10</f>
        <v>5449</v>
      </c>
      <c r="M60" s="722">
        <f>('Costs 01'!M115+'Costs 01'!M156)*$E60 + ('Costs 01'!L115+'Costs 01'!L156)*'Debtors+Creditors'!$F60*M$8 + ('Costs 01'!K115+'Costs 01'!K156)*'Debtors+Creditors'!$G60*M$9 + ('Costs 01'!J115+'Costs 01'!J156)*'Debtors+Creditors'!$H60*M$10</f>
        <v>6173</v>
      </c>
      <c r="N60" s="722">
        <f>('Costs 01'!N115+'Costs 01'!N156)*$E60 + ('Costs 01'!M115+'Costs 01'!M156)*'Debtors+Creditors'!$F60*N$8 + ('Costs 01'!L115+'Costs 01'!L156)*'Debtors+Creditors'!$G60*N$9 + ('Costs 01'!K115+'Costs 01'!K156)*'Debtors+Creditors'!$H60*N$10</f>
        <v>6270</v>
      </c>
      <c r="O60" s="722">
        <f>('Costs 01'!O115+'Costs 01'!O156)*$E60 + ('Costs 01'!N115+'Costs 01'!N156)*'Debtors+Creditors'!$F60*O$8 + ('Costs 01'!M115+'Costs 01'!M156)*'Debtors+Creditors'!$G60*O$9 + ('Costs 01'!L115+'Costs 01'!L156)*'Debtors+Creditors'!$H60*O$10</f>
        <v>6270</v>
      </c>
      <c r="P60" s="722">
        <f>('Costs 01'!P115+'Costs 01'!P156)*$E60 + ('Costs 01'!O115+'Costs 01'!O156)*'Debtors+Creditors'!$F60*P$8 + ('Costs 01'!N115+'Costs 01'!N156)*'Debtors+Creditors'!$G60*P$9 + ('Costs 01'!M115+'Costs 01'!M156)*'Debtors+Creditors'!$H60*P$10</f>
        <v>6270</v>
      </c>
      <c r="Q60" s="722">
        <f>('Costs 01'!Q115+'Costs 01'!Q156)*$E60 + ('Costs 01'!P115+'Costs 01'!P156)*'Debtors+Creditors'!$F60*Q$8 + ('Costs 01'!O115+'Costs 01'!O156)*'Debtors+Creditors'!$G60*Q$9 + ('Costs 01'!N115+'Costs 01'!N156)*'Debtors+Creditors'!$H60*Q$10</f>
        <v>6270</v>
      </c>
      <c r="R60" s="722">
        <f>('Costs 01'!R115+'Costs 01'!R156)*$E60 + ('Costs 01'!Q115+'Costs 01'!Q156)*'Debtors+Creditors'!$F60*R$8 + ('Costs 01'!P115+'Costs 01'!P156)*'Debtors+Creditors'!$G60*R$9 + ('Costs 01'!O115+'Costs 01'!O156)*'Debtors+Creditors'!$H60*R$10</f>
        <v>6116</v>
      </c>
      <c r="S60" s="722">
        <f>('Costs 01'!S115+'Costs 01'!S156)*$E60 + ('Costs 01'!R115+'Costs 01'!R156)*'Debtors+Creditors'!$F60*S$8 + ('Costs 01'!Q115+'Costs 01'!Q156)*'Debtors+Creditors'!$G60*S$9 + ('Costs 01'!P115+'Costs 01'!P156)*'Debtors+Creditors'!$H60*S$10</f>
        <v>6072</v>
      </c>
      <c r="T60" s="722">
        <f>('Costs 01'!T115+'Costs 01'!T156)*$E60 + ('Costs 01'!S115+'Costs 01'!S156)*'Debtors+Creditors'!$F60*T$8 + ('Costs 01'!R115+'Costs 01'!R156)*'Debtors+Creditors'!$G60*T$9 + ('Costs 01'!Q115+'Costs 01'!Q156)*'Debtors+Creditors'!$H60*T$10</f>
        <v>6050</v>
      </c>
      <c r="U60" s="722">
        <f>('Costs 01'!U115+'Costs 01'!U156)*$E60 + ('Costs 01'!T115+'Costs 01'!T156)*'Debtors+Creditors'!$F60*U$8 + ('Costs 01'!S115+'Costs 01'!S156)*'Debtors+Creditors'!$G60*U$9 + ('Costs 01'!R115+'Costs 01'!R156)*'Debtors+Creditors'!$H60*U$10</f>
        <v>6050</v>
      </c>
      <c r="V60" s="722">
        <f>('Costs 01'!V115+'Costs 01'!V156)*$E60 + ('Costs 01'!U115+'Costs 01'!U156)*'Debtors+Creditors'!$F60*V$8 + ('Costs 01'!T115+'Costs 01'!T156)*'Debtors+Creditors'!$G60*V$9 + ('Costs 01'!S115+'Costs 01'!S156)*'Debtors+Creditors'!$H60*V$10</f>
        <v>6050</v>
      </c>
      <c r="W60" s="722">
        <f>('Costs 01'!W115+'Costs 01'!W156)*$E60 + ('Costs 01'!V115+'Costs 01'!V156)*'Debtors+Creditors'!$F60*W$8 + ('Costs 01'!U115+'Costs 01'!U156)*'Debtors+Creditors'!$G60*W$9 + ('Costs 01'!T115+'Costs 01'!T156)*'Debtors+Creditors'!$H60*W$10</f>
        <v>6050</v>
      </c>
      <c r="X60" s="722">
        <f>('Costs 01'!X115+'Costs 01'!X156)*$E60 + ('Costs 01'!W115+'Costs 01'!W156)*'Debtors+Creditors'!$F60*X$8 + ('Costs 01'!V115+'Costs 01'!V156)*'Debtors+Creditors'!$G60*X$9 + ('Costs 01'!U115+'Costs 01'!U156)*'Debtors+Creditors'!$H60*X$10</f>
        <v>6050</v>
      </c>
      <c r="Y60" s="722">
        <f>('Costs 01'!Y115+'Costs 01'!Y156)*$E60 + ('Costs 01'!X115+'Costs 01'!X156)*'Debtors+Creditors'!$F60*Y$8 + ('Costs 01'!W115+'Costs 01'!W156)*'Debtors+Creditors'!$G60*Y$9 + ('Costs 01'!V115+'Costs 01'!V156)*'Debtors+Creditors'!$H60*Y$10</f>
        <v>6050</v>
      </c>
      <c r="Z60" s="722">
        <f>('Costs 01'!Z115+'Costs 01'!Z156)*$E60 + ('Costs 01'!Y115+'Costs 01'!Y156)*'Debtors+Creditors'!$F60*Z$8 + ('Costs 01'!X115+'Costs 01'!X156)*'Debtors+Creditors'!$G60*Z$9 + ('Costs 01'!W115+'Costs 01'!W156)*'Debtors+Creditors'!$H60*Z$10</f>
        <v>6050</v>
      </c>
      <c r="AA60" s="722">
        <f>('Costs 01'!AA115+'Costs 01'!AA156)*$E60 + ('Costs 01'!Z115+'Costs 01'!Z156)*'Debtors+Creditors'!$F60*AA$8 + ('Costs 01'!Y115+'Costs 01'!Y156)*'Debtors+Creditors'!$G60*AA$9 + ('Costs 01'!X115+'Costs 01'!X156)*'Debtors+Creditors'!$H60*AA$10</f>
        <v>6050</v>
      </c>
      <c r="AB60" s="722">
        <f>('Costs 01'!AB115+'Costs 01'!AB156)*$E60 + ('Costs 01'!AA115+'Costs 01'!AA156)*'Debtors+Creditors'!$F60*AB$8 + ('Costs 01'!Z115+'Costs 01'!Z156)*'Debtors+Creditors'!$G60*AB$9 + ('Costs 01'!Y115+'Costs 01'!Y156)*'Debtors+Creditors'!$H60*AB$10</f>
        <v>6050</v>
      </c>
      <c r="AC60" s="722">
        <f>('Costs 01'!AC115+'Costs 01'!AC156)*$E60 + ('Costs 01'!AB115+'Costs 01'!AB156)*'Debtors+Creditors'!$F60*AC$8 + ('Costs 01'!AA115+'Costs 01'!AA156)*'Debtors+Creditors'!$G60*AC$9 + ('Costs 01'!Z115+'Costs 01'!Z156)*'Debtors+Creditors'!$H60*AC$10</f>
        <v>6050</v>
      </c>
      <c r="AD60" s="722">
        <f>('Costs 01'!AD115+'Costs 01'!AD156)*$E60 + ('Costs 01'!AC115+'Costs 01'!AC156)*'Debtors+Creditors'!$F60*AD$8 + ('Costs 01'!AB115+'Costs 01'!AB156)*'Debtors+Creditors'!$G60*AD$9 + ('Costs 01'!AA115+'Costs 01'!AA156)*'Debtors+Creditors'!$H60*AD$10</f>
        <v>6050</v>
      </c>
      <c r="AE60" s="722">
        <f>('Costs 01'!AE115+'Costs 01'!AE156)*$E60 + ('Costs 01'!AD115+'Costs 01'!AD156)*'Debtors+Creditors'!$F60*AE$8 + ('Costs 01'!AC115+'Costs 01'!AC156)*'Debtors+Creditors'!$G60*AE$9 + ('Costs 01'!AB115+'Costs 01'!AB156)*'Debtors+Creditors'!$H60*AE$10</f>
        <v>6589</v>
      </c>
      <c r="AF60" s="722">
        <f>('Costs 01'!AF115+'Costs 01'!AF156)*$E60 + ('Costs 01'!AE115+'Costs 01'!AE156)*'Debtors+Creditors'!$F60*AF$8 + ('Costs 01'!AD115+'Costs 01'!AD156)*'Debtors+Creditors'!$G60*AF$9 + ('Costs 01'!AC115+'Costs 01'!AC156)*'Debtors+Creditors'!$H60*AF$10</f>
        <v>1969</v>
      </c>
      <c r="AG60" s="722">
        <f>('Costs 01'!AG115+'Costs 01'!AG156)*$E60 + ('Costs 01'!AF115+'Costs 01'!AF156)*'Debtors+Creditors'!$F60*AG$8 + ('Costs 01'!AE115+'Costs 01'!AE156)*'Debtors+Creditors'!$G60*AG$9 + ('Costs 01'!AD115+'Costs 01'!AD156)*'Debtors+Creditors'!$H60*AG$10</f>
        <v>682</v>
      </c>
    </row>
    <row r="61" spans="1:33" s="649" customFormat="1" ht="18" customHeight="1" outlineLevel="1">
      <c r="A61" s="894"/>
      <c r="B61" s="287"/>
      <c r="C61" s="24" t="str">
        <f>Product_05</f>
        <v>Net work infrastructure solutions</v>
      </c>
      <c r="D61" s="8" t="str">
        <f t="shared" si="17"/>
        <v>USD</v>
      </c>
      <c r="E61" s="85">
        <f>Inputs!F159</f>
        <v>1</v>
      </c>
      <c r="F61" s="85">
        <f>Inputs!G159</f>
        <v>0</v>
      </c>
      <c r="G61" s="85">
        <f>Inputs!H159</f>
        <v>0</v>
      </c>
      <c r="H61" s="85">
        <f>Inputs!I159</f>
        <v>0</v>
      </c>
      <c r="I61" s="71">
        <f t="shared" si="18"/>
        <v>27271.379067815913</v>
      </c>
      <c r="J61" s="722">
        <f>('Costs 01'!J116+'Costs 01'!J164)*$E61 + ('Costs 01'!I116+'Costs 01'!I164)*'Debtors+Creditors'!$F61*J$8 + ('Costs 01'!H116+'Costs 01'!H164)*'Debtors+Creditors'!$G61*J$9 + ('Costs 01'!G116+'Costs 01'!G164)*'Debtors+Creditors'!$H61*J$10</f>
        <v>1125</v>
      </c>
      <c r="K61" s="722">
        <f>('Costs 01'!K116+'Costs 01'!K164)*$E61 + ('Costs 01'!J116+'Costs 01'!J164)*'Debtors+Creditors'!$F61*K$8 + ('Costs 01'!I116+'Costs 01'!I164)*'Debtors+Creditors'!$G61*K$9 + ('Costs 01'!H116+'Costs 01'!H164)*'Debtors+Creditors'!$H61*K$10</f>
        <v>1125</v>
      </c>
      <c r="L61" s="722">
        <f>('Costs 01'!L116+'Costs 01'!L164)*$E61 + ('Costs 01'!K116+'Costs 01'!K164)*'Debtors+Creditors'!$F61*L$8 + ('Costs 01'!J116+'Costs 01'!J164)*'Debtors+Creditors'!$G61*L$9 + ('Costs 01'!I116+'Costs 01'!I164)*'Debtors+Creditors'!$H61*L$10</f>
        <v>1125</v>
      </c>
      <c r="M61" s="722">
        <f>('Costs 01'!M116+'Costs 01'!M164)*$E61 + ('Costs 01'!L116+'Costs 01'!L164)*'Debtors+Creditors'!$F61*M$8 + ('Costs 01'!K116+'Costs 01'!K164)*'Debtors+Creditors'!$G61*M$9 + ('Costs 01'!J116+'Costs 01'!J164)*'Debtors+Creditors'!$H61*M$10</f>
        <v>1125</v>
      </c>
      <c r="N61" s="722">
        <f>('Costs 01'!N116+'Costs 01'!N164)*$E61 + ('Costs 01'!M116+'Costs 01'!M164)*'Debtors+Creditors'!$F61*N$8 + ('Costs 01'!L116+'Costs 01'!L164)*'Debtors+Creditors'!$G61*N$9 + ('Costs 01'!K116+'Costs 01'!K164)*'Debtors+Creditors'!$H61*N$10</f>
        <v>1125</v>
      </c>
      <c r="O61" s="722">
        <f>('Costs 01'!O116+'Costs 01'!O164)*$E61 + ('Costs 01'!N116+'Costs 01'!N164)*'Debtors+Creditors'!$F61*O$8 + ('Costs 01'!M116+'Costs 01'!M164)*'Debtors+Creditors'!$G61*O$9 + ('Costs 01'!L116+'Costs 01'!L164)*'Debtors+Creditors'!$H61*O$10</f>
        <v>1125</v>
      </c>
      <c r="P61" s="722">
        <f>('Costs 01'!P116+'Costs 01'!P164)*$E61 + ('Costs 01'!O116+'Costs 01'!O164)*'Debtors+Creditors'!$F61*P$8 + ('Costs 01'!N116+'Costs 01'!N164)*'Debtors+Creditors'!$G61*P$9 + ('Costs 01'!M116+'Costs 01'!M164)*'Debtors+Creditors'!$H61*P$10</f>
        <v>1125</v>
      </c>
      <c r="Q61" s="722">
        <f>('Costs 01'!Q116+'Costs 01'!Q164)*$E61 + ('Costs 01'!P116+'Costs 01'!P164)*'Debtors+Creditors'!$F61*Q$8 + ('Costs 01'!O116+'Costs 01'!O164)*'Debtors+Creditors'!$G61*Q$9 + ('Costs 01'!N116+'Costs 01'!N164)*'Debtors+Creditors'!$H61*Q$10</f>
        <v>1125</v>
      </c>
      <c r="R61" s="722">
        <f>('Costs 01'!R116+'Costs 01'!R164)*$E61 + ('Costs 01'!Q116+'Costs 01'!Q164)*'Debtors+Creditors'!$F61*R$8 + ('Costs 01'!P116+'Costs 01'!P164)*'Debtors+Creditors'!$G61*R$9 + ('Costs 01'!O116+'Costs 01'!O164)*'Debtors+Creditors'!$H61*R$10</f>
        <v>1250</v>
      </c>
      <c r="S61" s="722">
        <f>('Costs 01'!S116+'Costs 01'!S164)*$E61 + ('Costs 01'!R116+'Costs 01'!R164)*'Debtors+Creditors'!$F61*S$8 + ('Costs 01'!Q116+'Costs 01'!Q164)*'Debtors+Creditors'!$G61*S$9 + ('Costs 01'!P116+'Costs 01'!P164)*'Debtors+Creditors'!$H61*S$10</f>
        <v>1250</v>
      </c>
      <c r="T61" s="722">
        <f>('Costs 01'!T116+'Costs 01'!T164)*$E61 + ('Costs 01'!S116+'Costs 01'!S164)*'Debtors+Creditors'!$F61*T$8 + ('Costs 01'!R116+'Costs 01'!R164)*'Debtors+Creditors'!$G61*T$9 + ('Costs 01'!Q116+'Costs 01'!Q164)*'Debtors+Creditors'!$H61*T$10</f>
        <v>1363.5</v>
      </c>
      <c r="U61" s="722">
        <f>('Costs 01'!U116+'Costs 01'!U164)*$E61 + ('Costs 01'!T116+'Costs 01'!T164)*'Debtors+Creditors'!$F61*U$8 + ('Costs 01'!S116+'Costs 01'!S164)*'Debtors+Creditors'!$G61*U$9 + ('Costs 01'!R116+'Costs 01'!R164)*'Debtors+Creditors'!$H61*U$10</f>
        <v>1377.135</v>
      </c>
      <c r="V61" s="722">
        <f>('Costs 01'!V116+'Costs 01'!V164)*$E61 + ('Costs 01'!U116+'Costs 01'!U164)*'Debtors+Creditors'!$F61*V$8 + ('Costs 01'!T116+'Costs 01'!T164)*'Debtors+Creditors'!$G61*V$9 + ('Costs 01'!S116+'Costs 01'!S164)*'Debtors+Creditors'!$H61*V$10</f>
        <v>1390.9063500000002</v>
      </c>
      <c r="W61" s="722">
        <f>('Costs 01'!W116+'Costs 01'!W164)*$E61 + ('Costs 01'!V116+'Costs 01'!V164)*'Debtors+Creditors'!$F61*W$8 + ('Costs 01'!U116+'Costs 01'!U164)*'Debtors+Creditors'!$G61*W$9 + ('Costs 01'!T116+'Costs 01'!T164)*'Debtors+Creditors'!$H61*W$10</f>
        <v>1404.8154135000002</v>
      </c>
      <c r="X61" s="722">
        <f>('Costs 01'!X116+'Costs 01'!X164)*$E61 + ('Costs 01'!W116+'Costs 01'!W164)*'Debtors+Creditors'!$F61*X$8 + ('Costs 01'!V116+'Costs 01'!V164)*'Debtors+Creditors'!$G61*X$9 + ('Costs 01'!U116+'Costs 01'!U164)*'Debtors+Creditors'!$H61*X$10</f>
        <v>1418.8635676350002</v>
      </c>
      <c r="Y61" s="722">
        <f>('Costs 01'!Y116+'Costs 01'!Y164)*$E61 + ('Costs 01'!X116+'Costs 01'!X164)*'Debtors+Creditors'!$F61*Y$8 + ('Costs 01'!W116+'Costs 01'!W164)*'Debtors+Creditors'!$G61*Y$9 + ('Costs 01'!V116+'Costs 01'!V164)*'Debtors+Creditors'!$H61*Y$10</f>
        <v>1433.05220331135</v>
      </c>
      <c r="Z61" s="722">
        <f>('Costs 01'!Z116+'Costs 01'!Z164)*$E61 + ('Costs 01'!Y116+'Costs 01'!Y164)*'Debtors+Creditors'!$F61*Z$8 + ('Costs 01'!X116+'Costs 01'!X164)*'Debtors+Creditors'!$G61*Z$9 + ('Costs 01'!W116+'Costs 01'!W164)*'Debtors+Creditors'!$H61*Z$10</f>
        <v>1447.3827253444638</v>
      </c>
      <c r="AA61" s="722">
        <f>('Costs 01'!AA116+'Costs 01'!AA164)*$E61 + ('Costs 01'!Z116+'Costs 01'!Z164)*'Debtors+Creditors'!$F61*AA$8 + ('Costs 01'!Y116+'Costs 01'!Y164)*'Debtors+Creditors'!$G61*AA$9 + ('Costs 01'!X116+'Costs 01'!X164)*'Debtors+Creditors'!$H61*AA$10</f>
        <v>1461.8565525979084</v>
      </c>
      <c r="AB61" s="722">
        <f>('Costs 01'!AB116+'Costs 01'!AB164)*$E61 + ('Costs 01'!AA116+'Costs 01'!AA164)*'Debtors+Creditors'!$F61*AB$8 + ('Costs 01'!Z116+'Costs 01'!Z164)*'Debtors+Creditors'!$G61*AB$9 + ('Costs 01'!Y116+'Costs 01'!Y164)*'Debtors+Creditors'!$H61*AB$10</f>
        <v>1476.4751181238876</v>
      </c>
      <c r="AC61" s="722">
        <f>('Costs 01'!AC116+'Costs 01'!AC164)*$E61 + ('Costs 01'!AB116+'Costs 01'!AB164)*'Debtors+Creditors'!$F61*AC$8 + ('Costs 01'!AA116+'Costs 01'!AA164)*'Debtors+Creditors'!$G61*AC$9 + ('Costs 01'!Z116+'Costs 01'!Z164)*'Debtors+Creditors'!$H61*AC$10</f>
        <v>1491.2398693051264</v>
      </c>
      <c r="AD61" s="722">
        <f>('Costs 01'!AD116+'Costs 01'!AD164)*$E61 + ('Costs 01'!AC116+'Costs 01'!AC164)*'Debtors+Creditors'!$F61*AD$8 + ('Costs 01'!AB116+'Costs 01'!AB164)*'Debtors+Creditors'!$G61*AD$9 + ('Costs 01'!AA116+'Costs 01'!AA164)*'Debtors+Creditors'!$H61*AD$10</f>
        <v>1506.1522679981776</v>
      </c>
      <c r="AE61" s="722">
        <f>('Costs 01'!AE116+'Costs 01'!AE164)*$E61 + ('Costs 01'!AD116+'Costs 01'!AD164)*'Debtors+Creditors'!$F61*AE$8 + ('Costs 01'!AC116+'Costs 01'!AC164)*'Debtors+Creditors'!$G61*AE$9 + ('Costs 01'!AB116+'Costs 01'!AB164)*'Debtors+Creditors'!$H61*AE$10</f>
        <v>0</v>
      </c>
      <c r="AF61" s="722">
        <f>('Costs 01'!AF116+'Costs 01'!AF164)*$E61 + ('Costs 01'!AE116+'Costs 01'!AE164)*'Debtors+Creditors'!$F61*AF$8 + ('Costs 01'!AD116+'Costs 01'!AD164)*'Debtors+Creditors'!$G61*AF$9 + ('Costs 01'!AC116+'Costs 01'!AC164)*'Debtors+Creditors'!$H61*AF$10</f>
        <v>0</v>
      </c>
      <c r="AG61" s="722">
        <f>('Costs 01'!AG116+'Costs 01'!AG164)*$E61 + ('Costs 01'!AF116+'Costs 01'!AF164)*'Debtors+Creditors'!$F61*AG$8 + ('Costs 01'!AE116+'Costs 01'!AE164)*'Debtors+Creditors'!$G61*AG$9 + ('Costs 01'!AD116+'Costs 01'!AD164)*'Debtors+Creditors'!$H61*AG$10</f>
        <v>0</v>
      </c>
    </row>
    <row r="62" spans="1:33" s="649" customFormat="1" ht="18" customHeight="1" outlineLevel="1">
      <c r="A62" s="894"/>
      <c r="B62" s="287"/>
      <c r="C62" s="24" t="str">
        <f>Product_06</f>
        <v>Repair Services</v>
      </c>
      <c r="D62" s="8" t="str">
        <f t="shared" si="17"/>
        <v>USD</v>
      </c>
      <c r="E62" s="85">
        <f>Inputs!F160</f>
        <v>0.8</v>
      </c>
      <c r="F62" s="85">
        <f>Inputs!G160</f>
        <v>0.2</v>
      </c>
      <c r="G62" s="85">
        <f>Inputs!H160</f>
        <v>0</v>
      </c>
      <c r="H62" s="85">
        <f>Inputs!I160</f>
        <v>0</v>
      </c>
      <c r="I62" s="71">
        <f t="shared" si="18"/>
        <v>161607.6</v>
      </c>
      <c r="J62" s="722">
        <f>('Costs 01'!J117+'Costs 01'!J172)*$E62 + ('Costs 01'!I117+'Costs 01'!I172)*'Debtors+Creditors'!$F62*J$8 + ('Costs 01'!H117+'Costs 01'!H172)*'Debtors+Creditors'!$G62*J$9 + ('Costs 01'!G117+'Costs 01'!G172)*'Debtors+Creditors'!$H62*J$10</f>
        <v>6716.16</v>
      </c>
      <c r="K62" s="722">
        <f>('Costs 01'!K117+'Costs 01'!K172)*$E62 + ('Costs 01'!J117+'Costs 01'!J172)*'Debtors+Creditors'!$F62*K$8 + ('Costs 01'!I117+'Costs 01'!I172)*'Debtors+Creditors'!$G62*K$9 + ('Costs 01'!H117+'Costs 01'!H172)*'Debtors+Creditors'!$H62*K$10</f>
        <v>8395.2000000000007</v>
      </c>
      <c r="L62" s="722">
        <f>('Costs 01'!L117+'Costs 01'!L172)*$E62 + ('Costs 01'!K117+'Costs 01'!K172)*'Debtors+Creditors'!$F62*L$8 + ('Costs 01'!J117+'Costs 01'!J172)*'Debtors+Creditors'!$G62*L$9 + ('Costs 01'!I117+'Costs 01'!I172)*'Debtors+Creditors'!$H62*L$10</f>
        <v>8395.2000000000007</v>
      </c>
      <c r="M62" s="722">
        <f>('Costs 01'!M117+'Costs 01'!M172)*$E62 + ('Costs 01'!L117+'Costs 01'!L172)*'Debtors+Creditors'!$F62*M$8 + ('Costs 01'!K117+'Costs 01'!K172)*'Debtors+Creditors'!$G62*M$9 + ('Costs 01'!J117+'Costs 01'!J172)*'Debtors+Creditors'!$H62*M$10</f>
        <v>8395.2000000000007</v>
      </c>
      <c r="N62" s="722">
        <f>('Costs 01'!N117+'Costs 01'!N172)*$E62 + ('Costs 01'!M117+'Costs 01'!M172)*'Debtors+Creditors'!$F62*N$8 + ('Costs 01'!L117+'Costs 01'!L172)*'Debtors+Creditors'!$G62*N$9 + ('Costs 01'!K117+'Costs 01'!K172)*'Debtors+Creditors'!$H62*N$10</f>
        <v>8395.2000000000007</v>
      </c>
      <c r="O62" s="722">
        <f>('Costs 01'!O117+'Costs 01'!O172)*$E62 + ('Costs 01'!N117+'Costs 01'!N172)*'Debtors+Creditors'!$F62*O$8 + ('Costs 01'!M117+'Costs 01'!M172)*'Debtors+Creditors'!$G62*O$9 + ('Costs 01'!L117+'Costs 01'!L172)*'Debtors+Creditors'!$H62*O$10</f>
        <v>8395.2000000000007</v>
      </c>
      <c r="P62" s="722">
        <f>('Costs 01'!P117+'Costs 01'!P172)*$E62 + ('Costs 01'!O117+'Costs 01'!O172)*'Debtors+Creditors'!$F62*P$8 + ('Costs 01'!N117+'Costs 01'!N172)*'Debtors+Creditors'!$G62*P$9 + ('Costs 01'!M117+'Costs 01'!M172)*'Debtors+Creditors'!$H62*P$10</f>
        <v>8395.2000000000007</v>
      </c>
      <c r="Q62" s="722">
        <f>('Costs 01'!Q117+'Costs 01'!Q172)*$E62 + ('Costs 01'!P117+'Costs 01'!P172)*'Debtors+Creditors'!$F62*Q$8 + ('Costs 01'!O117+'Costs 01'!O172)*'Debtors+Creditors'!$G62*Q$9 + ('Costs 01'!N117+'Costs 01'!N172)*'Debtors+Creditors'!$H62*Q$10</f>
        <v>8395.2000000000007</v>
      </c>
      <c r="R62" s="722">
        <f>('Costs 01'!R117+'Costs 01'!R172)*$E62 + ('Costs 01'!Q117+'Costs 01'!Q172)*'Debtors+Creditors'!$F62*R$8 + ('Costs 01'!P117+'Costs 01'!P172)*'Debtors+Creditors'!$G62*R$9 + ('Costs 01'!O117+'Costs 01'!O172)*'Debtors+Creditors'!$H62*R$10</f>
        <v>8395.2000000000007</v>
      </c>
      <c r="S62" s="722">
        <f>('Costs 01'!S117+'Costs 01'!S172)*$E62 + ('Costs 01'!R117+'Costs 01'!R172)*'Debtors+Creditors'!$F62*S$8 + ('Costs 01'!Q117+'Costs 01'!Q172)*'Debtors+Creditors'!$G62*S$9 + ('Costs 01'!P117+'Costs 01'!P172)*'Debtors+Creditors'!$H62*S$10</f>
        <v>8395.2000000000007</v>
      </c>
      <c r="T62" s="722">
        <f>('Costs 01'!T117+'Costs 01'!T172)*$E62 + ('Costs 01'!S117+'Costs 01'!S172)*'Debtors+Creditors'!$F62*T$8 + ('Costs 01'!R117+'Costs 01'!R172)*'Debtors+Creditors'!$G62*T$9 + ('Costs 01'!Q117+'Costs 01'!Q172)*'Debtors+Creditors'!$H62*T$10</f>
        <v>7835.52</v>
      </c>
      <c r="U62" s="722">
        <f>('Costs 01'!U117+'Costs 01'!U172)*$E62 + ('Costs 01'!T117+'Costs 01'!T172)*'Debtors+Creditors'!$F62*U$8 + ('Costs 01'!S117+'Costs 01'!S172)*'Debtors+Creditors'!$G62*U$9 + ('Costs 01'!R117+'Costs 01'!R172)*'Debtors+Creditors'!$H62*U$10</f>
        <v>7135.920000000001</v>
      </c>
      <c r="V62" s="722">
        <f>('Costs 01'!V117+'Costs 01'!V172)*$E62 + ('Costs 01'!U117+'Costs 01'!U172)*'Debtors+Creditors'!$F62*V$8 + ('Costs 01'!T117+'Costs 01'!T172)*'Debtors+Creditors'!$G62*V$9 + ('Costs 01'!S117+'Costs 01'!S172)*'Debtors+Creditors'!$H62*V$10</f>
        <v>6996.0000000000018</v>
      </c>
      <c r="W62" s="722">
        <f>('Costs 01'!W117+'Costs 01'!W172)*$E62 + ('Costs 01'!V117+'Costs 01'!V172)*'Debtors+Creditors'!$F62*W$8 + ('Costs 01'!U117+'Costs 01'!U172)*'Debtors+Creditors'!$G62*W$9 + ('Costs 01'!T117+'Costs 01'!T172)*'Debtors+Creditors'!$H62*W$10</f>
        <v>6996.0000000000018</v>
      </c>
      <c r="X62" s="722">
        <f>('Costs 01'!X117+'Costs 01'!X172)*$E62 + ('Costs 01'!W117+'Costs 01'!W172)*'Debtors+Creditors'!$F62*X$8 + ('Costs 01'!V117+'Costs 01'!V172)*'Debtors+Creditors'!$G62*X$9 + ('Costs 01'!U117+'Costs 01'!U172)*'Debtors+Creditors'!$H62*X$10</f>
        <v>6996.0000000000018</v>
      </c>
      <c r="Y62" s="722">
        <f>('Costs 01'!Y117+'Costs 01'!Y172)*$E62 + ('Costs 01'!X117+'Costs 01'!X172)*'Debtors+Creditors'!$F62*Y$8 + ('Costs 01'!W117+'Costs 01'!W172)*'Debtors+Creditors'!$G62*Y$9 + ('Costs 01'!V117+'Costs 01'!V172)*'Debtors+Creditors'!$H62*Y$10</f>
        <v>6996.0000000000018</v>
      </c>
      <c r="Z62" s="722">
        <f>('Costs 01'!Z117+'Costs 01'!Z172)*$E62 + ('Costs 01'!Y117+'Costs 01'!Y172)*'Debtors+Creditors'!$F62*Z$8 + ('Costs 01'!X117+'Costs 01'!X172)*'Debtors+Creditors'!$G62*Z$9 + ('Costs 01'!W117+'Costs 01'!W172)*'Debtors+Creditors'!$H62*Z$10</f>
        <v>6996.0000000000018</v>
      </c>
      <c r="AA62" s="722">
        <f>('Costs 01'!AA117+'Costs 01'!AA172)*$E62 + ('Costs 01'!Z117+'Costs 01'!Z172)*'Debtors+Creditors'!$F62*AA$8 + ('Costs 01'!Y117+'Costs 01'!Y172)*'Debtors+Creditors'!$G62*AA$9 + ('Costs 01'!X117+'Costs 01'!X172)*'Debtors+Creditors'!$H62*AA$10</f>
        <v>6996.0000000000018</v>
      </c>
      <c r="AB62" s="722">
        <f>('Costs 01'!AB117+'Costs 01'!AB172)*$E62 + ('Costs 01'!AA117+'Costs 01'!AA172)*'Debtors+Creditors'!$F62*AB$8 + ('Costs 01'!Z117+'Costs 01'!Z172)*'Debtors+Creditors'!$G62*AB$9 + ('Costs 01'!Y117+'Costs 01'!Y172)*'Debtors+Creditors'!$H62*AB$10</f>
        <v>6996.0000000000018</v>
      </c>
      <c r="AC62" s="722">
        <f>('Costs 01'!AC117+'Costs 01'!AC172)*$E62 + ('Costs 01'!AB117+'Costs 01'!AB172)*'Debtors+Creditors'!$F62*AC$8 + ('Costs 01'!AA117+'Costs 01'!AA172)*'Debtors+Creditors'!$G62*AC$9 + ('Costs 01'!Z117+'Costs 01'!Z172)*'Debtors+Creditors'!$H62*AC$10</f>
        <v>6996.0000000000018</v>
      </c>
      <c r="AD62" s="722">
        <f>('Costs 01'!AD117+'Costs 01'!AD172)*$E62 + ('Costs 01'!AC117+'Costs 01'!AC172)*'Debtors+Creditors'!$F62*AD$8 + ('Costs 01'!AB117+'Costs 01'!AB172)*'Debtors+Creditors'!$G62*AD$9 + ('Costs 01'!AA117+'Costs 01'!AA172)*'Debtors+Creditors'!$H62*AD$10</f>
        <v>6996.0000000000018</v>
      </c>
      <c r="AE62" s="722">
        <f>('Costs 01'!AE117+'Costs 01'!AE172)*$E62 + ('Costs 01'!AD117+'Costs 01'!AD172)*'Debtors+Creditors'!$F62*AE$8 + ('Costs 01'!AC117+'Costs 01'!AC172)*'Debtors+Creditors'!$G62*AE$9 + ('Costs 01'!AB117+'Costs 01'!AB172)*'Debtors+Creditors'!$H62*AE$10</f>
        <v>1399.2000000000003</v>
      </c>
      <c r="AF62" s="722">
        <f>('Costs 01'!AF117+'Costs 01'!AF172)*$E62 + ('Costs 01'!AE117+'Costs 01'!AE172)*'Debtors+Creditors'!$F62*AF$8 + ('Costs 01'!AD117+'Costs 01'!AD172)*'Debtors+Creditors'!$G62*AF$9 + ('Costs 01'!AC117+'Costs 01'!AC172)*'Debtors+Creditors'!$H62*AF$10</f>
        <v>0</v>
      </c>
      <c r="AG62" s="722">
        <f>('Costs 01'!AG117+'Costs 01'!AG172)*$E62 + ('Costs 01'!AF117+'Costs 01'!AF172)*'Debtors+Creditors'!$F62*AG$8 + ('Costs 01'!AE117+'Costs 01'!AE172)*'Debtors+Creditors'!$G62*AG$9 + ('Costs 01'!AD117+'Costs 01'!AD172)*'Debtors+Creditors'!$H62*AG$10</f>
        <v>0</v>
      </c>
    </row>
    <row r="63" spans="1:33" s="649" customFormat="1" ht="18" customHeight="1" outlineLevel="1">
      <c r="A63" s="894"/>
      <c r="B63" s="287"/>
      <c r="C63" s="24" t="str">
        <f>Product_07</f>
        <v>Integration Services</v>
      </c>
      <c r="D63" s="8" t="str">
        <f t="shared" si="17"/>
        <v>USD</v>
      </c>
      <c r="E63" s="85">
        <f>Inputs!F161</f>
        <v>0.25</v>
      </c>
      <c r="F63" s="85">
        <f>Inputs!G161</f>
        <v>0.75</v>
      </c>
      <c r="G63" s="85">
        <f>Inputs!H161</f>
        <v>0</v>
      </c>
      <c r="H63" s="85">
        <f>Inputs!I161</f>
        <v>0</v>
      </c>
      <c r="I63" s="71">
        <f t="shared" si="18"/>
        <v>20200</v>
      </c>
      <c r="J63" s="722">
        <f>('Costs 01'!J118+'Costs 01'!J180)*$E63 + ('Costs 01'!I118+'Costs 01'!I180)*'Debtors+Creditors'!$F63*J$8 + ('Costs 01'!H118+'Costs 01'!H180)*'Debtors+Creditors'!$G63*J$9 + ('Costs 01'!G118+'Costs 01'!G180)*'Debtors+Creditors'!$H63*J$10</f>
        <v>225</v>
      </c>
      <c r="K63" s="722">
        <f>('Costs 01'!K118+'Costs 01'!K180)*$E63 + ('Costs 01'!J118+'Costs 01'!J180)*'Debtors+Creditors'!$F63*K$8 + ('Costs 01'!I118+'Costs 01'!I180)*'Debtors+Creditors'!$G63*K$9 + ('Costs 01'!H118+'Costs 01'!H180)*'Debtors+Creditors'!$H63*K$10</f>
        <v>900</v>
      </c>
      <c r="L63" s="722">
        <f>('Costs 01'!L118+'Costs 01'!L180)*$E63 + ('Costs 01'!K118+'Costs 01'!K180)*'Debtors+Creditors'!$F63*L$8 + ('Costs 01'!J118+'Costs 01'!J180)*'Debtors+Creditors'!$G63*L$9 + ('Costs 01'!I118+'Costs 01'!I180)*'Debtors+Creditors'!$H63*L$10</f>
        <v>900</v>
      </c>
      <c r="M63" s="722">
        <f>('Costs 01'!M118+'Costs 01'!M180)*$E63 + ('Costs 01'!L118+'Costs 01'!L180)*'Debtors+Creditors'!$F63*M$8 + ('Costs 01'!K118+'Costs 01'!K180)*'Debtors+Creditors'!$G63*M$9 + ('Costs 01'!J118+'Costs 01'!J180)*'Debtors+Creditors'!$H63*M$10</f>
        <v>900</v>
      </c>
      <c r="N63" s="722">
        <f>('Costs 01'!N118+'Costs 01'!N180)*$E63 + ('Costs 01'!M118+'Costs 01'!M180)*'Debtors+Creditors'!$F63*N$8 + ('Costs 01'!L118+'Costs 01'!L180)*'Debtors+Creditors'!$G63*N$9 + ('Costs 01'!K118+'Costs 01'!K180)*'Debtors+Creditors'!$H63*N$10</f>
        <v>900</v>
      </c>
      <c r="O63" s="722">
        <f>('Costs 01'!O118+'Costs 01'!O180)*$E63 + ('Costs 01'!N118+'Costs 01'!N180)*'Debtors+Creditors'!$F63*O$8 + ('Costs 01'!M118+'Costs 01'!M180)*'Debtors+Creditors'!$G63*O$9 + ('Costs 01'!L118+'Costs 01'!L180)*'Debtors+Creditors'!$H63*O$10</f>
        <v>900</v>
      </c>
      <c r="P63" s="722">
        <f>('Costs 01'!P118+'Costs 01'!P180)*$E63 + ('Costs 01'!O118+'Costs 01'!O180)*'Debtors+Creditors'!$F63*P$8 + ('Costs 01'!N118+'Costs 01'!N180)*'Debtors+Creditors'!$G63*P$9 + ('Costs 01'!M118+'Costs 01'!M180)*'Debtors+Creditors'!$H63*P$10</f>
        <v>900</v>
      </c>
      <c r="Q63" s="722">
        <f>('Costs 01'!Q118+'Costs 01'!Q180)*$E63 + ('Costs 01'!P118+'Costs 01'!P180)*'Debtors+Creditors'!$F63*Q$8 + ('Costs 01'!O118+'Costs 01'!O180)*'Debtors+Creditors'!$G63*Q$9 + ('Costs 01'!N118+'Costs 01'!N180)*'Debtors+Creditors'!$H63*Q$10</f>
        <v>900</v>
      </c>
      <c r="R63" s="722">
        <f>('Costs 01'!R118+'Costs 01'!R180)*$E63 + ('Costs 01'!Q118+'Costs 01'!Q180)*'Debtors+Creditors'!$F63*R$8 + ('Costs 01'!P118+'Costs 01'!P180)*'Debtors+Creditors'!$G63*R$9 + ('Costs 01'!O118+'Costs 01'!O180)*'Debtors+Creditors'!$H63*R$10</f>
        <v>925</v>
      </c>
      <c r="S63" s="722">
        <f>('Costs 01'!S118+'Costs 01'!S180)*$E63 + ('Costs 01'!R118+'Costs 01'!R180)*'Debtors+Creditors'!$F63*S$8 + ('Costs 01'!Q118+'Costs 01'!Q180)*'Debtors+Creditors'!$G63*S$9 + ('Costs 01'!P118+'Costs 01'!P180)*'Debtors+Creditors'!$H63*S$10</f>
        <v>1000</v>
      </c>
      <c r="T63" s="722">
        <f>('Costs 01'!T118+'Costs 01'!T180)*$E63 + ('Costs 01'!S118+'Costs 01'!S180)*'Debtors+Creditors'!$F63*T$8 + ('Costs 01'!R118+'Costs 01'!R180)*'Debtors+Creditors'!$G63*T$9 + ('Costs 01'!Q118+'Costs 01'!Q180)*'Debtors+Creditors'!$H63*T$10</f>
        <v>1000</v>
      </c>
      <c r="U63" s="722">
        <f>('Costs 01'!U118+'Costs 01'!U180)*$E63 + ('Costs 01'!T118+'Costs 01'!T180)*'Debtors+Creditors'!$F63*U$8 + ('Costs 01'!S118+'Costs 01'!S180)*'Debtors+Creditors'!$G63*U$9 + ('Costs 01'!R118+'Costs 01'!R180)*'Debtors+Creditors'!$H63*U$10</f>
        <v>1000</v>
      </c>
      <c r="V63" s="722">
        <f>('Costs 01'!V118+'Costs 01'!V180)*$E63 + ('Costs 01'!U118+'Costs 01'!U180)*'Debtors+Creditors'!$F63*V$8 + ('Costs 01'!T118+'Costs 01'!T180)*'Debtors+Creditors'!$G63*V$9 + ('Costs 01'!S118+'Costs 01'!S180)*'Debtors+Creditors'!$H63*V$10</f>
        <v>1000</v>
      </c>
      <c r="W63" s="722">
        <f>('Costs 01'!W118+'Costs 01'!W180)*$E63 + ('Costs 01'!V118+'Costs 01'!V180)*'Debtors+Creditors'!$F63*W$8 + ('Costs 01'!U118+'Costs 01'!U180)*'Debtors+Creditors'!$G63*W$9 + ('Costs 01'!T118+'Costs 01'!T180)*'Debtors+Creditors'!$H63*W$10</f>
        <v>1000</v>
      </c>
      <c r="X63" s="722">
        <f>('Costs 01'!X118+'Costs 01'!X180)*$E63 + ('Costs 01'!W118+'Costs 01'!W180)*'Debtors+Creditors'!$F63*X$8 + ('Costs 01'!V118+'Costs 01'!V180)*'Debtors+Creditors'!$G63*X$9 + ('Costs 01'!U118+'Costs 01'!U180)*'Debtors+Creditors'!$H63*X$10</f>
        <v>1000</v>
      </c>
      <c r="Y63" s="722">
        <f>('Costs 01'!Y118+'Costs 01'!Y180)*$E63 + ('Costs 01'!X118+'Costs 01'!X180)*'Debtors+Creditors'!$F63*Y$8 + ('Costs 01'!W118+'Costs 01'!W180)*'Debtors+Creditors'!$G63*Y$9 + ('Costs 01'!V118+'Costs 01'!V180)*'Debtors+Creditors'!$H63*Y$10</f>
        <v>1000</v>
      </c>
      <c r="Z63" s="722">
        <f>('Costs 01'!Z118+'Costs 01'!Z180)*$E63 + ('Costs 01'!Y118+'Costs 01'!Y180)*'Debtors+Creditors'!$F63*Z$8 + ('Costs 01'!X118+'Costs 01'!X180)*'Debtors+Creditors'!$G63*Z$9 + ('Costs 01'!W118+'Costs 01'!W180)*'Debtors+Creditors'!$H63*Z$10</f>
        <v>1000</v>
      </c>
      <c r="AA63" s="722">
        <f>('Costs 01'!AA118+'Costs 01'!AA180)*$E63 + ('Costs 01'!Z118+'Costs 01'!Z180)*'Debtors+Creditors'!$F63*AA$8 + ('Costs 01'!Y118+'Costs 01'!Y180)*'Debtors+Creditors'!$G63*AA$9 + ('Costs 01'!X118+'Costs 01'!X180)*'Debtors+Creditors'!$H63*AA$10</f>
        <v>1000</v>
      </c>
      <c r="AB63" s="722">
        <f>('Costs 01'!AB118+'Costs 01'!AB180)*$E63 + ('Costs 01'!AA118+'Costs 01'!AA180)*'Debtors+Creditors'!$F63*AB$8 + ('Costs 01'!Z118+'Costs 01'!Z180)*'Debtors+Creditors'!$G63*AB$9 + ('Costs 01'!Y118+'Costs 01'!Y180)*'Debtors+Creditors'!$H63*AB$10</f>
        <v>1000</v>
      </c>
      <c r="AC63" s="722">
        <f>('Costs 01'!AC118+'Costs 01'!AC180)*$E63 + ('Costs 01'!AB118+'Costs 01'!AB180)*'Debtors+Creditors'!$F63*AC$8 + ('Costs 01'!AA118+'Costs 01'!AA180)*'Debtors+Creditors'!$G63*AC$9 + ('Costs 01'!Z118+'Costs 01'!Z180)*'Debtors+Creditors'!$H63*AC$10</f>
        <v>1000</v>
      </c>
      <c r="AD63" s="722">
        <f>('Costs 01'!AD118+'Costs 01'!AD180)*$E63 + ('Costs 01'!AC118+'Costs 01'!AC180)*'Debtors+Creditors'!$F63*AD$8 + ('Costs 01'!AB118+'Costs 01'!AB180)*'Debtors+Creditors'!$G63*AD$9 + ('Costs 01'!AA118+'Costs 01'!AA180)*'Debtors+Creditors'!$H63*AD$10</f>
        <v>1000</v>
      </c>
      <c r="AE63" s="722">
        <f>('Costs 01'!AE118+'Costs 01'!AE180)*$E63 + ('Costs 01'!AD118+'Costs 01'!AD180)*'Debtors+Creditors'!$F63*AE$8 + ('Costs 01'!AC118+'Costs 01'!AC180)*'Debtors+Creditors'!$G63*AE$9 + ('Costs 01'!AB118+'Costs 01'!AB180)*'Debtors+Creditors'!$H63*AE$10</f>
        <v>750</v>
      </c>
      <c r="AF63" s="722">
        <f>('Costs 01'!AF118+'Costs 01'!AF180)*$E63 + ('Costs 01'!AE118+'Costs 01'!AE180)*'Debtors+Creditors'!$F63*AF$8 + ('Costs 01'!AD118+'Costs 01'!AD180)*'Debtors+Creditors'!$G63*AF$9 + ('Costs 01'!AC118+'Costs 01'!AC180)*'Debtors+Creditors'!$H63*AF$10</f>
        <v>0</v>
      </c>
      <c r="AG63" s="722">
        <f>('Costs 01'!AG118+'Costs 01'!AG180)*$E63 + ('Costs 01'!AF118+'Costs 01'!AF180)*'Debtors+Creditors'!$F63*AG$8 + ('Costs 01'!AE118+'Costs 01'!AE180)*'Debtors+Creditors'!$G63*AG$9 + ('Costs 01'!AD118+'Costs 01'!AD180)*'Debtors+Creditors'!$H63*AG$10</f>
        <v>0</v>
      </c>
    </row>
    <row r="64" spans="1:33" s="649" customFormat="1" ht="18" customHeight="1" outlineLevel="1">
      <c r="A64" s="894"/>
      <c r="B64" s="287"/>
      <c r="C64" s="24" t="str">
        <f>Product_08</f>
        <v>Consulting Services</v>
      </c>
      <c r="D64" s="8" t="str">
        <f t="shared" si="17"/>
        <v>USD</v>
      </c>
      <c r="E64" s="85">
        <f>Inputs!F162</f>
        <v>0.25</v>
      </c>
      <c r="F64" s="85">
        <f>Inputs!G162</f>
        <v>0.75</v>
      </c>
      <c r="G64" s="85">
        <f>Inputs!H162</f>
        <v>0</v>
      </c>
      <c r="H64" s="85">
        <f>Inputs!I162</f>
        <v>0</v>
      </c>
      <c r="I64" s="71">
        <f t="shared" si="18"/>
        <v>33037.419219643874</v>
      </c>
      <c r="J64" s="722">
        <f>('Costs 01'!J119+'Costs 01'!J188)*$E64 + ('Costs 01'!I119+'Costs 01'!I188)*'Debtors+Creditors'!$F64*J$8 + ('Costs 01'!H119+'Costs 01'!H188)*'Debtors+Creditors'!$G64*J$9 + ('Costs 01'!G119+'Costs 01'!G188)*'Debtors+Creditors'!$H64*J$10</f>
        <v>355.40625</v>
      </c>
      <c r="K64" s="722">
        <f>('Costs 01'!K119+'Costs 01'!K188)*$E64 + ('Costs 01'!J119+'Costs 01'!J188)*'Debtors+Creditors'!$F64*K$8 + ('Costs 01'!I119+'Costs 01'!I188)*'Debtors+Creditors'!$G64*K$9 + ('Costs 01'!H119+'Costs 01'!H188)*'Debtors+Creditors'!$H64*K$10</f>
        <v>1425.1790624999999</v>
      </c>
      <c r="L64" s="722">
        <f>('Costs 01'!L119+'Costs 01'!L188)*$E64 + ('Costs 01'!K119+'Costs 01'!K188)*'Debtors+Creditors'!$F64*L$8 + ('Costs 01'!J119+'Costs 01'!J188)*'Debtors+Creditors'!$G64*L$9 + ('Costs 01'!I119+'Costs 01'!I188)*'Debtors+Creditors'!$H64*L$10</f>
        <v>1439.4308531250001</v>
      </c>
      <c r="M64" s="722">
        <f>('Costs 01'!M119+'Costs 01'!M188)*$E64 + ('Costs 01'!L119+'Costs 01'!L188)*'Debtors+Creditors'!$F64*M$8 + ('Costs 01'!K119+'Costs 01'!K188)*'Debtors+Creditors'!$G64*M$9 + ('Costs 01'!J119+'Costs 01'!J188)*'Debtors+Creditors'!$H64*M$10</f>
        <v>1453.82516165625</v>
      </c>
      <c r="N64" s="722">
        <f>('Costs 01'!N119+'Costs 01'!N188)*$E64 + ('Costs 01'!M119+'Costs 01'!M188)*'Debtors+Creditors'!$F64*N$8 + ('Costs 01'!L119+'Costs 01'!L188)*'Debtors+Creditors'!$G64*N$9 + ('Costs 01'!K119+'Costs 01'!K188)*'Debtors+Creditors'!$H64*N$10</f>
        <v>1468.3634132728125</v>
      </c>
      <c r="O64" s="722">
        <f>('Costs 01'!O119+'Costs 01'!O188)*$E64 + ('Costs 01'!N119+'Costs 01'!N188)*'Debtors+Creditors'!$F64*O$8 + ('Costs 01'!M119+'Costs 01'!M188)*'Debtors+Creditors'!$G64*O$9 + ('Costs 01'!L119+'Costs 01'!L188)*'Debtors+Creditors'!$H64*O$10</f>
        <v>1483.0470474055408</v>
      </c>
      <c r="P64" s="722">
        <f>('Costs 01'!P119+'Costs 01'!P188)*$E64 + ('Costs 01'!O119+'Costs 01'!O188)*'Debtors+Creditors'!$F64*P$8 + ('Costs 01'!N119+'Costs 01'!N188)*'Debtors+Creditors'!$G64*P$9 + ('Costs 01'!M119+'Costs 01'!M188)*'Debtors+Creditors'!$H64*P$10</f>
        <v>1497.8775178795963</v>
      </c>
      <c r="Q64" s="722">
        <f>('Costs 01'!Q119+'Costs 01'!Q188)*$E64 + ('Costs 01'!P119+'Costs 01'!P188)*'Debtors+Creditors'!$F64*Q$8 + ('Costs 01'!O119+'Costs 01'!O188)*'Debtors+Creditors'!$G64*Q$9 + ('Costs 01'!N119+'Costs 01'!N188)*'Debtors+Creditors'!$H64*Q$10</f>
        <v>1512.8562930583923</v>
      </c>
      <c r="R64" s="722">
        <f>('Costs 01'!R119+'Costs 01'!R188)*$E64 + ('Costs 01'!Q119+'Costs 01'!Q188)*'Debtors+Creditors'!$F64*R$8 + ('Costs 01'!P119+'Costs 01'!P188)*'Debtors+Creditors'!$G64*R$9 + ('Costs 01'!O119+'Costs 01'!O188)*'Debtors+Creditors'!$H64*R$10</f>
        <v>1527.9848559889763</v>
      </c>
      <c r="S64" s="722">
        <f>('Costs 01'!S119+'Costs 01'!S188)*$E64 + ('Costs 01'!R119+'Costs 01'!R188)*'Debtors+Creditors'!$F64*S$8 + ('Costs 01'!Q119+'Costs 01'!Q188)*'Debtors+Creditors'!$G64*S$9 + ('Costs 01'!P119+'Costs 01'!P188)*'Debtors+Creditors'!$H64*S$10</f>
        <v>1543.2647045488661</v>
      </c>
      <c r="T64" s="722">
        <f>('Costs 01'!T119+'Costs 01'!T188)*$E64 + ('Costs 01'!S119+'Costs 01'!S188)*'Debtors+Creditors'!$F64*T$8 + ('Costs 01'!R119+'Costs 01'!R188)*'Debtors+Creditors'!$G64*T$9 + ('Costs 01'!Q119+'Costs 01'!Q188)*'Debtors+Creditors'!$H64*T$10</f>
        <v>1558.697351594355</v>
      </c>
      <c r="U64" s="722">
        <f>('Costs 01'!U119+'Costs 01'!U188)*$E64 + ('Costs 01'!T119+'Costs 01'!T188)*'Debtors+Creditors'!$F64*U$8 + ('Costs 01'!S119+'Costs 01'!S188)*'Debtors+Creditors'!$G64*U$9 + ('Costs 01'!R119+'Costs 01'!R188)*'Debtors+Creditors'!$H64*U$10</f>
        <v>1574.2843251102988</v>
      </c>
      <c r="V64" s="722">
        <f>('Costs 01'!V119+'Costs 01'!V188)*$E64 + ('Costs 01'!U119+'Costs 01'!U188)*'Debtors+Creditors'!$F64*V$8 + ('Costs 01'!T119+'Costs 01'!T188)*'Debtors+Creditors'!$G64*V$9 + ('Costs 01'!S119+'Costs 01'!S188)*'Debtors+Creditors'!$H64*V$10</f>
        <v>1590.0271683614017</v>
      </c>
      <c r="W64" s="722">
        <f>('Costs 01'!W119+'Costs 01'!W188)*$E64 + ('Costs 01'!V119+'Costs 01'!V188)*'Debtors+Creditors'!$F64*W$8 + ('Costs 01'!U119+'Costs 01'!U188)*'Debtors+Creditors'!$G64*W$9 + ('Costs 01'!T119+'Costs 01'!T188)*'Debtors+Creditors'!$H64*W$10</f>
        <v>1605.9274400450158</v>
      </c>
      <c r="X64" s="722">
        <f>('Costs 01'!X119+'Costs 01'!X188)*$E64 + ('Costs 01'!W119+'Costs 01'!W188)*'Debtors+Creditors'!$F64*X$8 + ('Costs 01'!V119+'Costs 01'!V188)*'Debtors+Creditors'!$G64*X$9 + ('Costs 01'!U119+'Costs 01'!U188)*'Debtors+Creditors'!$H64*X$10</f>
        <v>1621.9867144454661</v>
      </c>
      <c r="Y64" s="722">
        <f>('Costs 01'!Y119+'Costs 01'!Y188)*$E64 + ('Costs 01'!X119+'Costs 01'!X188)*'Debtors+Creditors'!$F64*Y$8 + ('Costs 01'!W119+'Costs 01'!W188)*'Debtors+Creditors'!$G64*Y$9 + ('Costs 01'!V119+'Costs 01'!V188)*'Debtors+Creditors'!$H64*Y$10</f>
        <v>1638.2065815899209</v>
      </c>
      <c r="Z64" s="722">
        <f>('Costs 01'!Z119+'Costs 01'!Z188)*$E64 + ('Costs 01'!Y119+'Costs 01'!Y188)*'Debtors+Creditors'!$F64*Z$8 + ('Costs 01'!X119+'Costs 01'!X188)*'Debtors+Creditors'!$G64*Z$9 + ('Costs 01'!W119+'Costs 01'!W188)*'Debtors+Creditors'!$H64*Z$10</f>
        <v>1654.58864740582</v>
      </c>
      <c r="AA64" s="722">
        <f>('Costs 01'!AA119+'Costs 01'!AA188)*$E64 + ('Costs 01'!Z119+'Costs 01'!Z188)*'Debtors+Creditors'!$F64*AA$8 + ('Costs 01'!Y119+'Costs 01'!Y188)*'Debtors+Creditors'!$G64*AA$9 + ('Costs 01'!X119+'Costs 01'!X188)*'Debtors+Creditors'!$H64*AA$10</f>
        <v>1671.1345338798781</v>
      </c>
      <c r="AB64" s="722">
        <f>('Costs 01'!AB119+'Costs 01'!AB188)*$E64 + ('Costs 01'!AA119+'Costs 01'!AA188)*'Debtors+Creditors'!$F64*AB$8 + ('Costs 01'!Z119+'Costs 01'!Z188)*'Debtors+Creditors'!$G64*AB$9 + ('Costs 01'!Y119+'Costs 01'!Y188)*'Debtors+Creditors'!$H64*AB$10</f>
        <v>1687.8458792186768</v>
      </c>
      <c r="AC64" s="722">
        <f>('Costs 01'!AC119+'Costs 01'!AC188)*$E64 + ('Costs 01'!AB119+'Costs 01'!AB188)*'Debtors+Creditors'!$F64*AC$8 + ('Costs 01'!AA119+'Costs 01'!AA188)*'Debtors+Creditors'!$G64*AC$9 + ('Costs 01'!Z119+'Costs 01'!Z188)*'Debtors+Creditors'!$H64*AC$10</f>
        <v>1704.7243380108634</v>
      </c>
      <c r="AD64" s="722">
        <f>('Costs 01'!AD119+'Costs 01'!AD188)*$E64 + ('Costs 01'!AC119+'Costs 01'!AC188)*'Debtors+Creditors'!$F64*AD$8 + ('Costs 01'!AB119+'Costs 01'!AB188)*'Debtors+Creditors'!$G64*AD$9 + ('Costs 01'!AA119+'Costs 01'!AA188)*'Debtors+Creditors'!$H64*AD$10</f>
        <v>1721.7715813909722</v>
      </c>
      <c r="AE64" s="722">
        <f>('Costs 01'!AE119+'Costs 01'!AE188)*$E64 + ('Costs 01'!AD119+'Costs 01'!AD188)*'Debtors+Creditors'!$F64*AE$8 + ('Costs 01'!AC119+'Costs 01'!AC188)*'Debtors+Creditors'!$G64*AE$9 + ('Costs 01'!AB119+'Costs 01'!AB188)*'Debtors+Creditors'!$H64*AE$10</f>
        <v>1300.9894991557721</v>
      </c>
      <c r="AF64" s="722">
        <f>('Costs 01'!AF119+'Costs 01'!AF188)*$E64 + ('Costs 01'!AE119+'Costs 01'!AE188)*'Debtors+Creditors'!$F64*AF$8 + ('Costs 01'!AD119+'Costs 01'!AD188)*'Debtors+Creditors'!$G64*AF$9 + ('Costs 01'!AC119+'Costs 01'!AC188)*'Debtors+Creditors'!$H64*AF$10</f>
        <v>0</v>
      </c>
      <c r="AG64" s="722">
        <f>('Costs 01'!AG119+'Costs 01'!AG188)*$E64 + ('Costs 01'!AF119+'Costs 01'!AF188)*'Debtors+Creditors'!$F64*AG$8 + ('Costs 01'!AE119+'Costs 01'!AE188)*'Debtors+Creditors'!$G64*AG$9 + ('Costs 01'!AD119+'Costs 01'!AD188)*'Debtors+Creditors'!$H64*AG$10</f>
        <v>0</v>
      </c>
    </row>
    <row r="65" spans="1:33" s="649" customFormat="1" ht="18" customHeight="1" outlineLevel="1">
      <c r="A65" s="894"/>
      <c r="B65" s="287"/>
      <c r="C65" s="24" t="str">
        <f>Product_09</f>
        <v>Spare Parts</v>
      </c>
      <c r="D65" s="8" t="str">
        <f t="shared" si="17"/>
        <v>USD</v>
      </c>
      <c r="E65" s="85">
        <f>Inputs!F163</f>
        <v>0.9</v>
      </c>
      <c r="F65" s="85">
        <f>Inputs!G163</f>
        <v>0.1</v>
      </c>
      <c r="G65" s="85">
        <f>Inputs!H163</f>
        <v>0</v>
      </c>
      <c r="H65" s="85">
        <f>Inputs!I163</f>
        <v>0</v>
      </c>
      <c r="I65" s="71">
        <f t="shared" si="18"/>
        <v>149737.5</v>
      </c>
      <c r="J65" s="722">
        <f>('Costs 01'!J120+'Costs 01'!J196)*$E65 + ('Costs 01'!I120+'Costs 01'!I196)*'Debtors+Creditors'!$F65*J$8 + ('Costs 01'!H120+'Costs 01'!H196)*'Debtors+Creditors'!$G65*J$9 + ('Costs 01'!G120+'Costs 01'!G196)*'Debtors+Creditors'!$H65*J$10</f>
        <v>6496.875</v>
      </c>
      <c r="K65" s="722">
        <f>('Costs 01'!K120+'Costs 01'!K196)*$E65 + ('Costs 01'!J120+'Costs 01'!J196)*'Debtors+Creditors'!$F65*K$8 + ('Costs 01'!I120+'Costs 01'!I196)*'Debtors+Creditors'!$G65*K$9 + ('Costs 01'!H120+'Costs 01'!H196)*'Debtors+Creditors'!$H65*K$10</f>
        <v>7590</v>
      </c>
      <c r="L65" s="722">
        <f>('Costs 01'!L120+'Costs 01'!L196)*$E65 + ('Costs 01'!K120+'Costs 01'!K196)*'Debtors+Creditors'!$F65*L$8 + ('Costs 01'!J120+'Costs 01'!J196)*'Debtors+Creditors'!$G65*L$9 + ('Costs 01'!I120+'Costs 01'!I196)*'Debtors+Creditors'!$H65*L$10</f>
        <v>7631.25</v>
      </c>
      <c r="M65" s="722">
        <f>('Costs 01'!M120+'Costs 01'!M196)*$E65 + ('Costs 01'!L120+'Costs 01'!L196)*'Debtors+Creditors'!$F65*M$8 + ('Costs 01'!K120+'Costs 01'!K196)*'Debtors+Creditors'!$G65*M$9 + ('Costs 01'!J120+'Costs 01'!J196)*'Debtors+Creditors'!$H65*M$10</f>
        <v>7631.25</v>
      </c>
      <c r="N65" s="722">
        <f>('Costs 01'!N120+'Costs 01'!N196)*$E65 + ('Costs 01'!M120+'Costs 01'!M196)*'Debtors+Creditors'!$F65*N$8 + ('Costs 01'!L120+'Costs 01'!L196)*'Debtors+Creditors'!$G65*N$9 + ('Costs 01'!K120+'Costs 01'!K196)*'Debtors+Creditors'!$H65*N$10</f>
        <v>7631.25</v>
      </c>
      <c r="O65" s="722">
        <f>('Costs 01'!O120+'Costs 01'!O196)*$E65 + ('Costs 01'!N120+'Costs 01'!N196)*'Debtors+Creditors'!$F65*O$8 + ('Costs 01'!M120+'Costs 01'!M196)*'Debtors+Creditors'!$G65*O$9 + ('Costs 01'!L120+'Costs 01'!L196)*'Debtors+Creditors'!$H65*O$10</f>
        <v>7631.25</v>
      </c>
      <c r="P65" s="722">
        <f>('Costs 01'!P120+'Costs 01'!P196)*$E65 + ('Costs 01'!O120+'Costs 01'!O196)*'Debtors+Creditors'!$F65*P$8 + ('Costs 01'!N120+'Costs 01'!N196)*'Debtors+Creditors'!$G65*P$9 + ('Costs 01'!M120+'Costs 01'!M196)*'Debtors+Creditors'!$H65*P$10</f>
        <v>7631.25</v>
      </c>
      <c r="Q65" s="722">
        <f>('Costs 01'!Q120+'Costs 01'!Q196)*$E65 + ('Costs 01'!P120+'Costs 01'!P196)*'Debtors+Creditors'!$F65*Q$8 + ('Costs 01'!O120+'Costs 01'!O196)*'Debtors+Creditors'!$G65*Q$9 + ('Costs 01'!N120+'Costs 01'!N196)*'Debtors+Creditors'!$H65*Q$10</f>
        <v>6888.75</v>
      </c>
      <c r="R65" s="722">
        <f>('Costs 01'!R120+'Costs 01'!R196)*$E65 + ('Costs 01'!Q120+'Costs 01'!Q196)*'Debtors+Creditors'!$F65*R$8 + ('Costs 01'!P120+'Costs 01'!P196)*'Debtors+Creditors'!$G65*R$9 + ('Costs 01'!O120+'Costs 01'!O196)*'Debtors+Creditors'!$H65*R$10</f>
        <v>6806.25</v>
      </c>
      <c r="S65" s="722">
        <f>('Costs 01'!S120+'Costs 01'!S196)*$E65 + ('Costs 01'!R120+'Costs 01'!R196)*'Debtors+Creditors'!$F65*S$8 + ('Costs 01'!Q120+'Costs 01'!Q196)*'Debtors+Creditors'!$G65*S$9 + ('Costs 01'!P120+'Costs 01'!P196)*'Debtors+Creditors'!$H65*S$10</f>
        <v>6806.25</v>
      </c>
      <c r="T65" s="722">
        <f>('Costs 01'!T120+'Costs 01'!T196)*$E65 + ('Costs 01'!S120+'Costs 01'!S196)*'Debtors+Creditors'!$F65*T$8 + ('Costs 01'!R120+'Costs 01'!R196)*'Debtors+Creditors'!$G65*T$9 + ('Costs 01'!Q120+'Costs 01'!Q196)*'Debtors+Creditors'!$H65*T$10</f>
        <v>6806.25</v>
      </c>
      <c r="U65" s="722">
        <f>('Costs 01'!U120+'Costs 01'!U196)*$E65 + ('Costs 01'!T120+'Costs 01'!T196)*'Debtors+Creditors'!$F65*U$8 + ('Costs 01'!S120+'Costs 01'!S196)*'Debtors+Creditors'!$G65*U$9 + ('Costs 01'!R120+'Costs 01'!R196)*'Debtors+Creditors'!$H65*U$10</f>
        <v>6806.25</v>
      </c>
      <c r="V65" s="722">
        <f>('Costs 01'!V120+'Costs 01'!V196)*$E65 + ('Costs 01'!U120+'Costs 01'!U196)*'Debtors+Creditors'!$F65*V$8 + ('Costs 01'!T120+'Costs 01'!T196)*'Debtors+Creditors'!$G65*V$9 + ('Costs 01'!S120+'Costs 01'!S196)*'Debtors+Creditors'!$H65*V$10</f>
        <v>6806.25</v>
      </c>
      <c r="W65" s="722">
        <f>('Costs 01'!W120+'Costs 01'!W196)*$E65 + ('Costs 01'!V120+'Costs 01'!V196)*'Debtors+Creditors'!$F65*W$8 + ('Costs 01'!U120+'Costs 01'!U196)*'Debtors+Creditors'!$G65*W$9 + ('Costs 01'!T120+'Costs 01'!T196)*'Debtors+Creditors'!$H65*W$10</f>
        <v>6806.25</v>
      </c>
      <c r="X65" s="722">
        <f>('Costs 01'!X120+'Costs 01'!X196)*$E65 + ('Costs 01'!W120+'Costs 01'!W196)*'Debtors+Creditors'!$F65*X$8 + ('Costs 01'!V120+'Costs 01'!V196)*'Debtors+Creditors'!$G65*X$9 + ('Costs 01'!U120+'Costs 01'!U196)*'Debtors+Creditors'!$H65*X$10</f>
        <v>6806.25</v>
      </c>
      <c r="Y65" s="722">
        <f>('Costs 01'!Y120+'Costs 01'!Y196)*$E65 + ('Costs 01'!X120+'Costs 01'!X196)*'Debtors+Creditors'!$F65*Y$8 + ('Costs 01'!W120+'Costs 01'!W196)*'Debtors+Creditors'!$G65*Y$9 + ('Costs 01'!V120+'Costs 01'!V196)*'Debtors+Creditors'!$H65*Y$10</f>
        <v>6806.25</v>
      </c>
      <c r="Z65" s="722">
        <f>('Costs 01'!Z120+'Costs 01'!Z196)*$E65 + ('Costs 01'!Y120+'Costs 01'!Y196)*'Debtors+Creditors'!$F65*Z$8 + ('Costs 01'!X120+'Costs 01'!X196)*'Debtors+Creditors'!$G65*Z$9 + ('Costs 01'!W120+'Costs 01'!W196)*'Debtors+Creditors'!$H65*Z$10</f>
        <v>6806.25</v>
      </c>
      <c r="AA65" s="722">
        <f>('Costs 01'!AA120+'Costs 01'!AA196)*$E65 + ('Costs 01'!Z120+'Costs 01'!Z196)*'Debtors+Creditors'!$F65*AA$8 + ('Costs 01'!Y120+'Costs 01'!Y196)*'Debtors+Creditors'!$G65*AA$9 + ('Costs 01'!X120+'Costs 01'!X196)*'Debtors+Creditors'!$H65*AA$10</f>
        <v>6806.25</v>
      </c>
      <c r="AB65" s="722">
        <f>('Costs 01'!AB120+'Costs 01'!AB196)*$E65 + ('Costs 01'!AA120+'Costs 01'!AA196)*'Debtors+Creditors'!$F65*AB$8 + ('Costs 01'!Z120+'Costs 01'!Z196)*'Debtors+Creditors'!$G65*AB$9 + ('Costs 01'!Y120+'Costs 01'!Y196)*'Debtors+Creditors'!$H65*AB$10</f>
        <v>6806.25</v>
      </c>
      <c r="AC65" s="722">
        <f>('Costs 01'!AC120+'Costs 01'!AC196)*$E65 + ('Costs 01'!AB120+'Costs 01'!AB196)*'Debtors+Creditors'!$F65*AC$8 + ('Costs 01'!AA120+'Costs 01'!AA196)*'Debtors+Creditors'!$G65*AC$9 + ('Costs 01'!Z120+'Costs 01'!Z196)*'Debtors+Creditors'!$H65*AC$10</f>
        <v>6806.25</v>
      </c>
      <c r="AD65" s="722">
        <f>('Costs 01'!AD120+'Costs 01'!AD196)*$E65 + ('Costs 01'!AC120+'Costs 01'!AC196)*'Debtors+Creditors'!$F65*AD$8 + ('Costs 01'!AB120+'Costs 01'!AB196)*'Debtors+Creditors'!$G65*AD$9 + ('Costs 01'!AA120+'Costs 01'!AA196)*'Debtors+Creditors'!$H65*AD$10</f>
        <v>8105.625</v>
      </c>
      <c r="AE65" s="722">
        <f>('Costs 01'!AE120+'Costs 01'!AE196)*$E65 + ('Costs 01'!AD120+'Costs 01'!AD196)*'Debtors+Creditors'!$F65*AE$8 + ('Costs 01'!AC120+'Costs 01'!AC196)*'Debtors+Creditors'!$G65*AE$9 + ('Costs 01'!AB120+'Costs 01'!AB196)*'Debtors+Creditors'!$H65*AE$10</f>
        <v>825</v>
      </c>
      <c r="AF65" s="722">
        <f>('Costs 01'!AF120+'Costs 01'!AF196)*$E65 + ('Costs 01'!AE120+'Costs 01'!AE196)*'Debtors+Creditors'!$F65*AF$8 + ('Costs 01'!AD120+'Costs 01'!AD196)*'Debtors+Creditors'!$G65*AF$9 + ('Costs 01'!AC120+'Costs 01'!AC196)*'Debtors+Creditors'!$H65*AF$10</f>
        <v>0</v>
      </c>
      <c r="AG65" s="722">
        <f>('Costs 01'!AG120+'Costs 01'!AG196)*$E65 + ('Costs 01'!AF120+'Costs 01'!AF196)*'Debtors+Creditors'!$F65*AG$8 + ('Costs 01'!AE120+'Costs 01'!AE196)*'Debtors+Creditors'!$G65*AG$9 + ('Costs 01'!AD120+'Costs 01'!AD196)*'Debtors+Creditors'!$H65*AG$10</f>
        <v>0</v>
      </c>
    </row>
    <row r="66" spans="1:33" s="649" customFormat="1" ht="18" customHeight="1" outlineLevel="1">
      <c r="A66" s="894"/>
      <c r="B66" s="287"/>
      <c r="C66" s="24" t="str">
        <f>Product_10</f>
        <v>License Fees</v>
      </c>
      <c r="D66" s="8" t="str">
        <f t="shared" si="17"/>
        <v>USD</v>
      </c>
      <c r="E66" s="85">
        <f>Inputs!F164</f>
        <v>1</v>
      </c>
      <c r="F66" s="85">
        <f>Inputs!G164</f>
        <v>0</v>
      </c>
      <c r="G66" s="85">
        <f>Inputs!H164</f>
        <v>0</v>
      </c>
      <c r="H66" s="85">
        <f>Inputs!I164</f>
        <v>0</v>
      </c>
      <c r="I66" s="71">
        <f t="shared" si="18"/>
        <v>0</v>
      </c>
      <c r="J66" s="722">
        <f>('Costs 01'!J121+'Costs 01'!J204)*$E66 + ('Costs 01'!I121+'Costs 01'!I204)*'Debtors+Creditors'!$F66*J$8 + ('Costs 01'!H121+'Costs 01'!H204)*'Debtors+Creditors'!$G66*J$9 + ('Costs 01'!G121+'Costs 01'!G204)*'Debtors+Creditors'!$H66*J$10</f>
        <v>0</v>
      </c>
      <c r="K66" s="722">
        <f>('Costs 01'!K121+'Costs 01'!K204)*$E66 + ('Costs 01'!J121+'Costs 01'!J204)*'Debtors+Creditors'!$F66*K$8 + ('Costs 01'!I121+'Costs 01'!I204)*'Debtors+Creditors'!$G66*K$9 + ('Costs 01'!H121+'Costs 01'!H204)*'Debtors+Creditors'!$H66*K$10</f>
        <v>0</v>
      </c>
      <c r="L66" s="722">
        <f>('Costs 01'!L121+'Costs 01'!L204)*$E66 + ('Costs 01'!K121+'Costs 01'!K204)*'Debtors+Creditors'!$F66*L$8 + ('Costs 01'!J121+'Costs 01'!J204)*'Debtors+Creditors'!$G66*L$9 + ('Costs 01'!I121+'Costs 01'!I204)*'Debtors+Creditors'!$H66*L$10</f>
        <v>0</v>
      </c>
      <c r="M66" s="722">
        <f>('Costs 01'!M121+'Costs 01'!M204)*$E66 + ('Costs 01'!L121+'Costs 01'!L204)*'Debtors+Creditors'!$F66*M$8 + ('Costs 01'!K121+'Costs 01'!K204)*'Debtors+Creditors'!$G66*M$9 + ('Costs 01'!J121+'Costs 01'!J204)*'Debtors+Creditors'!$H66*M$10</f>
        <v>0</v>
      </c>
      <c r="N66" s="722">
        <f>('Costs 01'!N121+'Costs 01'!N204)*$E66 + ('Costs 01'!M121+'Costs 01'!M204)*'Debtors+Creditors'!$F66*N$8 + ('Costs 01'!L121+'Costs 01'!L204)*'Debtors+Creditors'!$G66*N$9 + ('Costs 01'!K121+'Costs 01'!K204)*'Debtors+Creditors'!$H66*N$10</f>
        <v>0</v>
      </c>
      <c r="O66" s="722">
        <f>('Costs 01'!O121+'Costs 01'!O204)*$E66 + ('Costs 01'!N121+'Costs 01'!N204)*'Debtors+Creditors'!$F66*O$8 + ('Costs 01'!M121+'Costs 01'!M204)*'Debtors+Creditors'!$G66*O$9 + ('Costs 01'!L121+'Costs 01'!L204)*'Debtors+Creditors'!$H66*O$10</f>
        <v>0</v>
      </c>
      <c r="P66" s="722">
        <f>('Costs 01'!P121+'Costs 01'!P204)*$E66 + ('Costs 01'!O121+'Costs 01'!O204)*'Debtors+Creditors'!$F66*P$8 + ('Costs 01'!N121+'Costs 01'!N204)*'Debtors+Creditors'!$G66*P$9 + ('Costs 01'!M121+'Costs 01'!M204)*'Debtors+Creditors'!$H66*P$10</f>
        <v>0</v>
      </c>
      <c r="Q66" s="722">
        <f>('Costs 01'!Q121+'Costs 01'!Q204)*$E66 + ('Costs 01'!P121+'Costs 01'!P204)*'Debtors+Creditors'!$F66*Q$8 + ('Costs 01'!O121+'Costs 01'!O204)*'Debtors+Creditors'!$G66*Q$9 + ('Costs 01'!N121+'Costs 01'!N204)*'Debtors+Creditors'!$H66*Q$10</f>
        <v>0</v>
      </c>
      <c r="R66" s="722">
        <f>('Costs 01'!R121+'Costs 01'!R204)*$E66 + ('Costs 01'!Q121+'Costs 01'!Q204)*'Debtors+Creditors'!$F66*R$8 + ('Costs 01'!P121+'Costs 01'!P204)*'Debtors+Creditors'!$G66*R$9 + ('Costs 01'!O121+'Costs 01'!O204)*'Debtors+Creditors'!$H66*R$10</f>
        <v>0</v>
      </c>
      <c r="S66" s="722">
        <f>('Costs 01'!S121+'Costs 01'!S204)*$E66 + ('Costs 01'!R121+'Costs 01'!R204)*'Debtors+Creditors'!$F66*S$8 + ('Costs 01'!Q121+'Costs 01'!Q204)*'Debtors+Creditors'!$G66*S$9 + ('Costs 01'!P121+'Costs 01'!P204)*'Debtors+Creditors'!$H66*S$10</f>
        <v>0</v>
      </c>
      <c r="T66" s="722">
        <f>('Costs 01'!T121+'Costs 01'!T204)*$E66 + ('Costs 01'!S121+'Costs 01'!S204)*'Debtors+Creditors'!$F66*T$8 + ('Costs 01'!R121+'Costs 01'!R204)*'Debtors+Creditors'!$G66*T$9 + ('Costs 01'!Q121+'Costs 01'!Q204)*'Debtors+Creditors'!$H66*T$10</f>
        <v>0</v>
      </c>
      <c r="U66" s="722">
        <f>('Costs 01'!U121+'Costs 01'!U204)*$E66 + ('Costs 01'!T121+'Costs 01'!T204)*'Debtors+Creditors'!$F66*U$8 + ('Costs 01'!S121+'Costs 01'!S204)*'Debtors+Creditors'!$G66*U$9 + ('Costs 01'!R121+'Costs 01'!R204)*'Debtors+Creditors'!$H66*U$10</f>
        <v>0</v>
      </c>
      <c r="V66" s="722">
        <f>('Costs 01'!V121+'Costs 01'!V204)*$E66 + ('Costs 01'!U121+'Costs 01'!U204)*'Debtors+Creditors'!$F66*V$8 + ('Costs 01'!T121+'Costs 01'!T204)*'Debtors+Creditors'!$G66*V$9 + ('Costs 01'!S121+'Costs 01'!S204)*'Debtors+Creditors'!$H66*V$10</f>
        <v>0</v>
      </c>
      <c r="W66" s="722">
        <f>('Costs 01'!W121+'Costs 01'!W204)*$E66 + ('Costs 01'!V121+'Costs 01'!V204)*'Debtors+Creditors'!$F66*W$8 + ('Costs 01'!U121+'Costs 01'!U204)*'Debtors+Creditors'!$G66*W$9 + ('Costs 01'!T121+'Costs 01'!T204)*'Debtors+Creditors'!$H66*W$10</f>
        <v>0</v>
      </c>
      <c r="X66" s="722">
        <f>('Costs 01'!X121+'Costs 01'!X204)*$E66 + ('Costs 01'!W121+'Costs 01'!W204)*'Debtors+Creditors'!$F66*X$8 + ('Costs 01'!V121+'Costs 01'!V204)*'Debtors+Creditors'!$G66*X$9 + ('Costs 01'!U121+'Costs 01'!U204)*'Debtors+Creditors'!$H66*X$10</f>
        <v>0</v>
      </c>
      <c r="Y66" s="722">
        <f>('Costs 01'!Y121+'Costs 01'!Y204)*$E66 + ('Costs 01'!X121+'Costs 01'!X204)*'Debtors+Creditors'!$F66*Y$8 + ('Costs 01'!W121+'Costs 01'!W204)*'Debtors+Creditors'!$G66*Y$9 + ('Costs 01'!V121+'Costs 01'!V204)*'Debtors+Creditors'!$H66*Y$10</f>
        <v>0</v>
      </c>
      <c r="Z66" s="722">
        <f>('Costs 01'!Z121+'Costs 01'!Z204)*$E66 + ('Costs 01'!Y121+'Costs 01'!Y204)*'Debtors+Creditors'!$F66*Z$8 + ('Costs 01'!X121+'Costs 01'!X204)*'Debtors+Creditors'!$G66*Z$9 + ('Costs 01'!W121+'Costs 01'!W204)*'Debtors+Creditors'!$H66*Z$10</f>
        <v>0</v>
      </c>
      <c r="AA66" s="722">
        <f>('Costs 01'!AA121+'Costs 01'!AA204)*$E66 + ('Costs 01'!Z121+'Costs 01'!Z204)*'Debtors+Creditors'!$F66*AA$8 + ('Costs 01'!Y121+'Costs 01'!Y204)*'Debtors+Creditors'!$G66*AA$9 + ('Costs 01'!X121+'Costs 01'!X204)*'Debtors+Creditors'!$H66*AA$10</f>
        <v>0</v>
      </c>
      <c r="AB66" s="722">
        <f>('Costs 01'!AB121+'Costs 01'!AB204)*$E66 + ('Costs 01'!AA121+'Costs 01'!AA204)*'Debtors+Creditors'!$F66*AB$8 + ('Costs 01'!Z121+'Costs 01'!Z204)*'Debtors+Creditors'!$G66*AB$9 + ('Costs 01'!Y121+'Costs 01'!Y204)*'Debtors+Creditors'!$H66*AB$10</f>
        <v>0</v>
      </c>
      <c r="AC66" s="722">
        <f>('Costs 01'!AC121+'Costs 01'!AC204)*$E66 + ('Costs 01'!AB121+'Costs 01'!AB204)*'Debtors+Creditors'!$F66*AC$8 + ('Costs 01'!AA121+'Costs 01'!AA204)*'Debtors+Creditors'!$G66*AC$9 + ('Costs 01'!Z121+'Costs 01'!Z204)*'Debtors+Creditors'!$H66*AC$10</f>
        <v>0</v>
      </c>
      <c r="AD66" s="722">
        <f>('Costs 01'!AD121+'Costs 01'!AD204)*$E66 + ('Costs 01'!AC121+'Costs 01'!AC204)*'Debtors+Creditors'!$F66*AD$8 + ('Costs 01'!AB121+'Costs 01'!AB204)*'Debtors+Creditors'!$G66*AD$9 + ('Costs 01'!AA121+'Costs 01'!AA204)*'Debtors+Creditors'!$H66*AD$10</f>
        <v>0</v>
      </c>
      <c r="AE66" s="722">
        <f>('Costs 01'!AE121+'Costs 01'!AE204)*$E66 + ('Costs 01'!AD121+'Costs 01'!AD204)*'Debtors+Creditors'!$F66*AE$8 + ('Costs 01'!AC121+'Costs 01'!AC204)*'Debtors+Creditors'!$G66*AE$9 + ('Costs 01'!AB121+'Costs 01'!AB204)*'Debtors+Creditors'!$H66*AE$10</f>
        <v>0</v>
      </c>
      <c r="AF66" s="722">
        <f>('Costs 01'!AF121+'Costs 01'!AF204)*$E66 + ('Costs 01'!AE121+'Costs 01'!AE204)*'Debtors+Creditors'!$F66*AF$8 + ('Costs 01'!AD121+'Costs 01'!AD204)*'Debtors+Creditors'!$G66*AF$9 + ('Costs 01'!AC121+'Costs 01'!AC204)*'Debtors+Creditors'!$H66*AF$10</f>
        <v>0</v>
      </c>
      <c r="AG66" s="722">
        <f>('Costs 01'!AG121+'Costs 01'!AG204)*$E66 + ('Costs 01'!AF121+'Costs 01'!AF204)*'Debtors+Creditors'!$F66*AG$8 + ('Costs 01'!AE121+'Costs 01'!AE204)*'Debtors+Creditors'!$G66*AG$9 + ('Costs 01'!AD121+'Costs 01'!AD204)*'Debtors+Creditors'!$H66*AG$10</f>
        <v>0</v>
      </c>
    </row>
    <row r="67" spans="1:33" s="649" customFormat="1" ht="18" customHeight="1" outlineLevel="1">
      <c r="A67" s="894"/>
      <c r="B67" s="287"/>
      <c r="C67" s="649" t="str">
        <f>CHOOSE(language,"Phasing out of opening BS (Trade Creditors)","Phasing out of opening BS (Accounts Payables)")</f>
        <v>Phasing out of opening BS (Accounts Payables)</v>
      </c>
      <c r="D67" s="8" t="str">
        <f t="shared" si="17"/>
        <v>USD</v>
      </c>
      <c r="E67" s="147">
        <f>Inputs!F237</f>
        <v>10000</v>
      </c>
      <c r="F67" s="693">
        <f>Inputs!J237</f>
        <v>2</v>
      </c>
      <c r="G67" s="649" t="s">
        <v>501</v>
      </c>
      <c r="H67" s="203"/>
      <c r="I67" s="71">
        <f t="shared" si="18"/>
        <v>10000</v>
      </c>
      <c r="J67" s="722">
        <f>IF(J$7=1,$E67/$F67,IF(SUM(I67:$J67)&gt;=$E67,0,$E67/$F67))</f>
        <v>5000</v>
      </c>
      <c r="K67" s="722">
        <f>IF(K$7=1,$E67/$F67,IF(SUM(J67:$J67)&gt;=$E67,0,$E67/$F67))</f>
        <v>5000</v>
      </c>
      <c r="L67" s="722">
        <f>IF(L$7=1,$E67/$F67,IF(SUM($J67:K67)&gt;=$E67,0,$E67/$F67))</f>
        <v>0</v>
      </c>
      <c r="M67" s="722">
        <f>IF(M$7=1,$E67/$F67,IF(SUM($J67:L67)&gt;=$E67,0,$E67/$F67))</f>
        <v>0</v>
      </c>
      <c r="N67" s="722">
        <f>IF(N$7=1,$E67/$F67,IF(SUM($J67:M67)&gt;=$E67,0,$E67/$F67))</f>
        <v>0</v>
      </c>
      <c r="O67" s="722">
        <f>IF(O$7=1,$E67/$F67,IF(SUM($J67:N67)&gt;=$E67,0,$E67/$F67))</f>
        <v>0</v>
      </c>
      <c r="P67" s="722">
        <f>IF(P$7=1,$E67/$F67,IF(SUM($J67:O67)&gt;=$E67,0,$E67/$F67))</f>
        <v>0</v>
      </c>
      <c r="Q67" s="722">
        <f>IF(Q$7=1,$E67/$F67,IF(SUM($J67:P67)&gt;=$E67,0,$E67/$F67))</f>
        <v>0</v>
      </c>
      <c r="R67" s="722">
        <f>IF(R$7=1,$E67/$F67,IF(SUM($J67:Q67)&gt;=$E67,0,$E67/$F67))</f>
        <v>0</v>
      </c>
      <c r="S67" s="722">
        <f>IF(S$7=1,$E67/$F67,IF(SUM($J67:R67)&gt;=$E67,0,$E67/$F67))</f>
        <v>0</v>
      </c>
      <c r="T67" s="722">
        <f>IF(T$7=1,$E67/$F67,IF(SUM($J67:S67)&gt;=$E67,0,$E67/$F67))</f>
        <v>0</v>
      </c>
      <c r="U67" s="722">
        <f>IF(U$7=1,$E67/$F67,IF(SUM($J67:T67)&gt;=$E67,0,$E67/$F67))</f>
        <v>0</v>
      </c>
      <c r="V67" s="722">
        <f>IF(V$7=1,$E67/$F67,IF(SUM($J67:U67)&gt;=$E67,0,$E67/$F67))</f>
        <v>0</v>
      </c>
      <c r="W67" s="722">
        <f>IF(W$7=1,$E67/$F67,IF(SUM($J67:V67)&gt;=$E67,0,$E67/$F67))</f>
        <v>0</v>
      </c>
      <c r="X67" s="722">
        <f>IF(X$7=1,$E67/$F67,IF(SUM($J67:W67)&gt;=$E67,0,$E67/$F67))</f>
        <v>0</v>
      </c>
      <c r="Y67" s="722">
        <f>IF(Y$7=1,$E67/$F67,IF(SUM($J67:X67)&gt;=$E67,0,$E67/$F67))</f>
        <v>0</v>
      </c>
      <c r="Z67" s="722">
        <f>IF(Z$7=1,$E67/$F67,IF(SUM($J67:Y67)&gt;=$E67,0,$E67/$F67))</f>
        <v>0</v>
      </c>
      <c r="AA67" s="722">
        <f>IF(AA$7=1,$E67/$F67,IF(SUM($J67:Z67)&gt;=$E67,0,$E67/$F67))</f>
        <v>0</v>
      </c>
      <c r="AB67" s="722">
        <f>IF(AB$7=1,$E67/$F67,IF(SUM($J67:AA67)&gt;=$E67,0,$E67/$F67))</f>
        <v>0</v>
      </c>
      <c r="AC67" s="722">
        <f>IF(AC$7=1,$E67/$F67,IF(SUM($J67:AB67)&gt;=$E67,0,$E67/$F67))</f>
        <v>0</v>
      </c>
      <c r="AD67" s="722">
        <f>IF(AD$7=1,$E67/$F67,IF(SUM($J67:AC67)&gt;=$E67,0,$E67/$F67))</f>
        <v>0</v>
      </c>
      <c r="AE67" s="722">
        <f>IF(AE$7=1,$E67/$F67,IF(SUM($J67:AD67)&gt;=$E67,0,$E67/$F67))</f>
        <v>0</v>
      </c>
      <c r="AF67" s="722">
        <f>IF(AF$7=1,$E67/$F67,IF(SUM($J67:AE67)&gt;=$E67,0,$E67/$F67))</f>
        <v>0</v>
      </c>
      <c r="AG67" s="722">
        <f>IF(AG$7=1,$E67/$F67,IF(SUM($J67:AF67)&gt;=$E67,0,$E67/$F67))</f>
        <v>0</v>
      </c>
    </row>
    <row r="68" spans="1:33" s="649" customFormat="1" ht="18" customHeight="1" outlineLevel="1" thickBot="1">
      <c r="A68" s="894"/>
      <c r="B68" s="287"/>
      <c r="C68" s="121" t="s">
        <v>924</v>
      </c>
      <c r="D68" s="8" t="str">
        <f t="shared" si="17"/>
        <v>USD</v>
      </c>
      <c r="E68" s="8"/>
      <c r="F68" s="8"/>
      <c r="G68" s="8"/>
      <c r="H68" s="8"/>
      <c r="I68" s="71">
        <f t="shared" si="18"/>
        <v>1522033.89828746</v>
      </c>
      <c r="J68" s="524">
        <f t="shared" ref="J68:AG68" si="19">SUM(J57:J67)</f>
        <v>38488.441250000003</v>
      </c>
      <c r="K68" s="524">
        <f t="shared" si="19"/>
        <v>75845.379062499997</v>
      </c>
      <c r="L68" s="524">
        <f t="shared" si="19"/>
        <v>72159.880853124996</v>
      </c>
      <c r="M68" s="524">
        <f t="shared" si="19"/>
        <v>71878.275161656245</v>
      </c>
      <c r="N68" s="524">
        <f t="shared" si="19"/>
        <v>71989.813413272816</v>
      </c>
      <c r="O68" s="524">
        <f t="shared" si="19"/>
        <v>72004.497047405544</v>
      </c>
      <c r="P68" s="524">
        <f t="shared" si="19"/>
        <v>72019.327517879603</v>
      </c>
      <c r="Q68" s="524">
        <f t="shared" si="19"/>
        <v>71152.806293058384</v>
      </c>
      <c r="R68" s="524">
        <f t="shared" si="19"/>
        <v>69094.434855988977</v>
      </c>
      <c r="S68" s="524">
        <f t="shared" si="19"/>
        <v>71956.714704548853</v>
      </c>
      <c r="T68" s="524">
        <f t="shared" si="19"/>
        <v>73103.967351594358</v>
      </c>
      <c r="U68" s="524">
        <f t="shared" si="19"/>
        <v>71743.589325110297</v>
      </c>
      <c r="V68" s="524">
        <f t="shared" si="19"/>
        <v>71633.183518361402</v>
      </c>
      <c r="W68" s="524">
        <f t="shared" si="19"/>
        <v>71662.992853545016</v>
      </c>
      <c r="X68" s="524">
        <f t="shared" si="19"/>
        <v>71693.100282080472</v>
      </c>
      <c r="Y68" s="524">
        <f t="shared" si="19"/>
        <v>71723.508784901263</v>
      </c>
      <c r="Z68" s="524">
        <f t="shared" si="19"/>
        <v>71853.221372750282</v>
      </c>
      <c r="AA68" s="524">
        <f t="shared" si="19"/>
        <v>71851.241086477792</v>
      </c>
      <c r="AB68" s="524">
        <f t="shared" si="19"/>
        <v>71816.570997342569</v>
      </c>
      <c r="AC68" s="524">
        <f t="shared" si="19"/>
        <v>70703.214207315992</v>
      </c>
      <c r="AD68" s="524">
        <f t="shared" si="19"/>
        <v>72669.548849389161</v>
      </c>
      <c r="AE68" s="524">
        <f t="shared" si="19"/>
        <v>42339.189499155771</v>
      </c>
      <c r="AF68" s="524">
        <f t="shared" si="19"/>
        <v>1969</v>
      </c>
      <c r="AG68" s="524">
        <f t="shared" si="19"/>
        <v>682</v>
      </c>
    </row>
    <row r="69" spans="1:33" s="649" customFormat="1" ht="18" customHeight="1" outlineLevel="1" thickTop="1">
      <c r="A69" s="894"/>
      <c r="B69" s="287"/>
      <c r="C69" s="128"/>
      <c r="D69" s="275"/>
      <c r="E69" s="128"/>
      <c r="F69" s="128"/>
      <c r="G69" s="128"/>
      <c r="H69" s="128"/>
      <c r="I69" s="128"/>
      <c r="J69" s="332"/>
      <c r="K69" s="332"/>
      <c r="L69" s="332"/>
      <c r="M69" s="332"/>
      <c r="N69" s="332"/>
      <c r="O69" s="332"/>
      <c r="P69" s="332"/>
      <c r="Q69" s="332"/>
      <c r="R69" s="332"/>
      <c r="S69" s="332"/>
      <c r="T69" s="332"/>
      <c r="U69" s="332"/>
      <c r="V69" s="332"/>
      <c r="W69" s="332"/>
      <c r="X69" s="332"/>
      <c r="Y69" s="332"/>
      <c r="Z69" s="332"/>
      <c r="AA69" s="332"/>
      <c r="AB69" s="332"/>
      <c r="AC69" s="332"/>
      <c r="AD69" s="332"/>
      <c r="AE69" s="332"/>
      <c r="AF69" s="332"/>
      <c r="AG69" s="332"/>
    </row>
    <row r="70" spans="1:33" s="649" customFormat="1" ht="18" customHeight="1" outlineLevel="1">
      <c r="A70" s="894"/>
      <c r="B70" s="241"/>
      <c r="C70" s="331" t="str">
        <f>CHOOSE(language,"BS Account: Trade Creditors","BS Account: Accounts Payables")</f>
        <v>BS Account: Accounts Payables</v>
      </c>
      <c r="D70" s="342"/>
      <c r="E70" s="128"/>
      <c r="F70" s="128"/>
      <c r="G70" s="128"/>
      <c r="H70" s="128"/>
      <c r="I70" s="128"/>
      <c r="J70" s="332"/>
      <c r="K70" s="332"/>
      <c r="L70" s="332"/>
      <c r="M70" s="332"/>
      <c r="N70" s="332"/>
      <c r="O70" s="332"/>
      <c r="P70" s="332"/>
      <c r="Q70" s="332"/>
      <c r="R70" s="332"/>
      <c r="S70" s="332"/>
      <c r="T70" s="332"/>
      <c r="U70" s="332"/>
      <c r="V70" s="332"/>
      <c r="W70" s="332"/>
      <c r="X70" s="332"/>
      <c r="Y70" s="332"/>
      <c r="Z70" s="332"/>
      <c r="AA70" s="332"/>
      <c r="AB70" s="332"/>
      <c r="AC70" s="332"/>
      <c r="AD70" s="332"/>
      <c r="AE70" s="332"/>
      <c r="AF70" s="332"/>
      <c r="AG70" s="332"/>
    </row>
    <row r="71" spans="1:33" s="649" customFormat="1" ht="18" customHeight="1" outlineLevel="1">
      <c r="A71" s="894"/>
      <c r="B71" s="241"/>
      <c r="C71" s="649" t="s">
        <v>140</v>
      </c>
      <c r="D71" s="8" t="str">
        <f>Currency_Label</f>
        <v>USD</v>
      </c>
      <c r="E71" s="40"/>
      <c r="F71" s="40"/>
      <c r="G71" s="40"/>
      <c r="H71" s="40"/>
      <c r="I71" s="122"/>
      <c r="J71" s="720">
        <f t="shared" ref="J71" si="20">I74</f>
        <v>10000</v>
      </c>
      <c r="K71" s="720">
        <f t="shared" ref="K71:AG71" si="21">J74</f>
        <v>42992.133749999994</v>
      </c>
      <c r="L71" s="720">
        <f t="shared" si="21"/>
        <v>40924.045937499992</v>
      </c>
      <c r="M71" s="720">
        <f t="shared" si="21"/>
        <v>40735.814746874996</v>
      </c>
      <c r="N71" s="720">
        <f t="shared" si="21"/>
        <v>40843.691244343747</v>
      </c>
      <c r="O71" s="720">
        <f t="shared" si="21"/>
        <v>40854.676506787175</v>
      </c>
      <c r="P71" s="720">
        <f t="shared" si="21"/>
        <v>40865.771621855049</v>
      </c>
      <c r="Q71" s="720">
        <f t="shared" si="21"/>
        <v>40876.977688073588</v>
      </c>
      <c r="R71" s="720">
        <f t="shared" si="21"/>
        <v>38579.795814954326</v>
      </c>
      <c r="S71" s="720">
        <f t="shared" si="21"/>
        <v>39126.227123103861</v>
      </c>
      <c r="T71" s="720">
        <f t="shared" si="21"/>
        <v>41405.772744334914</v>
      </c>
      <c r="U71" s="720">
        <f t="shared" si="21"/>
        <v>40587.513821778266</v>
      </c>
      <c r="V71" s="720">
        <f t="shared" si="21"/>
        <v>40459.371509996054</v>
      </c>
      <c r="W71" s="720">
        <f t="shared" si="21"/>
        <v>40471.266975096019</v>
      </c>
      <c r="X71" s="720">
        <f t="shared" si="21"/>
        <v>40483.281394846985</v>
      </c>
      <c r="Y71" s="720">
        <f t="shared" si="21"/>
        <v>40495.415958795449</v>
      </c>
      <c r="Z71" s="720">
        <f t="shared" si="21"/>
        <v>40507.671868383404</v>
      </c>
      <c r="AA71" s="720">
        <f t="shared" si="21"/>
        <v>40586.050337067238</v>
      </c>
      <c r="AB71" s="720">
        <f t="shared" si="21"/>
        <v>40532.552590437903</v>
      </c>
      <c r="AC71" s="720">
        <f t="shared" si="21"/>
        <v>40545.179866342281</v>
      </c>
      <c r="AD71" s="720">
        <f t="shared" si="21"/>
        <v>39412.933415005711</v>
      </c>
      <c r="AE71" s="720">
        <f t="shared" si="21"/>
        <v>44990.189499155764</v>
      </c>
      <c r="AF71" s="720">
        <f t="shared" si="21"/>
        <v>2650.9999999999927</v>
      </c>
      <c r="AG71" s="720">
        <f t="shared" si="21"/>
        <v>681.99999999999272</v>
      </c>
    </row>
    <row r="72" spans="1:33" s="649" customFormat="1" ht="18" customHeight="1" outlineLevel="1">
      <c r="A72" s="894"/>
      <c r="B72" s="241"/>
      <c r="C72" s="93" t="s">
        <v>232</v>
      </c>
      <c r="D72" s="8" t="str">
        <f>Currency_Label</f>
        <v>USD</v>
      </c>
      <c r="E72" s="40"/>
      <c r="F72" s="40"/>
      <c r="G72" s="40"/>
      <c r="H72" s="40"/>
      <c r="I72" s="71">
        <f>SUM(J72:AG72)</f>
        <v>1512033.8982874597</v>
      </c>
      <c r="J72" s="720">
        <f>'Costs 01'!J122+'Costs 01'!J210</f>
        <v>71480.574999999997</v>
      </c>
      <c r="K72" s="720">
        <f>'Costs 01'!K122+'Costs 01'!K210</f>
        <v>73777.291249999995</v>
      </c>
      <c r="L72" s="720">
        <f>'Costs 01'!L122+'Costs 01'!L210</f>
        <v>71971.6496625</v>
      </c>
      <c r="M72" s="720">
        <f>'Costs 01'!M122+'Costs 01'!M210</f>
        <v>71986.151659124997</v>
      </c>
      <c r="N72" s="720">
        <f>'Costs 01'!N122+'Costs 01'!N210</f>
        <v>72000.798675716243</v>
      </c>
      <c r="O72" s="720">
        <f>'Costs 01'!O122+'Costs 01'!O210</f>
        <v>72015.592162473418</v>
      </c>
      <c r="P72" s="720">
        <f>'Costs 01'!P122+'Costs 01'!P210</f>
        <v>72030.533584098142</v>
      </c>
      <c r="Q72" s="720">
        <f>'Costs 01'!Q122+'Costs 01'!Q210</f>
        <v>68855.624419939122</v>
      </c>
      <c r="R72" s="720">
        <f>'Costs 01'!R122+'Costs 01'!R210</f>
        <v>69640.866164138512</v>
      </c>
      <c r="S72" s="720">
        <f>'Costs 01'!S122+'Costs 01'!S210</f>
        <v>74236.260325779906</v>
      </c>
      <c r="T72" s="720">
        <f>'Costs 01'!T122+'Costs 01'!T210</f>
        <v>72285.70842903771</v>
      </c>
      <c r="U72" s="720">
        <f>'Costs 01'!U122+'Costs 01'!U210</f>
        <v>71615.447013328085</v>
      </c>
      <c r="V72" s="720">
        <f>'Costs 01'!V122+'Costs 01'!V210</f>
        <v>71645.078983461368</v>
      </c>
      <c r="W72" s="720">
        <f>'Costs 01'!W122+'Costs 01'!W210</f>
        <v>71675.007273295982</v>
      </c>
      <c r="X72" s="720">
        <f>'Costs 01'!X122+'Costs 01'!X210</f>
        <v>71705.234846028936</v>
      </c>
      <c r="Y72" s="720">
        <f>'Costs 01'!Y122+'Costs 01'!Y210</f>
        <v>71735.764694489219</v>
      </c>
      <c r="Z72" s="720">
        <f>'Costs 01'!Z122+'Costs 01'!Z210</f>
        <v>71931.599841434116</v>
      </c>
      <c r="AA72" s="720">
        <f>'Costs 01'!AA122+'Costs 01'!AA210</f>
        <v>71797.743339848457</v>
      </c>
      <c r="AB72" s="720">
        <f>'Costs 01'!AB122+'Costs 01'!AB210</f>
        <v>71829.198273246948</v>
      </c>
      <c r="AC72" s="720">
        <f>'Costs 01'!AC122+'Costs 01'!AC210</f>
        <v>69570.967755979422</v>
      </c>
      <c r="AD72" s="720">
        <f>'Costs 01'!AD122+'Costs 01'!AD210</f>
        <v>78246.804933539213</v>
      </c>
      <c r="AE72" s="720">
        <f>'Costs 01'!AE122+'Costs 01'!AE210</f>
        <v>0</v>
      </c>
      <c r="AF72" s="720">
        <f>'Costs 01'!AF122+'Costs 01'!AF210</f>
        <v>0</v>
      </c>
      <c r="AG72" s="720">
        <f>'Costs 01'!AG122+'Costs 01'!AG210</f>
        <v>0</v>
      </c>
    </row>
    <row r="73" spans="1:33" s="649" customFormat="1" ht="18" customHeight="1" outlineLevel="1">
      <c r="A73" s="894"/>
      <c r="B73" s="241"/>
      <c r="C73" s="24" t="s">
        <v>692</v>
      </c>
      <c r="D73" s="8" t="str">
        <f>Currency_Label</f>
        <v>USD</v>
      </c>
      <c r="E73" s="40"/>
      <c r="F73" s="40"/>
      <c r="I73" s="71">
        <f>SUM(J73:AG73)</f>
        <v>-1522033.89828746</v>
      </c>
      <c r="J73" s="720">
        <f t="shared" ref="J73:AG73" si="22">-J68</f>
        <v>-38488.441250000003</v>
      </c>
      <c r="K73" s="720">
        <f t="shared" si="22"/>
        <v>-75845.379062499997</v>
      </c>
      <c r="L73" s="720">
        <f t="shared" si="22"/>
        <v>-72159.880853124996</v>
      </c>
      <c r="M73" s="720">
        <f t="shared" si="22"/>
        <v>-71878.275161656245</v>
      </c>
      <c r="N73" s="720">
        <f t="shared" si="22"/>
        <v>-71989.813413272816</v>
      </c>
      <c r="O73" s="720">
        <f t="shared" si="22"/>
        <v>-72004.497047405544</v>
      </c>
      <c r="P73" s="720">
        <f t="shared" si="22"/>
        <v>-72019.327517879603</v>
      </c>
      <c r="Q73" s="720">
        <f t="shared" si="22"/>
        <v>-71152.806293058384</v>
      </c>
      <c r="R73" s="720">
        <f t="shared" si="22"/>
        <v>-69094.434855988977</v>
      </c>
      <c r="S73" s="720">
        <f t="shared" si="22"/>
        <v>-71956.714704548853</v>
      </c>
      <c r="T73" s="720">
        <f t="shared" si="22"/>
        <v>-73103.967351594358</v>
      </c>
      <c r="U73" s="720">
        <f t="shared" si="22"/>
        <v>-71743.589325110297</v>
      </c>
      <c r="V73" s="720">
        <f t="shared" si="22"/>
        <v>-71633.183518361402</v>
      </c>
      <c r="W73" s="720">
        <f t="shared" si="22"/>
        <v>-71662.992853545016</v>
      </c>
      <c r="X73" s="720">
        <f t="shared" si="22"/>
        <v>-71693.100282080472</v>
      </c>
      <c r="Y73" s="720">
        <f t="shared" si="22"/>
        <v>-71723.508784901263</v>
      </c>
      <c r="Z73" s="720">
        <f t="shared" si="22"/>
        <v>-71853.221372750282</v>
      </c>
      <c r="AA73" s="720">
        <f t="shared" si="22"/>
        <v>-71851.241086477792</v>
      </c>
      <c r="AB73" s="720">
        <f t="shared" si="22"/>
        <v>-71816.570997342569</v>
      </c>
      <c r="AC73" s="720">
        <f t="shared" si="22"/>
        <v>-70703.214207315992</v>
      </c>
      <c r="AD73" s="720">
        <f t="shared" si="22"/>
        <v>-72669.548849389161</v>
      </c>
      <c r="AE73" s="720">
        <f t="shared" si="22"/>
        <v>-42339.189499155771</v>
      </c>
      <c r="AF73" s="720">
        <f t="shared" si="22"/>
        <v>-1969</v>
      </c>
      <c r="AG73" s="720">
        <f t="shared" si="22"/>
        <v>-682</v>
      </c>
    </row>
    <row r="74" spans="1:33" s="649" customFormat="1" ht="18" customHeight="1" outlineLevel="1" thickBot="1">
      <c r="A74" s="894"/>
      <c r="B74" s="241"/>
      <c r="C74" s="649" t="s">
        <v>141</v>
      </c>
      <c r="D74" s="8" t="str">
        <f>Currency_Label</f>
        <v>USD</v>
      </c>
      <c r="E74" s="696" t="s">
        <v>216</v>
      </c>
      <c r="F74" s="685">
        <f>ROUND(SUM(I72:I73)+I74,4)</f>
        <v>0</v>
      </c>
      <c r="G74" s="40"/>
      <c r="H74" s="696" t="s">
        <v>233</v>
      </c>
      <c r="I74" s="147">
        <f>Inputs!F237</f>
        <v>10000</v>
      </c>
      <c r="J74" s="524">
        <f t="shared" ref="J74:AG74" si="23">IF(ABS(SUM(J71:J73))&lt;0.001,0,SUM(J71:J73))</f>
        <v>42992.133749999994</v>
      </c>
      <c r="K74" s="524">
        <f t="shared" si="23"/>
        <v>40924.045937499992</v>
      </c>
      <c r="L74" s="524">
        <f t="shared" si="23"/>
        <v>40735.814746874996</v>
      </c>
      <c r="M74" s="524">
        <f t="shared" si="23"/>
        <v>40843.691244343747</v>
      </c>
      <c r="N74" s="524">
        <f t="shared" si="23"/>
        <v>40854.676506787175</v>
      </c>
      <c r="O74" s="524">
        <f t="shared" si="23"/>
        <v>40865.771621855049</v>
      </c>
      <c r="P74" s="524">
        <f t="shared" si="23"/>
        <v>40876.977688073588</v>
      </c>
      <c r="Q74" s="524">
        <f t="shared" si="23"/>
        <v>38579.795814954326</v>
      </c>
      <c r="R74" s="524">
        <f t="shared" si="23"/>
        <v>39126.227123103861</v>
      </c>
      <c r="S74" s="524">
        <f t="shared" si="23"/>
        <v>41405.772744334914</v>
      </c>
      <c r="T74" s="524">
        <f t="shared" si="23"/>
        <v>40587.513821778266</v>
      </c>
      <c r="U74" s="524">
        <f t="shared" si="23"/>
        <v>40459.371509996054</v>
      </c>
      <c r="V74" s="524">
        <f t="shared" si="23"/>
        <v>40471.266975096019</v>
      </c>
      <c r="W74" s="524">
        <f t="shared" si="23"/>
        <v>40483.281394846985</v>
      </c>
      <c r="X74" s="524">
        <f t="shared" si="23"/>
        <v>40495.415958795449</v>
      </c>
      <c r="Y74" s="524">
        <f t="shared" si="23"/>
        <v>40507.671868383404</v>
      </c>
      <c r="Z74" s="524">
        <f t="shared" si="23"/>
        <v>40586.050337067238</v>
      </c>
      <c r="AA74" s="524">
        <f t="shared" si="23"/>
        <v>40532.552590437903</v>
      </c>
      <c r="AB74" s="524">
        <f t="shared" si="23"/>
        <v>40545.179866342281</v>
      </c>
      <c r="AC74" s="524">
        <f t="shared" si="23"/>
        <v>39412.933415005711</v>
      </c>
      <c r="AD74" s="524">
        <f t="shared" si="23"/>
        <v>44990.189499155764</v>
      </c>
      <c r="AE74" s="524">
        <f t="shared" si="23"/>
        <v>2650.9999999999927</v>
      </c>
      <c r="AF74" s="524">
        <f t="shared" si="23"/>
        <v>681.99999999999272</v>
      </c>
      <c r="AG74" s="524">
        <f t="shared" si="23"/>
        <v>0</v>
      </c>
    </row>
    <row r="75" spans="1:33" s="649" customFormat="1" ht="18" customHeight="1" outlineLevel="1" thickTop="1">
      <c r="A75" s="894"/>
      <c r="B75" s="287"/>
      <c r="C75" s="128"/>
      <c r="D75" s="275"/>
      <c r="E75" s="128"/>
      <c r="F75" s="128"/>
      <c r="G75" s="128"/>
      <c r="H75" s="128"/>
      <c r="I75" s="128"/>
      <c r="J75" s="332"/>
      <c r="K75" s="332"/>
      <c r="L75" s="332"/>
      <c r="M75" s="332"/>
      <c r="N75" s="332"/>
      <c r="O75" s="332"/>
      <c r="P75" s="332"/>
      <c r="Q75" s="332"/>
      <c r="R75" s="332"/>
      <c r="S75" s="332"/>
      <c r="T75" s="332"/>
      <c r="U75" s="332"/>
      <c r="V75" s="332"/>
      <c r="W75" s="332"/>
      <c r="X75" s="332"/>
      <c r="Y75" s="332"/>
      <c r="Z75" s="332"/>
      <c r="AA75" s="332"/>
      <c r="AB75" s="332"/>
      <c r="AC75" s="332"/>
      <c r="AD75" s="332"/>
      <c r="AE75" s="332"/>
      <c r="AF75" s="332"/>
      <c r="AG75" s="332"/>
    </row>
    <row r="76" spans="1:33" s="649" customFormat="1" ht="18" customHeight="1" outlineLevel="1">
      <c r="A76" s="894"/>
      <c r="B76" s="287"/>
      <c r="C76" s="273" t="str">
        <f>Name_VAT &amp;" payments (Material/Packaging &amp; Goods)"</f>
        <v>VAT payments (Material/Packaging &amp; Goods)</v>
      </c>
      <c r="D76" s="287"/>
      <c r="E76" s="287" t="s">
        <v>245</v>
      </c>
      <c r="F76" s="287"/>
      <c r="G76" s="532" t="str">
        <f>Name_VAT &amp; " Rate"</f>
        <v>VAT Rate</v>
      </c>
      <c r="H76" s="287"/>
      <c r="I76" s="287"/>
      <c r="J76" s="329"/>
      <c r="K76" s="332"/>
      <c r="L76" s="332"/>
      <c r="M76" s="332"/>
      <c r="N76" s="332"/>
      <c r="O76" s="332"/>
      <c r="P76" s="332"/>
      <c r="Q76" s="332"/>
      <c r="R76" s="332"/>
      <c r="S76" s="332"/>
      <c r="T76" s="332"/>
      <c r="U76" s="332"/>
      <c r="V76" s="332"/>
      <c r="W76" s="332"/>
      <c r="X76" s="332"/>
      <c r="Y76" s="332"/>
      <c r="Z76" s="332"/>
      <c r="AA76" s="332"/>
      <c r="AB76" s="332"/>
      <c r="AC76" s="332"/>
      <c r="AD76" s="332"/>
      <c r="AE76" s="332"/>
      <c r="AF76" s="332"/>
      <c r="AG76" s="332"/>
    </row>
    <row r="77" spans="1:33" s="649" customFormat="1" ht="18" customHeight="1" outlineLevel="1">
      <c r="A77" s="894"/>
      <c r="B77" s="287"/>
      <c r="C77" s="24" t="str">
        <f>Name_VAT &amp;" on Material/Packaging &amp; Goods (on cash paid basis)"</f>
        <v>VAT on Material/Packaging &amp; Goods (on cash paid basis)</v>
      </c>
      <c r="D77" s="8" t="str">
        <f t="shared" ref="D77" si="24">Currency_Label</f>
        <v>USD</v>
      </c>
      <c r="E77" s="85">
        <f>Inputs!F190</f>
        <v>0.8</v>
      </c>
      <c r="F77" s="287"/>
      <c r="G77" s="85">
        <f>Inputs!I190</f>
        <v>0.2</v>
      </c>
      <c r="H77" s="287"/>
      <c r="I77" s="71">
        <f>SUM(J77:AG77)</f>
        <v>241925.42372599363</v>
      </c>
      <c r="J77" s="79">
        <f t="shared" ref="J77:AG77" si="25">$E77*$G77*(J68-J67)</f>
        <v>5358.1506000000018</v>
      </c>
      <c r="K77" s="79">
        <f t="shared" si="25"/>
        <v>11335.260650000002</v>
      </c>
      <c r="L77" s="79">
        <f t="shared" si="25"/>
        <v>11545.580936500002</v>
      </c>
      <c r="M77" s="79">
        <f t="shared" si="25"/>
        <v>11500.524025865001</v>
      </c>
      <c r="N77" s="79">
        <f t="shared" si="25"/>
        <v>11518.370146123652</v>
      </c>
      <c r="O77" s="79">
        <f t="shared" si="25"/>
        <v>11520.71952758489</v>
      </c>
      <c r="P77" s="79">
        <f t="shared" si="25"/>
        <v>11523.092402860739</v>
      </c>
      <c r="Q77" s="79">
        <f t="shared" si="25"/>
        <v>11384.449006889343</v>
      </c>
      <c r="R77" s="79">
        <f t="shared" si="25"/>
        <v>11055.109576958239</v>
      </c>
      <c r="S77" s="79">
        <f t="shared" si="25"/>
        <v>11513.074352727819</v>
      </c>
      <c r="T77" s="79">
        <f t="shared" si="25"/>
        <v>11696.634776255099</v>
      </c>
      <c r="U77" s="79">
        <f t="shared" si="25"/>
        <v>11478.97429201765</v>
      </c>
      <c r="V77" s="79">
        <f t="shared" si="25"/>
        <v>11461.309362937827</v>
      </c>
      <c r="W77" s="79">
        <f t="shared" si="25"/>
        <v>11466.078856567205</v>
      </c>
      <c r="X77" s="79">
        <f t="shared" si="25"/>
        <v>11470.896045132878</v>
      </c>
      <c r="Y77" s="79">
        <f t="shared" si="25"/>
        <v>11475.761405584204</v>
      </c>
      <c r="Z77" s="79">
        <f t="shared" si="25"/>
        <v>11496.515419640047</v>
      </c>
      <c r="AA77" s="79">
        <f t="shared" si="25"/>
        <v>11496.198573836449</v>
      </c>
      <c r="AB77" s="79">
        <f t="shared" si="25"/>
        <v>11490.651359574813</v>
      </c>
      <c r="AC77" s="79">
        <f t="shared" si="25"/>
        <v>11312.51427317056</v>
      </c>
      <c r="AD77" s="79">
        <f t="shared" si="25"/>
        <v>11627.127815902268</v>
      </c>
      <c r="AE77" s="79">
        <f t="shared" si="25"/>
        <v>6774.2703198649251</v>
      </c>
      <c r="AF77" s="79">
        <f t="shared" si="25"/>
        <v>315.04000000000008</v>
      </c>
      <c r="AG77" s="79">
        <f t="shared" si="25"/>
        <v>109.12000000000002</v>
      </c>
    </row>
    <row r="78" spans="1:33" s="649" customFormat="1" ht="18" customHeight="1" outlineLevel="1">
      <c r="A78" s="894"/>
      <c r="B78" s="287"/>
      <c r="C78" s="128"/>
      <c r="D78" s="275"/>
      <c r="E78" s="128"/>
      <c r="F78" s="128"/>
      <c r="G78" s="128"/>
      <c r="H78" s="128"/>
      <c r="I78" s="128"/>
      <c r="J78" s="332"/>
      <c r="K78" s="332"/>
      <c r="L78" s="332"/>
      <c r="M78" s="332"/>
      <c r="N78" s="332"/>
      <c r="O78" s="332"/>
      <c r="P78" s="332"/>
      <c r="Q78" s="332"/>
      <c r="R78" s="332"/>
      <c r="S78" s="332"/>
      <c r="T78" s="332"/>
      <c r="U78" s="332"/>
      <c r="V78" s="332"/>
      <c r="W78" s="332"/>
      <c r="X78" s="332"/>
      <c r="Y78" s="332"/>
      <c r="Z78" s="332"/>
      <c r="AA78" s="332"/>
      <c r="AB78" s="332"/>
      <c r="AC78" s="332"/>
      <c r="AD78" s="332"/>
      <c r="AE78" s="332"/>
      <c r="AF78" s="332"/>
      <c r="AG78" s="332"/>
    </row>
    <row r="79" spans="1:33" s="649" customFormat="1" ht="18" customHeight="1" outlineLevel="1">
      <c r="A79" s="894"/>
      <c r="B79" s="279">
        <v>2</v>
      </c>
      <c r="C79" s="279" t="s">
        <v>369</v>
      </c>
      <c r="D79" s="241"/>
      <c r="E79" s="241" t="s">
        <v>298</v>
      </c>
      <c r="F79" s="241"/>
      <c r="G79" s="241"/>
      <c r="H79" s="241"/>
      <c r="I79" s="241"/>
      <c r="J79" s="241"/>
      <c r="K79" s="241"/>
      <c r="L79" s="241"/>
      <c r="M79" s="241"/>
      <c r="N79" s="241"/>
      <c r="O79" s="241"/>
      <c r="P79" s="241"/>
      <c r="Q79" s="241"/>
      <c r="R79" s="241"/>
      <c r="S79" s="241"/>
      <c r="T79" s="241"/>
      <c r="U79" s="241"/>
      <c r="V79" s="241"/>
      <c r="W79" s="241"/>
      <c r="X79" s="241"/>
      <c r="Y79" s="241"/>
      <c r="Z79" s="241"/>
      <c r="AA79" s="241"/>
      <c r="AB79" s="241"/>
      <c r="AC79" s="241"/>
      <c r="AD79" s="241"/>
      <c r="AE79" s="241"/>
      <c r="AF79" s="241"/>
      <c r="AG79" s="241"/>
    </row>
    <row r="80" spans="1:33" s="649" customFormat="1" ht="18" customHeight="1" outlineLevel="1">
      <c r="A80" s="894"/>
      <c r="B80" s="279"/>
      <c r="C80" s="273" t="s">
        <v>301</v>
      </c>
      <c r="D80" s="342"/>
      <c r="E80" s="691" t="s">
        <v>217</v>
      </c>
      <c r="F80" s="688" t="s">
        <v>218</v>
      </c>
      <c r="G80" s="688" t="s">
        <v>219</v>
      </c>
      <c r="H80" s="688" t="s">
        <v>220</v>
      </c>
      <c r="I80" s="517" t="s">
        <v>46</v>
      </c>
      <c r="J80" s="343"/>
      <c r="K80" s="241"/>
      <c r="L80" s="241"/>
      <c r="M80" s="241"/>
      <c r="N80" s="241"/>
      <c r="O80" s="241"/>
      <c r="P80" s="241"/>
      <c r="Q80" s="241"/>
      <c r="R80" s="241"/>
      <c r="S80" s="241"/>
      <c r="T80" s="241"/>
      <c r="U80" s="241"/>
      <c r="V80" s="241"/>
      <c r="W80" s="241"/>
      <c r="X80" s="241"/>
      <c r="Y80" s="241"/>
      <c r="Z80" s="241"/>
      <c r="AA80" s="241"/>
      <c r="AB80" s="241"/>
      <c r="AC80" s="241"/>
      <c r="AD80" s="241"/>
      <c r="AE80" s="241"/>
      <c r="AF80" s="241"/>
      <c r="AG80" s="241"/>
    </row>
    <row r="81" spans="1:33" s="649" customFormat="1" ht="18" customHeight="1" outlineLevel="1">
      <c r="A81" s="894"/>
      <c r="B81" s="241"/>
      <c r="C81" s="24" t="str">
        <f>Product_01</f>
        <v>Desktops</v>
      </c>
      <c r="D81" s="8" t="str">
        <f t="shared" ref="D81:D91" si="26">Currency_Label</f>
        <v>USD</v>
      </c>
      <c r="E81" s="85">
        <f>Inputs!F141</f>
        <v>0.6</v>
      </c>
      <c r="F81" s="85">
        <f>Inputs!G141</f>
        <v>0.3</v>
      </c>
      <c r="G81" s="85">
        <f>Inputs!H141</f>
        <v>0.1</v>
      </c>
      <c r="H81" s="85">
        <f>Inputs!I141</f>
        <v>0</v>
      </c>
      <c r="I81" s="71">
        <f t="shared" ref="I81:I91" si="27">SUM(J81:AG81)</f>
        <v>0</v>
      </c>
      <c r="J81" s="722">
        <f>('Costs 02'!J304*$E81+'Costs 02'!I304*'Debtors+Creditors'!$F81*J$8+'Costs 02'!H304*'Debtors+Creditors'!$G81*J$9+'Costs 02'!G304*'Debtors+Creditors'!$H81*J$10)</f>
        <v>0</v>
      </c>
      <c r="K81" s="722">
        <f>('Costs 02'!K304*$E81+'Costs 02'!J304*'Debtors+Creditors'!$F81*K$8+'Costs 02'!I304*'Debtors+Creditors'!$G81*K$9+'Costs 02'!H304*'Debtors+Creditors'!$H81*K$10)</f>
        <v>0</v>
      </c>
      <c r="L81" s="722">
        <f>('Costs 02'!L304*$E81+'Costs 02'!K304*'Debtors+Creditors'!$F81*L$8+'Costs 02'!J304*'Debtors+Creditors'!$G81*L$9+'Costs 02'!I304*'Debtors+Creditors'!$H81*L$10)</f>
        <v>0</v>
      </c>
      <c r="M81" s="722">
        <f>('Costs 02'!M304*$E81+'Costs 02'!L304*'Debtors+Creditors'!$F81*M$8+'Costs 02'!K304*'Debtors+Creditors'!$G81*M$9+'Costs 02'!J304*'Debtors+Creditors'!$H81*M$10)</f>
        <v>0</v>
      </c>
      <c r="N81" s="722">
        <f>('Costs 02'!N304*$E81+'Costs 02'!M304*'Debtors+Creditors'!$F81*N$8+'Costs 02'!L304*'Debtors+Creditors'!$G81*N$9+'Costs 02'!K304*'Debtors+Creditors'!$H81*N$10)</f>
        <v>0</v>
      </c>
      <c r="O81" s="722">
        <f>('Costs 02'!O304*$E81+'Costs 02'!N304*'Debtors+Creditors'!$F81*O$8+'Costs 02'!M304*'Debtors+Creditors'!$G81*O$9+'Costs 02'!L304*'Debtors+Creditors'!$H81*O$10)</f>
        <v>0</v>
      </c>
      <c r="P81" s="722">
        <f>('Costs 02'!P304*$E81+'Costs 02'!O304*'Debtors+Creditors'!$F81*P$8+'Costs 02'!N304*'Debtors+Creditors'!$G81*P$9+'Costs 02'!M304*'Debtors+Creditors'!$H81*P$10)</f>
        <v>0</v>
      </c>
      <c r="Q81" s="722">
        <f>('Costs 02'!Q304*$E81+'Costs 02'!P304*'Debtors+Creditors'!$F81*Q$8+'Costs 02'!O304*'Debtors+Creditors'!$G81*Q$9+'Costs 02'!N304*'Debtors+Creditors'!$H81*Q$10)</f>
        <v>0</v>
      </c>
      <c r="R81" s="722">
        <f>('Costs 02'!R304*$E81+'Costs 02'!Q304*'Debtors+Creditors'!$F81*R$8+'Costs 02'!P304*'Debtors+Creditors'!$G81*R$9+'Costs 02'!O304*'Debtors+Creditors'!$H81*R$10)</f>
        <v>0</v>
      </c>
      <c r="S81" s="722">
        <f>('Costs 02'!S304*$E81+'Costs 02'!R304*'Debtors+Creditors'!$F81*S$8+'Costs 02'!Q304*'Debtors+Creditors'!$G81*S$9+'Costs 02'!P304*'Debtors+Creditors'!$H81*S$10)</f>
        <v>0</v>
      </c>
      <c r="T81" s="722">
        <f>('Costs 02'!T304*$E81+'Costs 02'!S304*'Debtors+Creditors'!$F81*T$8+'Costs 02'!R304*'Debtors+Creditors'!$G81*T$9+'Costs 02'!Q304*'Debtors+Creditors'!$H81*T$10)</f>
        <v>0</v>
      </c>
      <c r="U81" s="722">
        <f>('Costs 02'!U304*$E81+'Costs 02'!T304*'Debtors+Creditors'!$F81*U$8+'Costs 02'!S304*'Debtors+Creditors'!$G81*U$9+'Costs 02'!R304*'Debtors+Creditors'!$H81*U$10)</f>
        <v>0</v>
      </c>
      <c r="V81" s="722">
        <f>('Costs 02'!V304*$E81+'Costs 02'!U304*'Debtors+Creditors'!$F81*V$8+'Costs 02'!T304*'Debtors+Creditors'!$G81*V$9+'Costs 02'!S304*'Debtors+Creditors'!$H81*V$10)</f>
        <v>0</v>
      </c>
      <c r="W81" s="722">
        <f>('Costs 02'!W304*$E81+'Costs 02'!V304*'Debtors+Creditors'!$F81*W$8+'Costs 02'!U304*'Debtors+Creditors'!$G81*W$9+'Costs 02'!T304*'Debtors+Creditors'!$H81*W$10)</f>
        <v>0</v>
      </c>
      <c r="X81" s="722">
        <f>('Costs 02'!X304*$E81+'Costs 02'!W304*'Debtors+Creditors'!$F81*X$8+'Costs 02'!V304*'Debtors+Creditors'!$G81*X$9+'Costs 02'!U304*'Debtors+Creditors'!$H81*X$10)</f>
        <v>0</v>
      </c>
      <c r="Y81" s="722">
        <f>('Costs 02'!Y304*$E81+'Costs 02'!X304*'Debtors+Creditors'!$F81*Y$8+'Costs 02'!W304*'Debtors+Creditors'!$G81*Y$9+'Costs 02'!V304*'Debtors+Creditors'!$H81*Y$10)</f>
        <v>0</v>
      </c>
      <c r="Z81" s="722">
        <f>('Costs 02'!Z304*$E81+'Costs 02'!Y304*'Debtors+Creditors'!$F81*Z$8+'Costs 02'!X304*'Debtors+Creditors'!$G81*Z$9+'Costs 02'!W304*'Debtors+Creditors'!$H81*Z$10)</f>
        <v>0</v>
      </c>
      <c r="AA81" s="722">
        <f>('Costs 02'!AA304*$E81+'Costs 02'!Z304*'Debtors+Creditors'!$F81*AA$8+'Costs 02'!Y304*'Debtors+Creditors'!$G81*AA$9+'Costs 02'!X304*'Debtors+Creditors'!$H81*AA$10)</f>
        <v>0</v>
      </c>
      <c r="AB81" s="722">
        <f>('Costs 02'!AB304*$E81+'Costs 02'!AA304*'Debtors+Creditors'!$F81*AB$8+'Costs 02'!Z304*'Debtors+Creditors'!$G81*AB$9+'Costs 02'!Y304*'Debtors+Creditors'!$H81*AB$10)</f>
        <v>0</v>
      </c>
      <c r="AC81" s="722">
        <f>('Costs 02'!AC304*$E81+'Costs 02'!AB304*'Debtors+Creditors'!$F81*AC$8+'Costs 02'!AA304*'Debtors+Creditors'!$G81*AC$9+'Costs 02'!Z304*'Debtors+Creditors'!$H81*AC$10)</f>
        <v>0</v>
      </c>
      <c r="AD81" s="722">
        <f>('Costs 02'!AD304*$E81+'Costs 02'!AC304*'Debtors+Creditors'!$F81*AD$8+'Costs 02'!AB304*'Debtors+Creditors'!$G81*AD$9+'Costs 02'!AA304*'Debtors+Creditors'!$H81*AD$10)</f>
        <v>0</v>
      </c>
      <c r="AE81" s="722">
        <f>('Costs 02'!AE304*$E81+'Costs 02'!AD304*'Debtors+Creditors'!$F81*AE$8+'Costs 02'!AC304*'Debtors+Creditors'!$G81*AE$9+'Costs 02'!AB304*'Debtors+Creditors'!$H81*AE$10)</f>
        <v>0</v>
      </c>
      <c r="AF81" s="722">
        <f>('Costs 02'!AF304*$E81+'Costs 02'!AE304*'Debtors+Creditors'!$F81*AF$8+'Costs 02'!AD304*'Debtors+Creditors'!$G81*AF$9+'Costs 02'!AC304*'Debtors+Creditors'!$H81*AF$10)</f>
        <v>0</v>
      </c>
      <c r="AG81" s="722">
        <f>('Costs 02'!AG304*$E81+'Costs 02'!AF304*'Debtors+Creditors'!$F81*AG$8+'Costs 02'!AE304*'Debtors+Creditors'!$G81*AG$9+'Costs 02'!AD304*'Debtors+Creditors'!$H81*AG$10)</f>
        <v>0</v>
      </c>
    </row>
    <row r="82" spans="1:33" s="649" customFormat="1" ht="18" customHeight="1" outlineLevel="1">
      <c r="A82" s="894"/>
      <c r="B82" s="241"/>
      <c r="C82" s="24" t="str">
        <f>Product_02</f>
        <v>Workstations</v>
      </c>
      <c r="D82" s="8" t="str">
        <f t="shared" si="26"/>
        <v>USD</v>
      </c>
      <c r="E82" s="85">
        <f>Inputs!F142</f>
        <v>0.5</v>
      </c>
      <c r="F82" s="85">
        <f>Inputs!G142</f>
        <v>0.5</v>
      </c>
      <c r="G82" s="85">
        <f>Inputs!H142</f>
        <v>0</v>
      </c>
      <c r="H82" s="85">
        <f>Inputs!I142</f>
        <v>0</v>
      </c>
      <c r="I82" s="71">
        <f t="shared" si="27"/>
        <v>26450</v>
      </c>
      <c r="J82" s="722">
        <f>('Costs 02'!J305*$E82+'Costs 02'!I305*'Debtors+Creditors'!$F82*J$8+'Costs 02'!H305*'Debtors+Creditors'!$G82*J$9+'Costs 02'!G305*'Debtors+Creditors'!$H82*J$10)</f>
        <v>460</v>
      </c>
      <c r="K82" s="722">
        <f>('Costs 02'!K305*$E82+'Costs 02'!J305*'Debtors+Creditors'!$F82*K$8+'Costs 02'!I305*'Debtors+Creditors'!$G82*K$9+'Costs 02'!H305*'Debtors+Creditors'!$H82*K$10)</f>
        <v>1035</v>
      </c>
      <c r="L82" s="722">
        <f>('Costs 02'!L305*$E82+'Costs 02'!K305*'Debtors+Creditors'!$F82*L$8+'Costs 02'!J305*'Debtors+Creditors'!$G82*L$9+'Costs 02'!I305*'Debtors+Creditors'!$H82*L$10)</f>
        <v>1150</v>
      </c>
      <c r="M82" s="722">
        <f>('Costs 02'!M305*$E82+'Costs 02'!L305*'Debtors+Creditors'!$F82*M$8+'Costs 02'!K305*'Debtors+Creditors'!$G82*M$9+'Costs 02'!J305*'Debtors+Creditors'!$H82*M$10)</f>
        <v>1150</v>
      </c>
      <c r="N82" s="722">
        <f>('Costs 02'!N305*$E82+'Costs 02'!M305*'Debtors+Creditors'!$F82*N$8+'Costs 02'!L305*'Debtors+Creditors'!$G82*N$9+'Costs 02'!K305*'Debtors+Creditors'!$H82*N$10)</f>
        <v>1150</v>
      </c>
      <c r="O82" s="722">
        <f>('Costs 02'!O305*$E82+'Costs 02'!N305*'Debtors+Creditors'!$F82*O$8+'Costs 02'!M305*'Debtors+Creditors'!$G82*O$9+'Costs 02'!L305*'Debtors+Creditors'!$H82*O$10)</f>
        <v>1150</v>
      </c>
      <c r="P82" s="722">
        <f>('Costs 02'!P305*$E82+'Costs 02'!O305*'Debtors+Creditors'!$F82*P$8+'Costs 02'!N305*'Debtors+Creditors'!$G82*P$9+'Costs 02'!M305*'Debtors+Creditors'!$H82*P$10)</f>
        <v>1150</v>
      </c>
      <c r="Q82" s="722">
        <f>('Costs 02'!Q305*$E82+'Costs 02'!P305*'Debtors+Creditors'!$F82*Q$8+'Costs 02'!O305*'Debtors+Creditors'!$G82*Q$9+'Costs 02'!N305*'Debtors+Creditors'!$H82*Q$10)</f>
        <v>1150</v>
      </c>
      <c r="R82" s="722">
        <f>('Costs 02'!R305*$E82+'Costs 02'!Q305*'Debtors+Creditors'!$F82*R$8+'Costs 02'!P305*'Debtors+Creditors'!$G82*R$9+'Costs 02'!O305*'Debtors+Creditors'!$H82*R$10)</f>
        <v>1150</v>
      </c>
      <c r="S82" s="722">
        <f>('Costs 02'!S305*$E82+'Costs 02'!R305*'Debtors+Creditors'!$F82*S$8+'Costs 02'!Q305*'Debtors+Creditors'!$G82*S$9+'Costs 02'!P305*'Debtors+Creditors'!$H82*S$10)</f>
        <v>1265</v>
      </c>
      <c r="T82" s="722">
        <f>('Costs 02'!T305*$E82+'Costs 02'!S305*'Debtors+Creditors'!$F82*T$8+'Costs 02'!R305*'Debtors+Creditors'!$G82*T$9+'Costs 02'!Q305*'Debtors+Creditors'!$H82*T$10)</f>
        <v>1380</v>
      </c>
      <c r="U82" s="722">
        <f>('Costs 02'!U305*$E82+'Costs 02'!T305*'Debtors+Creditors'!$F82*U$8+'Costs 02'!S305*'Debtors+Creditors'!$G82*U$9+'Costs 02'!R305*'Debtors+Creditors'!$H82*U$10)</f>
        <v>1380</v>
      </c>
      <c r="V82" s="722">
        <f>('Costs 02'!V305*$E82+'Costs 02'!U305*'Debtors+Creditors'!$F82*V$8+'Costs 02'!T305*'Debtors+Creditors'!$G82*V$9+'Costs 02'!S305*'Debtors+Creditors'!$H82*V$10)</f>
        <v>1380</v>
      </c>
      <c r="W82" s="722">
        <f>('Costs 02'!W305*$E82+'Costs 02'!V305*'Debtors+Creditors'!$F82*W$8+'Costs 02'!U305*'Debtors+Creditors'!$G82*W$9+'Costs 02'!T305*'Debtors+Creditors'!$H82*W$10)</f>
        <v>1380</v>
      </c>
      <c r="X82" s="722">
        <f>('Costs 02'!X305*$E82+'Costs 02'!W305*'Debtors+Creditors'!$F82*X$8+'Costs 02'!V305*'Debtors+Creditors'!$G82*X$9+'Costs 02'!U305*'Debtors+Creditors'!$H82*X$10)</f>
        <v>1380</v>
      </c>
      <c r="Y82" s="722">
        <f>('Costs 02'!Y305*$E82+'Costs 02'!X305*'Debtors+Creditors'!$F82*Y$8+'Costs 02'!W305*'Debtors+Creditors'!$G82*Y$9+'Costs 02'!V305*'Debtors+Creditors'!$H82*Y$10)</f>
        <v>1380</v>
      </c>
      <c r="Z82" s="722">
        <f>('Costs 02'!Z305*$E82+'Costs 02'!Y305*'Debtors+Creditors'!$F82*Z$8+'Costs 02'!X305*'Debtors+Creditors'!$G82*Z$9+'Costs 02'!W305*'Debtors+Creditors'!$H82*Z$10)</f>
        <v>1380</v>
      </c>
      <c r="AA82" s="722">
        <f>('Costs 02'!AA305*$E82+'Costs 02'!Z305*'Debtors+Creditors'!$F82*AA$8+'Costs 02'!Y305*'Debtors+Creditors'!$G82*AA$9+'Costs 02'!X305*'Debtors+Creditors'!$H82*AA$10)</f>
        <v>1380</v>
      </c>
      <c r="AB82" s="722">
        <f>('Costs 02'!AB305*$E82+'Costs 02'!AA305*'Debtors+Creditors'!$F82*AB$8+'Costs 02'!Z305*'Debtors+Creditors'!$G82*AB$9+'Costs 02'!Y305*'Debtors+Creditors'!$H82*AB$10)</f>
        <v>1380</v>
      </c>
      <c r="AC82" s="722">
        <f>('Costs 02'!AC305*$E82+'Costs 02'!AB305*'Debtors+Creditors'!$F82*AC$8+'Costs 02'!AA305*'Debtors+Creditors'!$G82*AC$9+'Costs 02'!Z305*'Debtors+Creditors'!$H82*AC$10)</f>
        <v>1322.5</v>
      </c>
      <c r="AD82" s="722">
        <f>('Costs 02'!AD305*$E82+'Costs 02'!AC305*'Debtors+Creditors'!$F82*AD$8+'Costs 02'!AB305*'Debtors+Creditors'!$G82*AD$9+'Costs 02'!AA305*'Debtors+Creditors'!$H82*AD$10)</f>
        <v>1265</v>
      </c>
      <c r="AE82" s="722">
        <f>('Costs 02'!AE305*$E82+'Costs 02'!AD305*'Debtors+Creditors'!$F82*AE$8+'Costs 02'!AC305*'Debtors+Creditors'!$G82*AE$9+'Costs 02'!AB305*'Debtors+Creditors'!$H82*AE$10)</f>
        <v>632.5</v>
      </c>
      <c r="AF82" s="722">
        <f>('Costs 02'!AF305*$E82+'Costs 02'!AE305*'Debtors+Creditors'!$F82*AF$8+'Costs 02'!AD305*'Debtors+Creditors'!$G82*AF$9+'Costs 02'!AC305*'Debtors+Creditors'!$H82*AF$10)</f>
        <v>0</v>
      </c>
      <c r="AG82" s="722">
        <f>('Costs 02'!AG305*$E82+'Costs 02'!AF305*'Debtors+Creditors'!$F82*AG$8+'Costs 02'!AE305*'Debtors+Creditors'!$G82*AG$9+'Costs 02'!AD305*'Debtors+Creditors'!$H82*AG$10)</f>
        <v>0</v>
      </c>
    </row>
    <row r="83" spans="1:33" s="649" customFormat="1" ht="18" customHeight="1" outlineLevel="1">
      <c r="A83" s="894"/>
      <c r="B83" s="241"/>
      <c r="C83" s="24" t="str">
        <f>Product_03</f>
        <v>Notebooks</v>
      </c>
      <c r="D83" s="8" t="str">
        <f t="shared" si="26"/>
        <v>USD</v>
      </c>
      <c r="E83" s="85">
        <f>Inputs!F143</f>
        <v>0.8</v>
      </c>
      <c r="F83" s="85">
        <f>Inputs!G143</f>
        <v>0.2</v>
      </c>
      <c r="G83" s="85">
        <f>Inputs!H143</f>
        <v>0</v>
      </c>
      <c r="H83" s="85">
        <f>Inputs!I143</f>
        <v>0</v>
      </c>
      <c r="I83" s="71">
        <f t="shared" si="27"/>
        <v>0</v>
      </c>
      <c r="J83" s="722">
        <f>('Costs 02'!J306*$E83+'Costs 02'!I306*'Debtors+Creditors'!$F83*J$8+'Costs 02'!H306*'Debtors+Creditors'!$G83*J$9+'Costs 02'!G306*'Debtors+Creditors'!$H83*J$10)</f>
        <v>0</v>
      </c>
      <c r="K83" s="722">
        <f>('Costs 02'!K306*$E83+'Costs 02'!J306*'Debtors+Creditors'!$F83*K$8+'Costs 02'!I306*'Debtors+Creditors'!$G83*K$9+'Costs 02'!H306*'Debtors+Creditors'!$H83*K$10)</f>
        <v>0</v>
      </c>
      <c r="L83" s="722">
        <f>('Costs 02'!L306*$E83+'Costs 02'!K306*'Debtors+Creditors'!$F83*L$8+'Costs 02'!J306*'Debtors+Creditors'!$G83*L$9+'Costs 02'!I306*'Debtors+Creditors'!$H83*L$10)</f>
        <v>0</v>
      </c>
      <c r="M83" s="722">
        <f>('Costs 02'!M306*$E83+'Costs 02'!L306*'Debtors+Creditors'!$F83*M$8+'Costs 02'!K306*'Debtors+Creditors'!$G83*M$9+'Costs 02'!J306*'Debtors+Creditors'!$H83*M$10)</f>
        <v>0</v>
      </c>
      <c r="N83" s="722">
        <f>('Costs 02'!N306*$E83+'Costs 02'!M306*'Debtors+Creditors'!$F83*N$8+'Costs 02'!L306*'Debtors+Creditors'!$G83*N$9+'Costs 02'!K306*'Debtors+Creditors'!$H83*N$10)</f>
        <v>0</v>
      </c>
      <c r="O83" s="722">
        <f>('Costs 02'!O306*$E83+'Costs 02'!N306*'Debtors+Creditors'!$F83*O$8+'Costs 02'!M306*'Debtors+Creditors'!$G83*O$9+'Costs 02'!L306*'Debtors+Creditors'!$H83*O$10)</f>
        <v>0</v>
      </c>
      <c r="P83" s="722">
        <f>('Costs 02'!P306*$E83+'Costs 02'!O306*'Debtors+Creditors'!$F83*P$8+'Costs 02'!N306*'Debtors+Creditors'!$G83*P$9+'Costs 02'!M306*'Debtors+Creditors'!$H83*P$10)</f>
        <v>0</v>
      </c>
      <c r="Q83" s="722">
        <f>('Costs 02'!Q306*$E83+'Costs 02'!P306*'Debtors+Creditors'!$F83*Q$8+'Costs 02'!O306*'Debtors+Creditors'!$G83*Q$9+'Costs 02'!N306*'Debtors+Creditors'!$H83*Q$10)</f>
        <v>0</v>
      </c>
      <c r="R83" s="722">
        <f>('Costs 02'!R306*$E83+'Costs 02'!Q306*'Debtors+Creditors'!$F83*R$8+'Costs 02'!P306*'Debtors+Creditors'!$G83*R$9+'Costs 02'!O306*'Debtors+Creditors'!$H83*R$10)</f>
        <v>0</v>
      </c>
      <c r="S83" s="722">
        <f>('Costs 02'!S306*$E83+'Costs 02'!R306*'Debtors+Creditors'!$F83*S$8+'Costs 02'!Q306*'Debtors+Creditors'!$G83*S$9+'Costs 02'!P306*'Debtors+Creditors'!$H83*S$10)</f>
        <v>0</v>
      </c>
      <c r="T83" s="722">
        <f>('Costs 02'!T306*$E83+'Costs 02'!S306*'Debtors+Creditors'!$F83*T$8+'Costs 02'!R306*'Debtors+Creditors'!$G83*T$9+'Costs 02'!Q306*'Debtors+Creditors'!$H83*T$10)</f>
        <v>0</v>
      </c>
      <c r="U83" s="722">
        <f>('Costs 02'!U306*$E83+'Costs 02'!T306*'Debtors+Creditors'!$F83*U$8+'Costs 02'!S306*'Debtors+Creditors'!$G83*U$9+'Costs 02'!R306*'Debtors+Creditors'!$H83*U$10)</f>
        <v>0</v>
      </c>
      <c r="V83" s="722">
        <f>('Costs 02'!V306*$E83+'Costs 02'!U306*'Debtors+Creditors'!$F83*V$8+'Costs 02'!T306*'Debtors+Creditors'!$G83*V$9+'Costs 02'!S306*'Debtors+Creditors'!$H83*V$10)</f>
        <v>0</v>
      </c>
      <c r="W83" s="722">
        <f>('Costs 02'!W306*$E83+'Costs 02'!V306*'Debtors+Creditors'!$F83*W$8+'Costs 02'!U306*'Debtors+Creditors'!$G83*W$9+'Costs 02'!T306*'Debtors+Creditors'!$H83*W$10)</f>
        <v>0</v>
      </c>
      <c r="X83" s="722">
        <f>('Costs 02'!X306*$E83+'Costs 02'!W306*'Debtors+Creditors'!$F83*X$8+'Costs 02'!V306*'Debtors+Creditors'!$G83*X$9+'Costs 02'!U306*'Debtors+Creditors'!$H83*X$10)</f>
        <v>0</v>
      </c>
      <c r="Y83" s="722">
        <f>('Costs 02'!Y306*$E83+'Costs 02'!X306*'Debtors+Creditors'!$F83*Y$8+'Costs 02'!W306*'Debtors+Creditors'!$G83*Y$9+'Costs 02'!V306*'Debtors+Creditors'!$H83*Y$10)</f>
        <v>0</v>
      </c>
      <c r="Z83" s="722">
        <f>('Costs 02'!Z306*$E83+'Costs 02'!Y306*'Debtors+Creditors'!$F83*Z$8+'Costs 02'!X306*'Debtors+Creditors'!$G83*Z$9+'Costs 02'!W306*'Debtors+Creditors'!$H83*Z$10)</f>
        <v>0</v>
      </c>
      <c r="AA83" s="722">
        <f>('Costs 02'!AA306*$E83+'Costs 02'!Z306*'Debtors+Creditors'!$F83*AA$8+'Costs 02'!Y306*'Debtors+Creditors'!$G83*AA$9+'Costs 02'!X306*'Debtors+Creditors'!$H83*AA$10)</f>
        <v>0</v>
      </c>
      <c r="AB83" s="722">
        <f>('Costs 02'!AB306*$E83+'Costs 02'!AA306*'Debtors+Creditors'!$F83*AB$8+'Costs 02'!Z306*'Debtors+Creditors'!$G83*AB$9+'Costs 02'!Y306*'Debtors+Creditors'!$H83*AB$10)</f>
        <v>0</v>
      </c>
      <c r="AC83" s="722">
        <f>('Costs 02'!AC306*$E83+'Costs 02'!AB306*'Debtors+Creditors'!$F83*AC$8+'Costs 02'!AA306*'Debtors+Creditors'!$G83*AC$9+'Costs 02'!Z306*'Debtors+Creditors'!$H83*AC$10)</f>
        <v>0</v>
      </c>
      <c r="AD83" s="722">
        <f>('Costs 02'!AD306*$E83+'Costs 02'!AC306*'Debtors+Creditors'!$F83*AD$8+'Costs 02'!AB306*'Debtors+Creditors'!$G83*AD$9+'Costs 02'!AA306*'Debtors+Creditors'!$H83*AD$10)</f>
        <v>0</v>
      </c>
      <c r="AE83" s="722">
        <f>('Costs 02'!AE306*$E83+'Costs 02'!AD306*'Debtors+Creditors'!$F83*AE$8+'Costs 02'!AC306*'Debtors+Creditors'!$G83*AE$9+'Costs 02'!AB306*'Debtors+Creditors'!$H83*AE$10)</f>
        <v>0</v>
      </c>
      <c r="AF83" s="722">
        <f>('Costs 02'!AF306*$E83+'Costs 02'!AE306*'Debtors+Creditors'!$F83*AF$8+'Costs 02'!AD306*'Debtors+Creditors'!$G83*AF$9+'Costs 02'!AC306*'Debtors+Creditors'!$H83*AF$10)</f>
        <v>0</v>
      </c>
      <c r="AG83" s="722">
        <f>('Costs 02'!AG306*$E83+'Costs 02'!AF306*'Debtors+Creditors'!$F83*AG$8+'Costs 02'!AE306*'Debtors+Creditors'!$G83*AG$9+'Costs 02'!AD306*'Debtors+Creditors'!$H83*AG$10)</f>
        <v>0</v>
      </c>
    </row>
    <row r="84" spans="1:33" s="649" customFormat="1" ht="18" customHeight="1" outlineLevel="1">
      <c r="A84" s="894"/>
      <c r="B84" s="241"/>
      <c r="C84" s="24" t="str">
        <f>Product_04</f>
        <v>Software Products</v>
      </c>
      <c r="D84" s="8" t="str">
        <f t="shared" si="26"/>
        <v>USD</v>
      </c>
      <c r="E84" s="85">
        <f>Inputs!F144</f>
        <v>0.7</v>
      </c>
      <c r="F84" s="85">
        <f>Inputs!G144</f>
        <v>0.2</v>
      </c>
      <c r="G84" s="85">
        <f>Inputs!H144</f>
        <v>0.1</v>
      </c>
      <c r="H84" s="85">
        <f>Inputs!I144</f>
        <v>0</v>
      </c>
      <c r="I84" s="71">
        <f t="shared" si="27"/>
        <v>17610</v>
      </c>
      <c r="J84" s="722">
        <f>('Costs 02'!J307*$E84+'Costs 02'!I307*'Debtors+Creditors'!$F84*J$8+'Costs 02'!H307*'Debtors+Creditors'!$G84*J$9+'Costs 02'!G307*'Debtors+Creditors'!$H84*J$10)</f>
        <v>577.5</v>
      </c>
      <c r="K84" s="722">
        <f>('Costs 02'!K307*$E84+'Costs 02'!J307*'Debtors+Creditors'!$F84*K$8+'Costs 02'!I307*'Debtors+Creditors'!$G84*K$9+'Costs 02'!H307*'Debtors+Creditors'!$H84*K$10)</f>
        <v>763.5</v>
      </c>
      <c r="L84" s="722">
        <f>('Costs 02'!L307*$E84+'Costs 02'!K307*'Debtors+Creditors'!$F84*L$8+'Costs 02'!J307*'Debtors+Creditors'!$G84*L$9+'Costs 02'!I307*'Debtors+Creditors'!$H84*L$10)</f>
        <v>852</v>
      </c>
      <c r="M84" s="722">
        <f>('Costs 02'!M307*$E84+'Costs 02'!L307*'Debtors+Creditors'!$F84*M$8+'Costs 02'!K307*'Debtors+Creditors'!$G84*M$9+'Costs 02'!J307*'Debtors+Creditors'!$H84*M$10)</f>
        <v>855</v>
      </c>
      <c r="N84" s="722">
        <f>('Costs 02'!N307*$E84+'Costs 02'!M307*'Debtors+Creditors'!$F84*N$8+'Costs 02'!L307*'Debtors+Creditors'!$G84*N$9+'Costs 02'!K307*'Debtors+Creditors'!$H84*N$10)</f>
        <v>855</v>
      </c>
      <c r="O84" s="722">
        <f>('Costs 02'!O307*$E84+'Costs 02'!N307*'Debtors+Creditors'!$F84*O$8+'Costs 02'!M307*'Debtors+Creditors'!$G84*O$9+'Costs 02'!L307*'Debtors+Creditors'!$H84*O$10)</f>
        <v>855</v>
      </c>
      <c r="P84" s="722">
        <f>('Costs 02'!P307*$E84+'Costs 02'!O307*'Debtors+Creditors'!$F84*P$8+'Costs 02'!N307*'Debtors+Creditors'!$G84*P$9+'Costs 02'!M307*'Debtors+Creditors'!$H84*P$10)</f>
        <v>855</v>
      </c>
      <c r="Q84" s="722">
        <f>('Costs 02'!Q307*$E84+'Costs 02'!P307*'Debtors+Creditors'!$F84*Q$8+'Costs 02'!O307*'Debtors+Creditors'!$G84*Q$9+'Costs 02'!N307*'Debtors+Creditors'!$H84*Q$10)</f>
        <v>834</v>
      </c>
      <c r="R84" s="722">
        <f>('Costs 02'!R307*$E84+'Costs 02'!Q307*'Debtors+Creditors'!$F84*R$8+'Costs 02'!P307*'Debtors+Creditors'!$G84*R$9+'Costs 02'!O307*'Debtors+Creditors'!$H84*R$10)</f>
        <v>828</v>
      </c>
      <c r="S84" s="722">
        <f>('Costs 02'!S307*$E84+'Costs 02'!R307*'Debtors+Creditors'!$F84*S$8+'Costs 02'!Q307*'Debtors+Creditors'!$G84*S$9+'Costs 02'!P307*'Debtors+Creditors'!$H84*S$10)</f>
        <v>825</v>
      </c>
      <c r="T84" s="722">
        <f>('Costs 02'!T307*$E84+'Costs 02'!S307*'Debtors+Creditors'!$F84*T$8+'Costs 02'!R307*'Debtors+Creditors'!$G84*T$9+'Costs 02'!Q307*'Debtors+Creditors'!$H84*T$10)</f>
        <v>825</v>
      </c>
      <c r="U84" s="722">
        <f>('Costs 02'!U307*$E84+'Costs 02'!T307*'Debtors+Creditors'!$F84*U$8+'Costs 02'!S307*'Debtors+Creditors'!$G84*U$9+'Costs 02'!R307*'Debtors+Creditors'!$H84*U$10)</f>
        <v>825</v>
      </c>
      <c r="V84" s="722">
        <f>('Costs 02'!V307*$E84+'Costs 02'!U307*'Debtors+Creditors'!$F84*V$8+'Costs 02'!T307*'Debtors+Creditors'!$G84*V$9+'Costs 02'!S307*'Debtors+Creditors'!$H84*V$10)</f>
        <v>825</v>
      </c>
      <c r="W84" s="722">
        <f>('Costs 02'!W307*$E84+'Costs 02'!V307*'Debtors+Creditors'!$F84*W$8+'Costs 02'!U307*'Debtors+Creditors'!$G84*W$9+'Costs 02'!T307*'Debtors+Creditors'!$H84*W$10)</f>
        <v>825</v>
      </c>
      <c r="X84" s="722">
        <f>('Costs 02'!X307*$E84+'Costs 02'!W307*'Debtors+Creditors'!$F84*X$8+'Costs 02'!V307*'Debtors+Creditors'!$G84*X$9+'Costs 02'!U307*'Debtors+Creditors'!$H84*X$10)</f>
        <v>825</v>
      </c>
      <c r="Y84" s="722">
        <f>('Costs 02'!Y307*$E84+'Costs 02'!X307*'Debtors+Creditors'!$F84*Y$8+'Costs 02'!W307*'Debtors+Creditors'!$G84*Y$9+'Costs 02'!V307*'Debtors+Creditors'!$H84*Y$10)</f>
        <v>825</v>
      </c>
      <c r="Z84" s="722">
        <f>('Costs 02'!Z307*$E84+'Costs 02'!Y307*'Debtors+Creditors'!$F84*Z$8+'Costs 02'!X307*'Debtors+Creditors'!$G84*Z$9+'Costs 02'!W307*'Debtors+Creditors'!$H84*Z$10)</f>
        <v>825</v>
      </c>
      <c r="AA84" s="722">
        <f>('Costs 02'!AA307*$E84+'Costs 02'!Z307*'Debtors+Creditors'!$F84*AA$8+'Costs 02'!Y307*'Debtors+Creditors'!$G84*AA$9+'Costs 02'!X307*'Debtors+Creditors'!$H84*AA$10)</f>
        <v>825</v>
      </c>
      <c r="AB84" s="722">
        <f>('Costs 02'!AB307*$E84+'Costs 02'!AA307*'Debtors+Creditors'!$F84*AB$8+'Costs 02'!Z307*'Debtors+Creditors'!$G84*AB$9+'Costs 02'!Y307*'Debtors+Creditors'!$H84*AB$10)</f>
        <v>825</v>
      </c>
      <c r="AC84" s="722">
        <f>('Costs 02'!AC307*$E84+'Costs 02'!AB307*'Debtors+Creditors'!$F84*AC$8+'Costs 02'!AA307*'Debtors+Creditors'!$G84*AC$9+'Costs 02'!Z307*'Debtors+Creditors'!$H84*AC$10)</f>
        <v>825</v>
      </c>
      <c r="AD84" s="722">
        <f>('Costs 02'!AD307*$E84+'Costs 02'!AC307*'Debtors+Creditors'!$F84*AD$8+'Costs 02'!AB307*'Debtors+Creditors'!$G84*AD$9+'Costs 02'!AA307*'Debtors+Creditors'!$H84*AD$10)</f>
        <v>898.5</v>
      </c>
      <c r="AE84" s="722">
        <f>('Costs 02'!AE307*$E84+'Costs 02'!AD307*'Debtors+Creditors'!$F84*AE$8+'Costs 02'!AC307*'Debtors+Creditors'!$G84*AE$9+'Costs 02'!AB307*'Debtors+Creditors'!$H84*AE$10)</f>
        <v>268.5</v>
      </c>
      <c r="AF84" s="722">
        <f>('Costs 02'!AF307*$E84+'Costs 02'!AE307*'Debtors+Creditors'!$F84*AF$8+'Costs 02'!AD307*'Debtors+Creditors'!$G84*AF$9+'Costs 02'!AC307*'Debtors+Creditors'!$H84*AF$10)</f>
        <v>93</v>
      </c>
      <c r="AG84" s="722">
        <f>('Costs 02'!AG307*$E84+'Costs 02'!AF307*'Debtors+Creditors'!$F84*AG$8+'Costs 02'!AE307*'Debtors+Creditors'!$G84*AG$9+'Costs 02'!AD307*'Debtors+Creditors'!$H84*AG$10)</f>
        <v>0</v>
      </c>
    </row>
    <row r="85" spans="1:33" s="649" customFormat="1" ht="18" customHeight="1" outlineLevel="1">
      <c r="A85" s="894"/>
      <c r="B85" s="241"/>
      <c r="C85" s="24" t="str">
        <f>Product_05</f>
        <v>Net work infrastructure solutions</v>
      </c>
      <c r="D85" s="8" t="str">
        <f t="shared" si="26"/>
        <v>USD</v>
      </c>
      <c r="E85" s="85">
        <f>Inputs!F145</f>
        <v>1</v>
      </c>
      <c r="F85" s="85">
        <f>Inputs!G145</f>
        <v>0</v>
      </c>
      <c r="G85" s="85">
        <f>Inputs!H145</f>
        <v>0</v>
      </c>
      <c r="H85" s="85">
        <f>Inputs!I145</f>
        <v>0</v>
      </c>
      <c r="I85" s="71">
        <f t="shared" si="27"/>
        <v>0</v>
      </c>
      <c r="J85" s="722">
        <f>('Costs 02'!J308*$E85+'Costs 02'!I308*'Debtors+Creditors'!$F85*J$8+'Costs 02'!H308*'Debtors+Creditors'!$G85*J$9+'Costs 02'!G308*'Debtors+Creditors'!$H85*J$10)</f>
        <v>0</v>
      </c>
      <c r="K85" s="722">
        <f>('Costs 02'!K308*$E85+'Costs 02'!J308*'Debtors+Creditors'!$F85*K$8+'Costs 02'!I308*'Debtors+Creditors'!$G85*K$9+'Costs 02'!H308*'Debtors+Creditors'!$H85*K$10)</f>
        <v>0</v>
      </c>
      <c r="L85" s="722">
        <f>('Costs 02'!L308*$E85+'Costs 02'!K308*'Debtors+Creditors'!$F85*L$8+'Costs 02'!J308*'Debtors+Creditors'!$G85*L$9+'Costs 02'!I308*'Debtors+Creditors'!$H85*L$10)</f>
        <v>0</v>
      </c>
      <c r="M85" s="722">
        <f>('Costs 02'!M308*$E85+'Costs 02'!L308*'Debtors+Creditors'!$F85*M$8+'Costs 02'!K308*'Debtors+Creditors'!$G85*M$9+'Costs 02'!J308*'Debtors+Creditors'!$H85*M$10)</f>
        <v>0</v>
      </c>
      <c r="N85" s="722">
        <f>('Costs 02'!N308*$E85+'Costs 02'!M308*'Debtors+Creditors'!$F85*N$8+'Costs 02'!L308*'Debtors+Creditors'!$G85*N$9+'Costs 02'!K308*'Debtors+Creditors'!$H85*N$10)</f>
        <v>0</v>
      </c>
      <c r="O85" s="722">
        <f>('Costs 02'!O308*$E85+'Costs 02'!N308*'Debtors+Creditors'!$F85*O$8+'Costs 02'!M308*'Debtors+Creditors'!$G85*O$9+'Costs 02'!L308*'Debtors+Creditors'!$H85*O$10)</f>
        <v>0</v>
      </c>
      <c r="P85" s="722">
        <f>('Costs 02'!P308*$E85+'Costs 02'!O308*'Debtors+Creditors'!$F85*P$8+'Costs 02'!N308*'Debtors+Creditors'!$G85*P$9+'Costs 02'!M308*'Debtors+Creditors'!$H85*P$10)</f>
        <v>0</v>
      </c>
      <c r="Q85" s="722">
        <f>('Costs 02'!Q308*$E85+'Costs 02'!P308*'Debtors+Creditors'!$F85*Q$8+'Costs 02'!O308*'Debtors+Creditors'!$G85*Q$9+'Costs 02'!N308*'Debtors+Creditors'!$H85*Q$10)</f>
        <v>0</v>
      </c>
      <c r="R85" s="722">
        <f>('Costs 02'!R308*$E85+'Costs 02'!Q308*'Debtors+Creditors'!$F85*R$8+'Costs 02'!P308*'Debtors+Creditors'!$G85*R$9+'Costs 02'!O308*'Debtors+Creditors'!$H85*R$10)</f>
        <v>0</v>
      </c>
      <c r="S85" s="722">
        <f>('Costs 02'!S308*$E85+'Costs 02'!R308*'Debtors+Creditors'!$F85*S$8+'Costs 02'!Q308*'Debtors+Creditors'!$G85*S$9+'Costs 02'!P308*'Debtors+Creditors'!$H85*S$10)</f>
        <v>0</v>
      </c>
      <c r="T85" s="722">
        <f>('Costs 02'!T308*$E85+'Costs 02'!S308*'Debtors+Creditors'!$F85*T$8+'Costs 02'!R308*'Debtors+Creditors'!$G85*T$9+'Costs 02'!Q308*'Debtors+Creditors'!$H85*T$10)</f>
        <v>0</v>
      </c>
      <c r="U85" s="722">
        <f>('Costs 02'!U308*$E85+'Costs 02'!T308*'Debtors+Creditors'!$F85*U$8+'Costs 02'!S308*'Debtors+Creditors'!$G85*U$9+'Costs 02'!R308*'Debtors+Creditors'!$H85*U$10)</f>
        <v>0</v>
      </c>
      <c r="V85" s="722">
        <f>('Costs 02'!V308*$E85+'Costs 02'!U308*'Debtors+Creditors'!$F85*V$8+'Costs 02'!T308*'Debtors+Creditors'!$G85*V$9+'Costs 02'!S308*'Debtors+Creditors'!$H85*V$10)</f>
        <v>0</v>
      </c>
      <c r="W85" s="722">
        <f>('Costs 02'!W308*$E85+'Costs 02'!V308*'Debtors+Creditors'!$F85*W$8+'Costs 02'!U308*'Debtors+Creditors'!$G85*W$9+'Costs 02'!T308*'Debtors+Creditors'!$H85*W$10)</f>
        <v>0</v>
      </c>
      <c r="X85" s="722">
        <f>('Costs 02'!X308*$E85+'Costs 02'!W308*'Debtors+Creditors'!$F85*X$8+'Costs 02'!V308*'Debtors+Creditors'!$G85*X$9+'Costs 02'!U308*'Debtors+Creditors'!$H85*X$10)</f>
        <v>0</v>
      </c>
      <c r="Y85" s="722">
        <f>('Costs 02'!Y308*$E85+'Costs 02'!X308*'Debtors+Creditors'!$F85*Y$8+'Costs 02'!W308*'Debtors+Creditors'!$G85*Y$9+'Costs 02'!V308*'Debtors+Creditors'!$H85*Y$10)</f>
        <v>0</v>
      </c>
      <c r="Z85" s="722">
        <f>('Costs 02'!Z308*$E85+'Costs 02'!Y308*'Debtors+Creditors'!$F85*Z$8+'Costs 02'!X308*'Debtors+Creditors'!$G85*Z$9+'Costs 02'!W308*'Debtors+Creditors'!$H85*Z$10)</f>
        <v>0</v>
      </c>
      <c r="AA85" s="722">
        <f>('Costs 02'!AA308*$E85+'Costs 02'!Z308*'Debtors+Creditors'!$F85*AA$8+'Costs 02'!Y308*'Debtors+Creditors'!$G85*AA$9+'Costs 02'!X308*'Debtors+Creditors'!$H85*AA$10)</f>
        <v>0</v>
      </c>
      <c r="AB85" s="722">
        <f>('Costs 02'!AB308*$E85+'Costs 02'!AA308*'Debtors+Creditors'!$F85*AB$8+'Costs 02'!Z308*'Debtors+Creditors'!$G85*AB$9+'Costs 02'!Y308*'Debtors+Creditors'!$H85*AB$10)</f>
        <v>0</v>
      </c>
      <c r="AC85" s="722">
        <f>('Costs 02'!AC308*$E85+'Costs 02'!AB308*'Debtors+Creditors'!$F85*AC$8+'Costs 02'!AA308*'Debtors+Creditors'!$G85*AC$9+'Costs 02'!Z308*'Debtors+Creditors'!$H85*AC$10)</f>
        <v>0</v>
      </c>
      <c r="AD85" s="722">
        <f>('Costs 02'!AD308*$E85+'Costs 02'!AC308*'Debtors+Creditors'!$F85*AD$8+'Costs 02'!AB308*'Debtors+Creditors'!$G85*AD$9+'Costs 02'!AA308*'Debtors+Creditors'!$H85*AD$10)</f>
        <v>0</v>
      </c>
      <c r="AE85" s="722">
        <f>('Costs 02'!AE308*$E85+'Costs 02'!AD308*'Debtors+Creditors'!$F85*AE$8+'Costs 02'!AC308*'Debtors+Creditors'!$G85*AE$9+'Costs 02'!AB308*'Debtors+Creditors'!$H85*AE$10)</f>
        <v>0</v>
      </c>
      <c r="AF85" s="722">
        <f>('Costs 02'!AF308*$E85+'Costs 02'!AE308*'Debtors+Creditors'!$F85*AF$8+'Costs 02'!AD308*'Debtors+Creditors'!$G85*AF$9+'Costs 02'!AC308*'Debtors+Creditors'!$H85*AF$10)</f>
        <v>0</v>
      </c>
      <c r="AG85" s="722">
        <f>('Costs 02'!AG308*$E85+'Costs 02'!AF308*'Debtors+Creditors'!$F85*AG$8+'Costs 02'!AE308*'Debtors+Creditors'!$G85*AG$9+'Costs 02'!AD308*'Debtors+Creditors'!$H85*AG$10)</f>
        <v>0</v>
      </c>
    </row>
    <row r="86" spans="1:33" s="649" customFormat="1" ht="18" customHeight="1" outlineLevel="1">
      <c r="A86" s="894"/>
      <c r="B86" s="241"/>
      <c r="C86" s="24" t="str">
        <f>Product_06</f>
        <v>Repair Services</v>
      </c>
      <c r="D86" s="8" t="str">
        <f t="shared" si="26"/>
        <v>USD</v>
      </c>
      <c r="E86" s="85">
        <f>Inputs!F146</f>
        <v>1</v>
      </c>
      <c r="F86" s="85">
        <f>Inputs!G146</f>
        <v>0</v>
      </c>
      <c r="G86" s="85">
        <f>Inputs!H146</f>
        <v>0</v>
      </c>
      <c r="H86" s="85">
        <f>Inputs!I146</f>
        <v>0</v>
      </c>
      <c r="I86" s="71">
        <f t="shared" si="27"/>
        <v>0</v>
      </c>
      <c r="J86" s="722">
        <f>('Costs 02'!J309*$E86+'Costs 02'!I309*'Debtors+Creditors'!$F86*J$8+'Costs 02'!H309*'Debtors+Creditors'!$G86*J$9+'Costs 02'!G309*'Debtors+Creditors'!$H86*J$10)</f>
        <v>0</v>
      </c>
      <c r="K86" s="722">
        <f>('Costs 02'!K309*$E86+'Costs 02'!J309*'Debtors+Creditors'!$F86*K$8+'Costs 02'!I309*'Debtors+Creditors'!$G86*K$9+'Costs 02'!H309*'Debtors+Creditors'!$H86*K$10)</f>
        <v>0</v>
      </c>
      <c r="L86" s="722">
        <f>('Costs 02'!L309*$E86+'Costs 02'!K309*'Debtors+Creditors'!$F86*L$8+'Costs 02'!J309*'Debtors+Creditors'!$G86*L$9+'Costs 02'!I309*'Debtors+Creditors'!$H86*L$10)</f>
        <v>0</v>
      </c>
      <c r="M86" s="722">
        <f>('Costs 02'!M309*$E86+'Costs 02'!L309*'Debtors+Creditors'!$F86*M$8+'Costs 02'!K309*'Debtors+Creditors'!$G86*M$9+'Costs 02'!J309*'Debtors+Creditors'!$H86*M$10)</f>
        <v>0</v>
      </c>
      <c r="N86" s="722">
        <f>('Costs 02'!N309*$E86+'Costs 02'!M309*'Debtors+Creditors'!$F86*N$8+'Costs 02'!L309*'Debtors+Creditors'!$G86*N$9+'Costs 02'!K309*'Debtors+Creditors'!$H86*N$10)</f>
        <v>0</v>
      </c>
      <c r="O86" s="722">
        <f>('Costs 02'!O309*$E86+'Costs 02'!N309*'Debtors+Creditors'!$F86*O$8+'Costs 02'!M309*'Debtors+Creditors'!$G86*O$9+'Costs 02'!L309*'Debtors+Creditors'!$H86*O$10)</f>
        <v>0</v>
      </c>
      <c r="P86" s="722">
        <f>('Costs 02'!P309*$E86+'Costs 02'!O309*'Debtors+Creditors'!$F86*P$8+'Costs 02'!N309*'Debtors+Creditors'!$G86*P$9+'Costs 02'!M309*'Debtors+Creditors'!$H86*P$10)</f>
        <v>0</v>
      </c>
      <c r="Q86" s="722">
        <f>('Costs 02'!Q309*$E86+'Costs 02'!P309*'Debtors+Creditors'!$F86*Q$8+'Costs 02'!O309*'Debtors+Creditors'!$G86*Q$9+'Costs 02'!N309*'Debtors+Creditors'!$H86*Q$10)</f>
        <v>0</v>
      </c>
      <c r="R86" s="722">
        <f>('Costs 02'!R309*$E86+'Costs 02'!Q309*'Debtors+Creditors'!$F86*R$8+'Costs 02'!P309*'Debtors+Creditors'!$G86*R$9+'Costs 02'!O309*'Debtors+Creditors'!$H86*R$10)</f>
        <v>0</v>
      </c>
      <c r="S86" s="722">
        <f>('Costs 02'!S309*$E86+'Costs 02'!R309*'Debtors+Creditors'!$F86*S$8+'Costs 02'!Q309*'Debtors+Creditors'!$G86*S$9+'Costs 02'!P309*'Debtors+Creditors'!$H86*S$10)</f>
        <v>0</v>
      </c>
      <c r="T86" s="722">
        <f>('Costs 02'!T309*$E86+'Costs 02'!S309*'Debtors+Creditors'!$F86*T$8+'Costs 02'!R309*'Debtors+Creditors'!$G86*T$9+'Costs 02'!Q309*'Debtors+Creditors'!$H86*T$10)</f>
        <v>0</v>
      </c>
      <c r="U86" s="722">
        <f>('Costs 02'!U309*$E86+'Costs 02'!T309*'Debtors+Creditors'!$F86*U$8+'Costs 02'!S309*'Debtors+Creditors'!$G86*U$9+'Costs 02'!R309*'Debtors+Creditors'!$H86*U$10)</f>
        <v>0</v>
      </c>
      <c r="V86" s="722">
        <f>('Costs 02'!V309*$E86+'Costs 02'!U309*'Debtors+Creditors'!$F86*V$8+'Costs 02'!T309*'Debtors+Creditors'!$G86*V$9+'Costs 02'!S309*'Debtors+Creditors'!$H86*V$10)</f>
        <v>0</v>
      </c>
      <c r="W86" s="722">
        <f>('Costs 02'!W309*$E86+'Costs 02'!V309*'Debtors+Creditors'!$F86*W$8+'Costs 02'!U309*'Debtors+Creditors'!$G86*W$9+'Costs 02'!T309*'Debtors+Creditors'!$H86*W$10)</f>
        <v>0</v>
      </c>
      <c r="X86" s="722">
        <f>('Costs 02'!X309*$E86+'Costs 02'!W309*'Debtors+Creditors'!$F86*X$8+'Costs 02'!V309*'Debtors+Creditors'!$G86*X$9+'Costs 02'!U309*'Debtors+Creditors'!$H86*X$10)</f>
        <v>0</v>
      </c>
      <c r="Y86" s="722">
        <f>('Costs 02'!Y309*$E86+'Costs 02'!X309*'Debtors+Creditors'!$F86*Y$8+'Costs 02'!W309*'Debtors+Creditors'!$G86*Y$9+'Costs 02'!V309*'Debtors+Creditors'!$H86*Y$10)</f>
        <v>0</v>
      </c>
      <c r="Z86" s="722">
        <f>('Costs 02'!Z309*$E86+'Costs 02'!Y309*'Debtors+Creditors'!$F86*Z$8+'Costs 02'!X309*'Debtors+Creditors'!$G86*Z$9+'Costs 02'!W309*'Debtors+Creditors'!$H86*Z$10)</f>
        <v>0</v>
      </c>
      <c r="AA86" s="722">
        <f>('Costs 02'!AA309*$E86+'Costs 02'!Z309*'Debtors+Creditors'!$F86*AA$8+'Costs 02'!Y309*'Debtors+Creditors'!$G86*AA$9+'Costs 02'!X309*'Debtors+Creditors'!$H86*AA$10)</f>
        <v>0</v>
      </c>
      <c r="AB86" s="722">
        <f>('Costs 02'!AB309*$E86+'Costs 02'!AA309*'Debtors+Creditors'!$F86*AB$8+'Costs 02'!Z309*'Debtors+Creditors'!$G86*AB$9+'Costs 02'!Y309*'Debtors+Creditors'!$H86*AB$10)</f>
        <v>0</v>
      </c>
      <c r="AC86" s="722">
        <f>('Costs 02'!AC309*$E86+'Costs 02'!AB309*'Debtors+Creditors'!$F86*AC$8+'Costs 02'!AA309*'Debtors+Creditors'!$G86*AC$9+'Costs 02'!Z309*'Debtors+Creditors'!$H86*AC$10)</f>
        <v>0</v>
      </c>
      <c r="AD86" s="722">
        <f>('Costs 02'!AD309*$E86+'Costs 02'!AC309*'Debtors+Creditors'!$F86*AD$8+'Costs 02'!AB309*'Debtors+Creditors'!$G86*AD$9+'Costs 02'!AA309*'Debtors+Creditors'!$H86*AD$10)</f>
        <v>0</v>
      </c>
      <c r="AE86" s="722">
        <f>('Costs 02'!AE309*$E86+'Costs 02'!AD309*'Debtors+Creditors'!$F86*AE$8+'Costs 02'!AC309*'Debtors+Creditors'!$G86*AE$9+'Costs 02'!AB309*'Debtors+Creditors'!$H86*AE$10)</f>
        <v>0</v>
      </c>
      <c r="AF86" s="722">
        <f>('Costs 02'!AF309*$E86+'Costs 02'!AE309*'Debtors+Creditors'!$F86*AF$8+'Costs 02'!AD309*'Debtors+Creditors'!$G86*AF$9+'Costs 02'!AC309*'Debtors+Creditors'!$H86*AF$10)</f>
        <v>0</v>
      </c>
      <c r="AG86" s="722">
        <f>('Costs 02'!AG309*$E86+'Costs 02'!AF309*'Debtors+Creditors'!$F86*AG$8+'Costs 02'!AE309*'Debtors+Creditors'!$G86*AG$9+'Costs 02'!AD309*'Debtors+Creditors'!$H86*AG$10)</f>
        <v>0</v>
      </c>
    </row>
    <row r="87" spans="1:33" s="649" customFormat="1" ht="18" customHeight="1" outlineLevel="1">
      <c r="A87" s="894"/>
      <c r="B87" s="241"/>
      <c r="C87" s="24" t="str">
        <f>Product_07</f>
        <v>Integration Services</v>
      </c>
      <c r="D87" s="8" t="str">
        <f t="shared" si="26"/>
        <v>USD</v>
      </c>
      <c r="E87" s="85">
        <f>Inputs!F147</f>
        <v>1</v>
      </c>
      <c r="F87" s="85">
        <f>Inputs!G147</f>
        <v>0</v>
      </c>
      <c r="G87" s="85">
        <f>Inputs!H147</f>
        <v>0</v>
      </c>
      <c r="H87" s="85">
        <f>Inputs!I147</f>
        <v>0</v>
      </c>
      <c r="I87" s="71">
        <f t="shared" si="27"/>
        <v>0</v>
      </c>
      <c r="J87" s="722">
        <f>('Costs 02'!J310*$E87+'Costs 02'!I310*'Debtors+Creditors'!$F87*J$8+'Costs 02'!H310*'Debtors+Creditors'!$G87*J$9+'Costs 02'!G310*'Debtors+Creditors'!$H87*J$10)</f>
        <v>0</v>
      </c>
      <c r="K87" s="722">
        <f>('Costs 02'!K310*$E87+'Costs 02'!J310*'Debtors+Creditors'!$F87*K$8+'Costs 02'!I310*'Debtors+Creditors'!$G87*K$9+'Costs 02'!H310*'Debtors+Creditors'!$H87*K$10)</f>
        <v>0</v>
      </c>
      <c r="L87" s="722">
        <f>('Costs 02'!L310*$E87+'Costs 02'!K310*'Debtors+Creditors'!$F87*L$8+'Costs 02'!J310*'Debtors+Creditors'!$G87*L$9+'Costs 02'!I310*'Debtors+Creditors'!$H87*L$10)</f>
        <v>0</v>
      </c>
      <c r="M87" s="722">
        <f>('Costs 02'!M310*$E87+'Costs 02'!L310*'Debtors+Creditors'!$F87*M$8+'Costs 02'!K310*'Debtors+Creditors'!$G87*M$9+'Costs 02'!J310*'Debtors+Creditors'!$H87*M$10)</f>
        <v>0</v>
      </c>
      <c r="N87" s="722">
        <f>('Costs 02'!N310*$E87+'Costs 02'!M310*'Debtors+Creditors'!$F87*N$8+'Costs 02'!L310*'Debtors+Creditors'!$G87*N$9+'Costs 02'!K310*'Debtors+Creditors'!$H87*N$10)</f>
        <v>0</v>
      </c>
      <c r="O87" s="722">
        <f>('Costs 02'!O310*$E87+'Costs 02'!N310*'Debtors+Creditors'!$F87*O$8+'Costs 02'!M310*'Debtors+Creditors'!$G87*O$9+'Costs 02'!L310*'Debtors+Creditors'!$H87*O$10)</f>
        <v>0</v>
      </c>
      <c r="P87" s="722">
        <f>('Costs 02'!P310*$E87+'Costs 02'!O310*'Debtors+Creditors'!$F87*P$8+'Costs 02'!N310*'Debtors+Creditors'!$G87*P$9+'Costs 02'!M310*'Debtors+Creditors'!$H87*P$10)</f>
        <v>0</v>
      </c>
      <c r="Q87" s="722">
        <f>('Costs 02'!Q310*$E87+'Costs 02'!P310*'Debtors+Creditors'!$F87*Q$8+'Costs 02'!O310*'Debtors+Creditors'!$G87*Q$9+'Costs 02'!N310*'Debtors+Creditors'!$H87*Q$10)</f>
        <v>0</v>
      </c>
      <c r="R87" s="722">
        <f>('Costs 02'!R310*$E87+'Costs 02'!Q310*'Debtors+Creditors'!$F87*R$8+'Costs 02'!P310*'Debtors+Creditors'!$G87*R$9+'Costs 02'!O310*'Debtors+Creditors'!$H87*R$10)</f>
        <v>0</v>
      </c>
      <c r="S87" s="722">
        <f>('Costs 02'!S310*$E87+'Costs 02'!R310*'Debtors+Creditors'!$F87*S$8+'Costs 02'!Q310*'Debtors+Creditors'!$G87*S$9+'Costs 02'!P310*'Debtors+Creditors'!$H87*S$10)</f>
        <v>0</v>
      </c>
      <c r="T87" s="722">
        <f>('Costs 02'!T310*$E87+'Costs 02'!S310*'Debtors+Creditors'!$F87*T$8+'Costs 02'!R310*'Debtors+Creditors'!$G87*T$9+'Costs 02'!Q310*'Debtors+Creditors'!$H87*T$10)</f>
        <v>0</v>
      </c>
      <c r="U87" s="722">
        <f>('Costs 02'!U310*$E87+'Costs 02'!T310*'Debtors+Creditors'!$F87*U$8+'Costs 02'!S310*'Debtors+Creditors'!$G87*U$9+'Costs 02'!R310*'Debtors+Creditors'!$H87*U$10)</f>
        <v>0</v>
      </c>
      <c r="V87" s="722">
        <f>('Costs 02'!V310*$E87+'Costs 02'!U310*'Debtors+Creditors'!$F87*V$8+'Costs 02'!T310*'Debtors+Creditors'!$G87*V$9+'Costs 02'!S310*'Debtors+Creditors'!$H87*V$10)</f>
        <v>0</v>
      </c>
      <c r="W87" s="722">
        <f>('Costs 02'!W310*$E87+'Costs 02'!V310*'Debtors+Creditors'!$F87*W$8+'Costs 02'!U310*'Debtors+Creditors'!$G87*W$9+'Costs 02'!T310*'Debtors+Creditors'!$H87*W$10)</f>
        <v>0</v>
      </c>
      <c r="X87" s="722">
        <f>('Costs 02'!X310*$E87+'Costs 02'!W310*'Debtors+Creditors'!$F87*X$8+'Costs 02'!V310*'Debtors+Creditors'!$G87*X$9+'Costs 02'!U310*'Debtors+Creditors'!$H87*X$10)</f>
        <v>0</v>
      </c>
      <c r="Y87" s="722">
        <f>('Costs 02'!Y310*$E87+'Costs 02'!X310*'Debtors+Creditors'!$F87*Y$8+'Costs 02'!W310*'Debtors+Creditors'!$G87*Y$9+'Costs 02'!V310*'Debtors+Creditors'!$H87*Y$10)</f>
        <v>0</v>
      </c>
      <c r="Z87" s="722">
        <f>('Costs 02'!Z310*$E87+'Costs 02'!Y310*'Debtors+Creditors'!$F87*Z$8+'Costs 02'!X310*'Debtors+Creditors'!$G87*Z$9+'Costs 02'!W310*'Debtors+Creditors'!$H87*Z$10)</f>
        <v>0</v>
      </c>
      <c r="AA87" s="722">
        <f>('Costs 02'!AA310*$E87+'Costs 02'!Z310*'Debtors+Creditors'!$F87*AA$8+'Costs 02'!Y310*'Debtors+Creditors'!$G87*AA$9+'Costs 02'!X310*'Debtors+Creditors'!$H87*AA$10)</f>
        <v>0</v>
      </c>
      <c r="AB87" s="722">
        <f>('Costs 02'!AB310*$E87+'Costs 02'!AA310*'Debtors+Creditors'!$F87*AB$8+'Costs 02'!Z310*'Debtors+Creditors'!$G87*AB$9+'Costs 02'!Y310*'Debtors+Creditors'!$H87*AB$10)</f>
        <v>0</v>
      </c>
      <c r="AC87" s="722">
        <f>('Costs 02'!AC310*$E87+'Costs 02'!AB310*'Debtors+Creditors'!$F87*AC$8+'Costs 02'!AA310*'Debtors+Creditors'!$G87*AC$9+'Costs 02'!Z310*'Debtors+Creditors'!$H87*AC$10)</f>
        <v>0</v>
      </c>
      <c r="AD87" s="722">
        <f>('Costs 02'!AD310*$E87+'Costs 02'!AC310*'Debtors+Creditors'!$F87*AD$8+'Costs 02'!AB310*'Debtors+Creditors'!$G87*AD$9+'Costs 02'!AA310*'Debtors+Creditors'!$H87*AD$10)</f>
        <v>0</v>
      </c>
      <c r="AE87" s="722">
        <f>('Costs 02'!AE310*$E87+'Costs 02'!AD310*'Debtors+Creditors'!$F87*AE$8+'Costs 02'!AC310*'Debtors+Creditors'!$G87*AE$9+'Costs 02'!AB310*'Debtors+Creditors'!$H87*AE$10)</f>
        <v>0</v>
      </c>
      <c r="AF87" s="722">
        <f>('Costs 02'!AF310*$E87+'Costs 02'!AE310*'Debtors+Creditors'!$F87*AF$8+'Costs 02'!AD310*'Debtors+Creditors'!$G87*AF$9+'Costs 02'!AC310*'Debtors+Creditors'!$H87*AF$10)</f>
        <v>0</v>
      </c>
      <c r="AG87" s="722">
        <f>('Costs 02'!AG310*$E87+'Costs 02'!AF310*'Debtors+Creditors'!$F87*AG$8+'Costs 02'!AE310*'Debtors+Creditors'!$G87*AG$9+'Costs 02'!AD310*'Debtors+Creditors'!$H87*AG$10)</f>
        <v>0</v>
      </c>
    </row>
    <row r="88" spans="1:33" s="649" customFormat="1" ht="18" customHeight="1" outlineLevel="1">
      <c r="A88" s="894"/>
      <c r="B88" s="241"/>
      <c r="C88" s="24" t="str">
        <f>Product_08</f>
        <v>Consulting Services</v>
      </c>
      <c r="D88" s="8" t="str">
        <f t="shared" si="26"/>
        <v>USD</v>
      </c>
      <c r="E88" s="85">
        <f>Inputs!F148</f>
        <v>1</v>
      </c>
      <c r="F88" s="85">
        <f>Inputs!G148</f>
        <v>0</v>
      </c>
      <c r="G88" s="85">
        <f>Inputs!H148</f>
        <v>0</v>
      </c>
      <c r="H88" s="85">
        <f>Inputs!I148</f>
        <v>0</v>
      </c>
      <c r="I88" s="71">
        <f t="shared" si="27"/>
        <v>0</v>
      </c>
      <c r="J88" s="722">
        <f>('Costs 02'!J311*$E88+'Costs 02'!I311*'Debtors+Creditors'!$F88*J$8+'Costs 02'!H311*'Debtors+Creditors'!$G88*J$9+'Costs 02'!G311*'Debtors+Creditors'!$H88*J$10)</f>
        <v>0</v>
      </c>
      <c r="K88" s="722">
        <f>('Costs 02'!K311*$E88+'Costs 02'!J311*'Debtors+Creditors'!$F88*K$8+'Costs 02'!I311*'Debtors+Creditors'!$G88*K$9+'Costs 02'!H311*'Debtors+Creditors'!$H88*K$10)</f>
        <v>0</v>
      </c>
      <c r="L88" s="722">
        <f>('Costs 02'!L311*$E88+'Costs 02'!K311*'Debtors+Creditors'!$F88*L$8+'Costs 02'!J311*'Debtors+Creditors'!$G88*L$9+'Costs 02'!I311*'Debtors+Creditors'!$H88*L$10)</f>
        <v>0</v>
      </c>
      <c r="M88" s="722">
        <f>('Costs 02'!M311*$E88+'Costs 02'!L311*'Debtors+Creditors'!$F88*M$8+'Costs 02'!K311*'Debtors+Creditors'!$G88*M$9+'Costs 02'!J311*'Debtors+Creditors'!$H88*M$10)</f>
        <v>0</v>
      </c>
      <c r="N88" s="722">
        <f>('Costs 02'!N311*$E88+'Costs 02'!M311*'Debtors+Creditors'!$F88*N$8+'Costs 02'!L311*'Debtors+Creditors'!$G88*N$9+'Costs 02'!K311*'Debtors+Creditors'!$H88*N$10)</f>
        <v>0</v>
      </c>
      <c r="O88" s="722">
        <f>('Costs 02'!O311*$E88+'Costs 02'!N311*'Debtors+Creditors'!$F88*O$8+'Costs 02'!M311*'Debtors+Creditors'!$G88*O$9+'Costs 02'!L311*'Debtors+Creditors'!$H88*O$10)</f>
        <v>0</v>
      </c>
      <c r="P88" s="722">
        <f>('Costs 02'!P311*$E88+'Costs 02'!O311*'Debtors+Creditors'!$F88*P$8+'Costs 02'!N311*'Debtors+Creditors'!$G88*P$9+'Costs 02'!M311*'Debtors+Creditors'!$H88*P$10)</f>
        <v>0</v>
      </c>
      <c r="Q88" s="722">
        <f>('Costs 02'!Q311*$E88+'Costs 02'!P311*'Debtors+Creditors'!$F88*Q$8+'Costs 02'!O311*'Debtors+Creditors'!$G88*Q$9+'Costs 02'!N311*'Debtors+Creditors'!$H88*Q$10)</f>
        <v>0</v>
      </c>
      <c r="R88" s="722">
        <f>('Costs 02'!R311*$E88+'Costs 02'!Q311*'Debtors+Creditors'!$F88*R$8+'Costs 02'!P311*'Debtors+Creditors'!$G88*R$9+'Costs 02'!O311*'Debtors+Creditors'!$H88*R$10)</f>
        <v>0</v>
      </c>
      <c r="S88" s="722">
        <f>('Costs 02'!S311*$E88+'Costs 02'!R311*'Debtors+Creditors'!$F88*S$8+'Costs 02'!Q311*'Debtors+Creditors'!$G88*S$9+'Costs 02'!P311*'Debtors+Creditors'!$H88*S$10)</f>
        <v>0</v>
      </c>
      <c r="T88" s="722">
        <f>('Costs 02'!T311*$E88+'Costs 02'!S311*'Debtors+Creditors'!$F88*T$8+'Costs 02'!R311*'Debtors+Creditors'!$G88*T$9+'Costs 02'!Q311*'Debtors+Creditors'!$H88*T$10)</f>
        <v>0</v>
      </c>
      <c r="U88" s="722">
        <f>('Costs 02'!U311*$E88+'Costs 02'!T311*'Debtors+Creditors'!$F88*U$8+'Costs 02'!S311*'Debtors+Creditors'!$G88*U$9+'Costs 02'!R311*'Debtors+Creditors'!$H88*U$10)</f>
        <v>0</v>
      </c>
      <c r="V88" s="722">
        <f>('Costs 02'!V311*$E88+'Costs 02'!U311*'Debtors+Creditors'!$F88*V$8+'Costs 02'!T311*'Debtors+Creditors'!$G88*V$9+'Costs 02'!S311*'Debtors+Creditors'!$H88*V$10)</f>
        <v>0</v>
      </c>
      <c r="W88" s="722">
        <f>('Costs 02'!W311*$E88+'Costs 02'!V311*'Debtors+Creditors'!$F88*W$8+'Costs 02'!U311*'Debtors+Creditors'!$G88*W$9+'Costs 02'!T311*'Debtors+Creditors'!$H88*W$10)</f>
        <v>0</v>
      </c>
      <c r="X88" s="722">
        <f>('Costs 02'!X311*$E88+'Costs 02'!W311*'Debtors+Creditors'!$F88*X$8+'Costs 02'!V311*'Debtors+Creditors'!$G88*X$9+'Costs 02'!U311*'Debtors+Creditors'!$H88*X$10)</f>
        <v>0</v>
      </c>
      <c r="Y88" s="722">
        <f>('Costs 02'!Y311*$E88+'Costs 02'!X311*'Debtors+Creditors'!$F88*Y$8+'Costs 02'!W311*'Debtors+Creditors'!$G88*Y$9+'Costs 02'!V311*'Debtors+Creditors'!$H88*Y$10)</f>
        <v>0</v>
      </c>
      <c r="Z88" s="722">
        <f>('Costs 02'!Z311*$E88+'Costs 02'!Y311*'Debtors+Creditors'!$F88*Z$8+'Costs 02'!X311*'Debtors+Creditors'!$G88*Z$9+'Costs 02'!W311*'Debtors+Creditors'!$H88*Z$10)</f>
        <v>0</v>
      </c>
      <c r="AA88" s="722">
        <f>('Costs 02'!AA311*$E88+'Costs 02'!Z311*'Debtors+Creditors'!$F88*AA$8+'Costs 02'!Y311*'Debtors+Creditors'!$G88*AA$9+'Costs 02'!X311*'Debtors+Creditors'!$H88*AA$10)</f>
        <v>0</v>
      </c>
      <c r="AB88" s="722">
        <f>('Costs 02'!AB311*$E88+'Costs 02'!AA311*'Debtors+Creditors'!$F88*AB$8+'Costs 02'!Z311*'Debtors+Creditors'!$G88*AB$9+'Costs 02'!Y311*'Debtors+Creditors'!$H88*AB$10)</f>
        <v>0</v>
      </c>
      <c r="AC88" s="722">
        <f>('Costs 02'!AC311*$E88+'Costs 02'!AB311*'Debtors+Creditors'!$F88*AC$8+'Costs 02'!AA311*'Debtors+Creditors'!$G88*AC$9+'Costs 02'!Z311*'Debtors+Creditors'!$H88*AC$10)</f>
        <v>0</v>
      </c>
      <c r="AD88" s="722">
        <f>('Costs 02'!AD311*$E88+'Costs 02'!AC311*'Debtors+Creditors'!$F88*AD$8+'Costs 02'!AB311*'Debtors+Creditors'!$G88*AD$9+'Costs 02'!AA311*'Debtors+Creditors'!$H88*AD$10)</f>
        <v>0</v>
      </c>
      <c r="AE88" s="722">
        <f>('Costs 02'!AE311*$E88+'Costs 02'!AD311*'Debtors+Creditors'!$F88*AE$8+'Costs 02'!AC311*'Debtors+Creditors'!$G88*AE$9+'Costs 02'!AB311*'Debtors+Creditors'!$H88*AE$10)</f>
        <v>0</v>
      </c>
      <c r="AF88" s="722">
        <f>('Costs 02'!AF311*$E88+'Costs 02'!AE311*'Debtors+Creditors'!$F88*AF$8+'Costs 02'!AD311*'Debtors+Creditors'!$G88*AF$9+'Costs 02'!AC311*'Debtors+Creditors'!$H88*AF$10)</f>
        <v>0</v>
      </c>
      <c r="AG88" s="722">
        <f>('Costs 02'!AG311*$E88+'Costs 02'!AF311*'Debtors+Creditors'!$F88*AG$8+'Costs 02'!AE311*'Debtors+Creditors'!$G88*AG$9+'Costs 02'!AD311*'Debtors+Creditors'!$H88*AG$10)</f>
        <v>0</v>
      </c>
    </row>
    <row r="89" spans="1:33" s="649" customFormat="1" ht="18" customHeight="1" outlineLevel="1">
      <c r="A89" s="894"/>
      <c r="B89" s="241"/>
      <c r="C89" s="24" t="str">
        <f>Product_09</f>
        <v>Spare Parts</v>
      </c>
      <c r="D89" s="8" t="str">
        <f t="shared" si="26"/>
        <v>USD</v>
      </c>
      <c r="E89" s="85">
        <f>Inputs!F149</f>
        <v>1</v>
      </c>
      <c r="F89" s="85">
        <f>Inputs!G149</f>
        <v>0</v>
      </c>
      <c r="G89" s="85">
        <f>Inputs!H149</f>
        <v>0</v>
      </c>
      <c r="H89" s="85">
        <f>Inputs!I149</f>
        <v>0</v>
      </c>
      <c r="I89" s="71">
        <f t="shared" si="27"/>
        <v>0</v>
      </c>
      <c r="J89" s="722">
        <f>('Costs 02'!J312*$E89+'Costs 02'!I312*'Debtors+Creditors'!$F89*J$8+'Costs 02'!H312*'Debtors+Creditors'!$G89*J$9+'Costs 02'!G312*'Debtors+Creditors'!$H89*J$10)</f>
        <v>0</v>
      </c>
      <c r="K89" s="722">
        <f>('Costs 02'!K312*$E89+'Costs 02'!J312*'Debtors+Creditors'!$F89*K$8+'Costs 02'!I312*'Debtors+Creditors'!$G89*K$9+'Costs 02'!H312*'Debtors+Creditors'!$H89*K$10)</f>
        <v>0</v>
      </c>
      <c r="L89" s="722">
        <f>('Costs 02'!L312*$E89+'Costs 02'!K312*'Debtors+Creditors'!$F89*L$8+'Costs 02'!J312*'Debtors+Creditors'!$G89*L$9+'Costs 02'!I312*'Debtors+Creditors'!$H89*L$10)</f>
        <v>0</v>
      </c>
      <c r="M89" s="722">
        <f>('Costs 02'!M312*$E89+'Costs 02'!L312*'Debtors+Creditors'!$F89*M$8+'Costs 02'!K312*'Debtors+Creditors'!$G89*M$9+'Costs 02'!J312*'Debtors+Creditors'!$H89*M$10)</f>
        <v>0</v>
      </c>
      <c r="N89" s="722">
        <f>('Costs 02'!N312*$E89+'Costs 02'!M312*'Debtors+Creditors'!$F89*N$8+'Costs 02'!L312*'Debtors+Creditors'!$G89*N$9+'Costs 02'!K312*'Debtors+Creditors'!$H89*N$10)</f>
        <v>0</v>
      </c>
      <c r="O89" s="722">
        <f>('Costs 02'!O312*$E89+'Costs 02'!N312*'Debtors+Creditors'!$F89*O$8+'Costs 02'!M312*'Debtors+Creditors'!$G89*O$9+'Costs 02'!L312*'Debtors+Creditors'!$H89*O$10)</f>
        <v>0</v>
      </c>
      <c r="P89" s="722">
        <f>('Costs 02'!P312*$E89+'Costs 02'!O312*'Debtors+Creditors'!$F89*P$8+'Costs 02'!N312*'Debtors+Creditors'!$G89*P$9+'Costs 02'!M312*'Debtors+Creditors'!$H89*P$10)</f>
        <v>0</v>
      </c>
      <c r="Q89" s="722">
        <f>('Costs 02'!Q312*$E89+'Costs 02'!P312*'Debtors+Creditors'!$F89*Q$8+'Costs 02'!O312*'Debtors+Creditors'!$G89*Q$9+'Costs 02'!N312*'Debtors+Creditors'!$H89*Q$10)</f>
        <v>0</v>
      </c>
      <c r="R89" s="722">
        <f>('Costs 02'!R312*$E89+'Costs 02'!Q312*'Debtors+Creditors'!$F89*R$8+'Costs 02'!P312*'Debtors+Creditors'!$G89*R$9+'Costs 02'!O312*'Debtors+Creditors'!$H89*R$10)</f>
        <v>0</v>
      </c>
      <c r="S89" s="722">
        <f>('Costs 02'!S312*$E89+'Costs 02'!R312*'Debtors+Creditors'!$F89*S$8+'Costs 02'!Q312*'Debtors+Creditors'!$G89*S$9+'Costs 02'!P312*'Debtors+Creditors'!$H89*S$10)</f>
        <v>0</v>
      </c>
      <c r="T89" s="722">
        <f>('Costs 02'!T312*$E89+'Costs 02'!S312*'Debtors+Creditors'!$F89*T$8+'Costs 02'!R312*'Debtors+Creditors'!$G89*T$9+'Costs 02'!Q312*'Debtors+Creditors'!$H89*T$10)</f>
        <v>0</v>
      </c>
      <c r="U89" s="722">
        <f>('Costs 02'!U312*$E89+'Costs 02'!T312*'Debtors+Creditors'!$F89*U$8+'Costs 02'!S312*'Debtors+Creditors'!$G89*U$9+'Costs 02'!R312*'Debtors+Creditors'!$H89*U$10)</f>
        <v>0</v>
      </c>
      <c r="V89" s="722">
        <f>('Costs 02'!V312*$E89+'Costs 02'!U312*'Debtors+Creditors'!$F89*V$8+'Costs 02'!T312*'Debtors+Creditors'!$G89*V$9+'Costs 02'!S312*'Debtors+Creditors'!$H89*V$10)</f>
        <v>0</v>
      </c>
      <c r="W89" s="722">
        <f>('Costs 02'!W312*$E89+'Costs 02'!V312*'Debtors+Creditors'!$F89*W$8+'Costs 02'!U312*'Debtors+Creditors'!$G89*W$9+'Costs 02'!T312*'Debtors+Creditors'!$H89*W$10)</f>
        <v>0</v>
      </c>
      <c r="X89" s="722">
        <f>('Costs 02'!X312*$E89+'Costs 02'!W312*'Debtors+Creditors'!$F89*X$8+'Costs 02'!V312*'Debtors+Creditors'!$G89*X$9+'Costs 02'!U312*'Debtors+Creditors'!$H89*X$10)</f>
        <v>0</v>
      </c>
      <c r="Y89" s="722">
        <f>('Costs 02'!Y312*$E89+'Costs 02'!X312*'Debtors+Creditors'!$F89*Y$8+'Costs 02'!W312*'Debtors+Creditors'!$G89*Y$9+'Costs 02'!V312*'Debtors+Creditors'!$H89*Y$10)</f>
        <v>0</v>
      </c>
      <c r="Z89" s="722">
        <f>('Costs 02'!Z312*$E89+'Costs 02'!Y312*'Debtors+Creditors'!$F89*Z$8+'Costs 02'!X312*'Debtors+Creditors'!$G89*Z$9+'Costs 02'!W312*'Debtors+Creditors'!$H89*Z$10)</f>
        <v>0</v>
      </c>
      <c r="AA89" s="722">
        <f>('Costs 02'!AA312*$E89+'Costs 02'!Z312*'Debtors+Creditors'!$F89*AA$8+'Costs 02'!Y312*'Debtors+Creditors'!$G89*AA$9+'Costs 02'!X312*'Debtors+Creditors'!$H89*AA$10)</f>
        <v>0</v>
      </c>
      <c r="AB89" s="722">
        <f>('Costs 02'!AB312*$E89+'Costs 02'!AA312*'Debtors+Creditors'!$F89*AB$8+'Costs 02'!Z312*'Debtors+Creditors'!$G89*AB$9+'Costs 02'!Y312*'Debtors+Creditors'!$H89*AB$10)</f>
        <v>0</v>
      </c>
      <c r="AC89" s="722">
        <f>('Costs 02'!AC312*$E89+'Costs 02'!AB312*'Debtors+Creditors'!$F89*AC$8+'Costs 02'!AA312*'Debtors+Creditors'!$G89*AC$9+'Costs 02'!Z312*'Debtors+Creditors'!$H89*AC$10)</f>
        <v>0</v>
      </c>
      <c r="AD89" s="722">
        <f>('Costs 02'!AD312*$E89+'Costs 02'!AC312*'Debtors+Creditors'!$F89*AD$8+'Costs 02'!AB312*'Debtors+Creditors'!$G89*AD$9+'Costs 02'!AA312*'Debtors+Creditors'!$H89*AD$10)</f>
        <v>0</v>
      </c>
      <c r="AE89" s="722">
        <f>('Costs 02'!AE312*$E89+'Costs 02'!AD312*'Debtors+Creditors'!$F89*AE$8+'Costs 02'!AC312*'Debtors+Creditors'!$G89*AE$9+'Costs 02'!AB312*'Debtors+Creditors'!$H89*AE$10)</f>
        <v>0</v>
      </c>
      <c r="AF89" s="722">
        <f>('Costs 02'!AF312*$E89+'Costs 02'!AE312*'Debtors+Creditors'!$F89*AF$8+'Costs 02'!AD312*'Debtors+Creditors'!$G89*AF$9+'Costs 02'!AC312*'Debtors+Creditors'!$H89*AF$10)</f>
        <v>0</v>
      </c>
      <c r="AG89" s="722">
        <f>('Costs 02'!AG312*$E89+'Costs 02'!AF312*'Debtors+Creditors'!$F89*AG$8+'Costs 02'!AE312*'Debtors+Creditors'!$G89*AG$9+'Costs 02'!AD312*'Debtors+Creditors'!$H89*AG$10)</f>
        <v>0</v>
      </c>
    </row>
    <row r="90" spans="1:33" s="649" customFormat="1" ht="18" customHeight="1" outlineLevel="1">
      <c r="A90" s="894"/>
      <c r="B90" s="241"/>
      <c r="C90" s="24" t="str">
        <f>Product_10</f>
        <v>License Fees</v>
      </c>
      <c r="D90" s="8" t="str">
        <f t="shared" si="26"/>
        <v>USD</v>
      </c>
      <c r="E90" s="85">
        <f>Inputs!F150</f>
        <v>1</v>
      </c>
      <c r="F90" s="85">
        <f>Inputs!G150</f>
        <v>0</v>
      </c>
      <c r="G90" s="85">
        <f>Inputs!H150</f>
        <v>0</v>
      </c>
      <c r="H90" s="85">
        <f>Inputs!I150</f>
        <v>0</v>
      </c>
      <c r="I90" s="71">
        <f t="shared" si="27"/>
        <v>0</v>
      </c>
      <c r="J90" s="722">
        <f>('Costs 02'!J313*$E90+'Costs 02'!I313*'Debtors+Creditors'!$F90*J$8+'Costs 02'!H313*'Debtors+Creditors'!$G90*J$9+'Costs 02'!G313*'Debtors+Creditors'!$H90*J$10)</f>
        <v>0</v>
      </c>
      <c r="K90" s="722">
        <f>('Costs 02'!K313*$E90+'Costs 02'!J313*'Debtors+Creditors'!$F90*K$8+'Costs 02'!I313*'Debtors+Creditors'!$G90*K$9+'Costs 02'!H313*'Debtors+Creditors'!$H90*K$10)</f>
        <v>0</v>
      </c>
      <c r="L90" s="722">
        <f>('Costs 02'!L313*$E90+'Costs 02'!K313*'Debtors+Creditors'!$F90*L$8+'Costs 02'!J313*'Debtors+Creditors'!$G90*L$9+'Costs 02'!I313*'Debtors+Creditors'!$H90*L$10)</f>
        <v>0</v>
      </c>
      <c r="M90" s="722">
        <f>('Costs 02'!M313*$E90+'Costs 02'!L313*'Debtors+Creditors'!$F90*M$8+'Costs 02'!K313*'Debtors+Creditors'!$G90*M$9+'Costs 02'!J313*'Debtors+Creditors'!$H90*M$10)</f>
        <v>0</v>
      </c>
      <c r="N90" s="722">
        <f>('Costs 02'!N313*$E90+'Costs 02'!M313*'Debtors+Creditors'!$F90*N$8+'Costs 02'!L313*'Debtors+Creditors'!$G90*N$9+'Costs 02'!K313*'Debtors+Creditors'!$H90*N$10)</f>
        <v>0</v>
      </c>
      <c r="O90" s="722">
        <f>('Costs 02'!O313*$E90+'Costs 02'!N313*'Debtors+Creditors'!$F90*O$8+'Costs 02'!M313*'Debtors+Creditors'!$G90*O$9+'Costs 02'!L313*'Debtors+Creditors'!$H90*O$10)</f>
        <v>0</v>
      </c>
      <c r="P90" s="722">
        <f>('Costs 02'!P313*$E90+'Costs 02'!O313*'Debtors+Creditors'!$F90*P$8+'Costs 02'!N313*'Debtors+Creditors'!$G90*P$9+'Costs 02'!M313*'Debtors+Creditors'!$H90*P$10)</f>
        <v>0</v>
      </c>
      <c r="Q90" s="722">
        <f>('Costs 02'!Q313*$E90+'Costs 02'!P313*'Debtors+Creditors'!$F90*Q$8+'Costs 02'!O313*'Debtors+Creditors'!$G90*Q$9+'Costs 02'!N313*'Debtors+Creditors'!$H90*Q$10)</f>
        <v>0</v>
      </c>
      <c r="R90" s="722">
        <f>('Costs 02'!R313*$E90+'Costs 02'!Q313*'Debtors+Creditors'!$F90*R$8+'Costs 02'!P313*'Debtors+Creditors'!$G90*R$9+'Costs 02'!O313*'Debtors+Creditors'!$H90*R$10)</f>
        <v>0</v>
      </c>
      <c r="S90" s="722">
        <f>('Costs 02'!S313*$E90+'Costs 02'!R313*'Debtors+Creditors'!$F90*S$8+'Costs 02'!Q313*'Debtors+Creditors'!$G90*S$9+'Costs 02'!P313*'Debtors+Creditors'!$H90*S$10)</f>
        <v>0</v>
      </c>
      <c r="T90" s="722">
        <f>('Costs 02'!T313*$E90+'Costs 02'!S313*'Debtors+Creditors'!$F90*T$8+'Costs 02'!R313*'Debtors+Creditors'!$G90*T$9+'Costs 02'!Q313*'Debtors+Creditors'!$H90*T$10)</f>
        <v>0</v>
      </c>
      <c r="U90" s="722">
        <f>('Costs 02'!U313*$E90+'Costs 02'!T313*'Debtors+Creditors'!$F90*U$8+'Costs 02'!S313*'Debtors+Creditors'!$G90*U$9+'Costs 02'!R313*'Debtors+Creditors'!$H90*U$10)</f>
        <v>0</v>
      </c>
      <c r="V90" s="722">
        <f>('Costs 02'!V313*$E90+'Costs 02'!U313*'Debtors+Creditors'!$F90*V$8+'Costs 02'!T313*'Debtors+Creditors'!$G90*V$9+'Costs 02'!S313*'Debtors+Creditors'!$H90*V$10)</f>
        <v>0</v>
      </c>
      <c r="W90" s="722">
        <f>('Costs 02'!W313*$E90+'Costs 02'!V313*'Debtors+Creditors'!$F90*W$8+'Costs 02'!U313*'Debtors+Creditors'!$G90*W$9+'Costs 02'!T313*'Debtors+Creditors'!$H90*W$10)</f>
        <v>0</v>
      </c>
      <c r="X90" s="722">
        <f>('Costs 02'!X313*$E90+'Costs 02'!W313*'Debtors+Creditors'!$F90*X$8+'Costs 02'!V313*'Debtors+Creditors'!$G90*X$9+'Costs 02'!U313*'Debtors+Creditors'!$H90*X$10)</f>
        <v>0</v>
      </c>
      <c r="Y90" s="722">
        <f>('Costs 02'!Y313*$E90+'Costs 02'!X313*'Debtors+Creditors'!$F90*Y$8+'Costs 02'!W313*'Debtors+Creditors'!$G90*Y$9+'Costs 02'!V313*'Debtors+Creditors'!$H90*Y$10)</f>
        <v>0</v>
      </c>
      <c r="Z90" s="722">
        <f>('Costs 02'!Z313*$E90+'Costs 02'!Y313*'Debtors+Creditors'!$F90*Z$8+'Costs 02'!X313*'Debtors+Creditors'!$G90*Z$9+'Costs 02'!W313*'Debtors+Creditors'!$H90*Z$10)</f>
        <v>0</v>
      </c>
      <c r="AA90" s="722">
        <f>('Costs 02'!AA313*$E90+'Costs 02'!Z313*'Debtors+Creditors'!$F90*AA$8+'Costs 02'!Y313*'Debtors+Creditors'!$G90*AA$9+'Costs 02'!X313*'Debtors+Creditors'!$H90*AA$10)</f>
        <v>0</v>
      </c>
      <c r="AB90" s="722">
        <f>('Costs 02'!AB313*$E90+'Costs 02'!AA313*'Debtors+Creditors'!$F90*AB$8+'Costs 02'!Z313*'Debtors+Creditors'!$G90*AB$9+'Costs 02'!Y313*'Debtors+Creditors'!$H90*AB$10)</f>
        <v>0</v>
      </c>
      <c r="AC90" s="722">
        <f>('Costs 02'!AC313*$E90+'Costs 02'!AB313*'Debtors+Creditors'!$F90*AC$8+'Costs 02'!AA313*'Debtors+Creditors'!$G90*AC$9+'Costs 02'!Z313*'Debtors+Creditors'!$H90*AC$10)</f>
        <v>0</v>
      </c>
      <c r="AD90" s="722">
        <f>('Costs 02'!AD313*$E90+'Costs 02'!AC313*'Debtors+Creditors'!$F90*AD$8+'Costs 02'!AB313*'Debtors+Creditors'!$G90*AD$9+'Costs 02'!AA313*'Debtors+Creditors'!$H90*AD$10)</f>
        <v>0</v>
      </c>
      <c r="AE90" s="722">
        <f>('Costs 02'!AE313*$E90+'Costs 02'!AD313*'Debtors+Creditors'!$F90*AE$8+'Costs 02'!AC313*'Debtors+Creditors'!$G90*AE$9+'Costs 02'!AB313*'Debtors+Creditors'!$H90*AE$10)</f>
        <v>0</v>
      </c>
      <c r="AF90" s="722">
        <f>('Costs 02'!AF313*$E90+'Costs 02'!AE313*'Debtors+Creditors'!$F90*AF$8+'Costs 02'!AD313*'Debtors+Creditors'!$G90*AF$9+'Costs 02'!AC313*'Debtors+Creditors'!$H90*AF$10)</f>
        <v>0</v>
      </c>
      <c r="AG90" s="722">
        <f>('Costs 02'!AG313*$E90+'Costs 02'!AF313*'Debtors+Creditors'!$F90*AG$8+'Costs 02'!AE313*'Debtors+Creditors'!$G90*AG$9+'Costs 02'!AD313*'Debtors+Creditors'!$H90*AG$10)</f>
        <v>0</v>
      </c>
    </row>
    <row r="91" spans="1:33" s="649" customFormat="1" ht="18" customHeight="1" outlineLevel="1" thickBot="1">
      <c r="A91" s="894"/>
      <c r="B91" s="241"/>
      <c r="C91" s="121" t="s">
        <v>300</v>
      </c>
      <c r="D91" s="8" t="str">
        <f t="shared" si="26"/>
        <v>USD</v>
      </c>
      <c r="E91" s="8"/>
      <c r="F91" s="8"/>
      <c r="G91" s="8"/>
      <c r="H91" s="8"/>
      <c r="I91" s="71">
        <f t="shared" si="27"/>
        <v>44060</v>
      </c>
      <c r="J91" s="524">
        <f t="shared" ref="J91:AG91" si="28">SUM(J81:J90)</f>
        <v>1037.5</v>
      </c>
      <c r="K91" s="524">
        <f t="shared" si="28"/>
        <v>1798.5</v>
      </c>
      <c r="L91" s="524">
        <f t="shared" si="28"/>
        <v>2002</v>
      </c>
      <c r="M91" s="524">
        <f t="shared" si="28"/>
        <v>2005</v>
      </c>
      <c r="N91" s="524">
        <f t="shared" si="28"/>
        <v>2005</v>
      </c>
      <c r="O91" s="524">
        <f t="shared" si="28"/>
        <v>2005</v>
      </c>
      <c r="P91" s="524">
        <f t="shared" si="28"/>
        <v>2005</v>
      </c>
      <c r="Q91" s="524">
        <f t="shared" si="28"/>
        <v>1984</v>
      </c>
      <c r="R91" s="524">
        <f t="shared" si="28"/>
        <v>1978</v>
      </c>
      <c r="S91" s="524">
        <f t="shared" si="28"/>
        <v>2090</v>
      </c>
      <c r="T91" s="524">
        <f t="shared" si="28"/>
        <v>2205</v>
      </c>
      <c r="U91" s="524">
        <f t="shared" si="28"/>
        <v>2205</v>
      </c>
      <c r="V91" s="524">
        <f t="shared" si="28"/>
        <v>2205</v>
      </c>
      <c r="W91" s="524">
        <f t="shared" si="28"/>
        <v>2205</v>
      </c>
      <c r="X91" s="524">
        <f t="shared" si="28"/>
        <v>2205</v>
      </c>
      <c r="Y91" s="524">
        <f t="shared" si="28"/>
        <v>2205</v>
      </c>
      <c r="Z91" s="524">
        <f t="shared" si="28"/>
        <v>2205</v>
      </c>
      <c r="AA91" s="524">
        <f t="shared" si="28"/>
        <v>2205</v>
      </c>
      <c r="AB91" s="524">
        <f t="shared" si="28"/>
        <v>2205</v>
      </c>
      <c r="AC91" s="524">
        <f t="shared" si="28"/>
        <v>2147.5</v>
      </c>
      <c r="AD91" s="524">
        <f t="shared" si="28"/>
        <v>2163.5</v>
      </c>
      <c r="AE91" s="524">
        <f t="shared" si="28"/>
        <v>901</v>
      </c>
      <c r="AF91" s="524">
        <f t="shared" si="28"/>
        <v>93</v>
      </c>
      <c r="AG91" s="524">
        <f t="shared" si="28"/>
        <v>0</v>
      </c>
    </row>
    <row r="92" spans="1:33" s="649" customFormat="1" ht="18" customHeight="1" outlineLevel="1" thickTop="1">
      <c r="A92" s="894"/>
      <c r="B92" s="241"/>
      <c r="C92" s="241"/>
      <c r="D92" s="241"/>
      <c r="E92" s="241"/>
      <c r="F92" s="241"/>
      <c r="G92" s="241"/>
      <c r="H92" s="241"/>
      <c r="I92" s="241"/>
      <c r="J92" s="241"/>
      <c r="K92" s="241"/>
      <c r="L92" s="241"/>
      <c r="M92" s="241"/>
      <c r="N92" s="241"/>
      <c r="O92" s="241"/>
      <c r="P92" s="241"/>
      <c r="Q92" s="241"/>
      <c r="R92" s="241"/>
      <c r="S92" s="241"/>
      <c r="T92" s="241"/>
      <c r="U92" s="241"/>
      <c r="V92" s="241"/>
      <c r="W92" s="241"/>
      <c r="X92" s="241"/>
      <c r="Y92" s="241"/>
      <c r="Z92" s="241"/>
      <c r="AA92" s="241"/>
      <c r="AB92" s="241"/>
      <c r="AC92" s="241"/>
      <c r="AD92" s="241"/>
      <c r="AE92" s="241"/>
      <c r="AF92" s="241"/>
      <c r="AG92" s="241"/>
    </row>
    <row r="93" spans="1:33" s="649" customFormat="1" ht="18" customHeight="1" outlineLevel="1">
      <c r="A93" s="894"/>
      <c r="B93" s="241"/>
      <c r="C93" s="273" t="s">
        <v>299</v>
      </c>
      <c r="D93" s="241"/>
      <c r="E93" s="241"/>
      <c r="F93" s="241"/>
      <c r="G93" s="241"/>
      <c r="H93" s="241"/>
      <c r="I93" s="241"/>
      <c r="J93" s="287"/>
      <c r="K93" s="241"/>
      <c r="L93" s="241"/>
      <c r="M93" s="241"/>
      <c r="N93" s="241"/>
      <c r="O93" s="241"/>
      <c r="P93" s="241"/>
      <c r="Q93" s="241"/>
      <c r="R93" s="241"/>
      <c r="S93" s="241"/>
      <c r="T93" s="241"/>
      <c r="U93" s="241"/>
      <c r="V93" s="241"/>
      <c r="W93" s="241"/>
      <c r="X93" s="241"/>
      <c r="Y93" s="241"/>
      <c r="Z93" s="241"/>
      <c r="AA93" s="241"/>
      <c r="AB93" s="241"/>
      <c r="AC93" s="241"/>
      <c r="AD93" s="241"/>
      <c r="AE93" s="241"/>
      <c r="AF93" s="241"/>
      <c r="AG93" s="241"/>
    </row>
    <row r="94" spans="1:33" s="649" customFormat="1" ht="18" customHeight="1" outlineLevel="1">
      <c r="A94" s="894"/>
      <c r="B94" s="241"/>
      <c r="C94" s="649" t="s">
        <v>140</v>
      </c>
      <c r="D94" s="8" t="str">
        <f>Currency_Label</f>
        <v>USD</v>
      </c>
      <c r="E94" s="40"/>
      <c r="F94" s="40"/>
      <c r="G94" s="40"/>
      <c r="H94" s="40"/>
      <c r="I94" s="122"/>
      <c r="J94" s="720">
        <f t="shared" ref="J94" si="29">I97</f>
        <v>0</v>
      </c>
      <c r="K94" s="720">
        <f t="shared" ref="K94:AG94" si="30">J97</f>
        <v>707.5</v>
      </c>
      <c r="L94" s="720">
        <f t="shared" si="30"/>
        <v>914</v>
      </c>
      <c r="M94" s="720">
        <f t="shared" si="30"/>
        <v>917</v>
      </c>
      <c r="N94" s="720">
        <f t="shared" si="30"/>
        <v>917</v>
      </c>
      <c r="O94" s="720">
        <f t="shared" si="30"/>
        <v>917</v>
      </c>
      <c r="P94" s="720">
        <f t="shared" si="30"/>
        <v>917</v>
      </c>
      <c r="Q94" s="720">
        <f t="shared" si="30"/>
        <v>917</v>
      </c>
      <c r="R94" s="720">
        <f t="shared" si="30"/>
        <v>908</v>
      </c>
      <c r="S94" s="720">
        <f t="shared" si="30"/>
        <v>905</v>
      </c>
      <c r="T94" s="720">
        <f t="shared" si="30"/>
        <v>1020</v>
      </c>
      <c r="U94" s="720">
        <f t="shared" si="30"/>
        <v>1020</v>
      </c>
      <c r="V94" s="720">
        <f t="shared" si="30"/>
        <v>1020</v>
      </c>
      <c r="W94" s="720">
        <f t="shared" si="30"/>
        <v>1020</v>
      </c>
      <c r="X94" s="720">
        <f t="shared" si="30"/>
        <v>1020</v>
      </c>
      <c r="Y94" s="720">
        <f t="shared" si="30"/>
        <v>1020</v>
      </c>
      <c r="Z94" s="720">
        <f t="shared" si="30"/>
        <v>1020</v>
      </c>
      <c r="AA94" s="720">
        <f t="shared" si="30"/>
        <v>1020</v>
      </c>
      <c r="AB94" s="720">
        <f t="shared" si="30"/>
        <v>1020</v>
      </c>
      <c r="AC94" s="720">
        <f t="shared" si="30"/>
        <v>1020</v>
      </c>
      <c r="AD94" s="720">
        <f t="shared" si="30"/>
        <v>962.5</v>
      </c>
      <c r="AE94" s="720">
        <f t="shared" si="30"/>
        <v>994</v>
      </c>
      <c r="AF94" s="720">
        <f t="shared" si="30"/>
        <v>93</v>
      </c>
      <c r="AG94" s="720">
        <f t="shared" si="30"/>
        <v>0</v>
      </c>
    </row>
    <row r="95" spans="1:33" s="649" customFormat="1" ht="18" customHeight="1" outlineLevel="1">
      <c r="A95" s="894"/>
      <c r="B95" s="241"/>
      <c r="C95" s="93" t="s">
        <v>232</v>
      </c>
      <c r="D95" s="8" t="str">
        <f>Currency_Label</f>
        <v>USD</v>
      </c>
      <c r="E95" s="40"/>
      <c r="F95" s="40"/>
      <c r="G95" s="40"/>
      <c r="H95" s="40"/>
      <c r="I95" s="71">
        <f>SUM(J95:AG95)</f>
        <v>44060</v>
      </c>
      <c r="J95" s="720">
        <f>'Costs 02'!J314</f>
        <v>1745</v>
      </c>
      <c r="K95" s="720">
        <f>'Costs 02'!K314</f>
        <v>2005</v>
      </c>
      <c r="L95" s="720">
        <f>'Costs 02'!L314</f>
        <v>2005</v>
      </c>
      <c r="M95" s="720">
        <f>'Costs 02'!M314</f>
        <v>2005</v>
      </c>
      <c r="N95" s="720">
        <f>'Costs 02'!N314</f>
        <v>2005</v>
      </c>
      <c r="O95" s="720">
        <f>'Costs 02'!O314</f>
        <v>2005</v>
      </c>
      <c r="P95" s="720">
        <f>'Costs 02'!P314</f>
        <v>2005</v>
      </c>
      <c r="Q95" s="720">
        <f>'Costs 02'!Q314</f>
        <v>1975</v>
      </c>
      <c r="R95" s="720">
        <f>'Costs 02'!R314</f>
        <v>1975</v>
      </c>
      <c r="S95" s="720">
        <f>'Costs 02'!S314</f>
        <v>2205</v>
      </c>
      <c r="T95" s="720">
        <f>'Costs 02'!T314</f>
        <v>2205</v>
      </c>
      <c r="U95" s="720">
        <f>'Costs 02'!U314</f>
        <v>2205</v>
      </c>
      <c r="V95" s="720">
        <f>'Costs 02'!V314</f>
        <v>2205</v>
      </c>
      <c r="W95" s="720">
        <f>'Costs 02'!W314</f>
        <v>2205</v>
      </c>
      <c r="X95" s="720">
        <f>'Costs 02'!X314</f>
        <v>2205</v>
      </c>
      <c r="Y95" s="720">
        <f>'Costs 02'!Y314</f>
        <v>2205</v>
      </c>
      <c r="Z95" s="720">
        <f>'Costs 02'!Z314</f>
        <v>2205</v>
      </c>
      <c r="AA95" s="720">
        <f>'Costs 02'!AA314</f>
        <v>2205</v>
      </c>
      <c r="AB95" s="720">
        <f>'Costs 02'!AB314</f>
        <v>2205</v>
      </c>
      <c r="AC95" s="720">
        <f>'Costs 02'!AC314</f>
        <v>2090</v>
      </c>
      <c r="AD95" s="720">
        <f>'Costs 02'!AD314</f>
        <v>2195</v>
      </c>
      <c r="AE95" s="720">
        <f>'Costs 02'!AE314</f>
        <v>0</v>
      </c>
      <c r="AF95" s="720">
        <f>'Costs 02'!AF314</f>
        <v>0</v>
      </c>
      <c r="AG95" s="720">
        <f>'Costs 02'!AG314</f>
        <v>0</v>
      </c>
    </row>
    <row r="96" spans="1:33" s="649" customFormat="1" ht="18" customHeight="1" outlineLevel="1">
      <c r="A96" s="894"/>
      <c r="B96" s="241"/>
      <c r="C96" s="24" t="s">
        <v>692</v>
      </c>
      <c r="D96" s="8" t="str">
        <f>Currency_Label</f>
        <v>USD</v>
      </c>
      <c r="E96" s="40"/>
      <c r="F96" s="40"/>
      <c r="G96" s="40"/>
      <c r="H96" s="40"/>
      <c r="I96" s="71">
        <f>SUM(J96:AG96)</f>
        <v>-44060</v>
      </c>
      <c r="J96" s="720">
        <f t="shared" ref="J96:AG96" si="31">-J91</f>
        <v>-1037.5</v>
      </c>
      <c r="K96" s="720">
        <f t="shared" si="31"/>
        <v>-1798.5</v>
      </c>
      <c r="L96" s="720">
        <f t="shared" si="31"/>
        <v>-2002</v>
      </c>
      <c r="M96" s="720">
        <f t="shared" si="31"/>
        <v>-2005</v>
      </c>
      <c r="N96" s="720">
        <f t="shared" si="31"/>
        <v>-2005</v>
      </c>
      <c r="O96" s="720">
        <f t="shared" si="31"/>
        <v>-2005</v>
      </c>
      <c r="P96" s="720">
        <f t="shared" si="31"/>
        <v>-2005</v>
      </c>
      <c r="Q96" s="720">
        <f t="shared" si="31"/>
        <v>-1984</v>
      </c>
      <c r="R96" s="720">
        <f t="shared" si="31"/>
        <v>-1978</v>
      </c>
      <c r="S96" s="720">
        <f t="shared" si="31"/>
        <v>-2090</v>
      </c>
      <c r="T96" s="720">
        <f t="shared" si="31"/>
        <v>-2205</v>
      </c>
      <c r="U96" s="720">
        <f t="shared" si="31"/>
        <v>-2205</v>
      </c>
      <c r="V96" s="720">
        <f t="shared" si="31"/>
        <v>-2205</v>
      </c>
      <c r="W96" s="720">
        <f t="shared" si="31"/>
        <v>-2205</v>
      </c>
      <c r="X96" s="720">
        <f t="shared" si="31"/>
        <v>-2205</v>
      </c>
      <c r="Y96" s="720">
        <f t="shared" si="31"/>
        <v>-2205</v>
      </c>
      <c r="Z96" s="720">
        <f t="shared" si="31"/>
        <v>-2205</v>
      </c>
      <c r="AA96" s="720">
        <f t="shared" si="31"/>
        <v>-2205</v>
      </c>
      <c r="AB96" s="720">
        <f t="shared" si="31"/>
        <v>-2205</v>
      </c>
      <c r="AC96" s="720">
        <f t="shared" si="31"/>
        <v>-2147.5</v>
      </c>
      <c r="AD96" s="720">
        <f t="shared" si="31"/>
        <v>-2163.5</v>
      </c>
      <c r="AE96" s="720">
        <f t="shared" si="31"/>
        <v>-901</v>
      </c>
      <c r="AF96" s="720">
        <f t="shared" si="31"/>
        <v>-93</v>
      </c>
      <c r="AG96" s="720">
        <f t="shared" si="31"/>
        <v>0</v>
      </c>
    </row>
    <row r="97" spans="1:33" s="649" customFormat="1" ht="18" customHeight="1" outlineLevel="1" thickBot="1">
      <c r="A97" s="894"/>
      <c r="B97" s="241"/>
      <c r="C97" s="649" t="s">
        <v>141</v>
      </c>
      <c r="D97" s="8" t="str">
        <f>Currency_Label</f>
        <v>USD</v>
      </c>
      <c r="E97" s="40"/>
      <c r="F97" s="40"/>
      <c r="G97" s="40"/>
      <c r="H97" s="696"/>
      <c r="I97" s="702"/>
      <c r="J97" s="524">
        <f t="shared" ref="J97:AG97" si="32">IF(ABS(SUM(J94:J96))&lt;0.001,0,SUM(J94:J96))</f>
        <v>707.5</v>
      </c>
      <c r="K97" s="524">
        <f t="shared" si="32"/>
        <v>914</v>
      </c>
      <c r="L97" s="524">
        <f t="shared" si="32"/>
        <v>917</v>
      </c>
      <c r="M97" s="524">
        <f t="shared" si="32"/>
        <v>917</v>
      </c>
      <c r="N97" s="524">
        <f t="shared" si="32"/>
        <v>917</v>
      </c>
      <c r="O97" s="524">
        <f t="shared" si="32"/>
        <v>917</v>
      </c>
      <c r="P97" s="524">
        <f t="shared" si="32"/>
        <v>917</v>
      </c>
      <c r="Q97" s="524">
        <f t="shared" si="32"/>
        <v>908</v>
      </c>
      <c r="R97" s="524">
        <f t="shared" si="32"/>
        <v>905</v>
      </c>
      <c r="S97" s="524">
        <f t="shared" si="32"/>
        <v>1020</v>
      </c>
      <c r="T97" s="524">
        <f t="shared" si="32"/>
        <v>1020</v>
      </c>
      <c r="U97" s="524">
        <f t="shared" si="32"/>
        <v>1020</v>
      </c>
      <c r="V97" s="524">
        <f t="shared" si="32"/>
        <v>1020</v>
      </c>
      <c r="W97" s="524">
        <f t="shared" si="32"/>
        <v>1020</v>
      </c>
      <c r="X97" s="524">
        <f t="shared" si="32"/>
        <v>1020</v>
      </c>
      <c r="Y97" s="524">
        <f t="shared" si="32"/>
        <v>1020</v>
      </c>
      <c r="Z97" s="524">
        <f t="shared" si="32"/>
        <v>1020</v>
      </c>
      <c r="AA97" s="524">
        <f t="shared" si="32"/>
        <v>1020</v>
      </c>
      <c r="AB97" s="524">
        <f t="shared" si="32"/>
        <v>1020</v>
      </c>
      <c r="AC97" s="524">
        <f t="shared" si="32"/>
        <v>962.5</v>
      </c>
      <c r="AD97" s="524">
        <f t="shared" si="32"/>
        <v>994</v>
      </c>
      <c r="AE97" s="524">
        <f t="shared" si="32"/>
        <v>93</v>
      </c>
      <c r="AF97" s="524">
        <f t="shared" si="32"/>
        <v>0</v>
      </c>
      <c r="AG97" s="524">
        <f t="shared" si="32"/>
        <v>0</v>
      </c>
    </row>
    <row r="98" spans="1:33" s="649" customFormat="1" ht="18" customHeight="1" outlineLevel="1" thickTop="1">
      <c r="A98" s="894"/>
      <c r="B98" s="279"/>
      <c r="C98" s="279"/>
      <c r="D98" s="275"/>
      <c r="E98" s="128"/>
      <c r="F98" s="128"/>
      <c r="G98" s="128"/>
      <c r="H98" s="128"/>
      <c r="I98" s="128"/>
      <c r="J98" s="332"/>
      <c r="K98" s="332"/>
      <c r="L98" s="332"/>
      <c r="M98" s="332"/>
      <c r="N98" s="332"/>
      <c r="O98" s="332"/>
      <c r="P98" s="332"/>
      <c r="Q98" s="332"/>
      <c r="R98" s="332"/>
      <c r="S98" s="332"/>
      <c r="T98" s="332"/>
      <c r="U98" s="332"/>
      <c r="V98" s="332"/>
      <c r="W98" s="332"/>
      <c r="X98" s="332"/>
      <c r="Y98" s="332"/>
      <c r="Z98" s="332"/>
      <c r="AA98" s="332"/>
      <c r="AB98" s="332"/>
      <c r="AC98" s="332"/>
      <c r="AD98" s="332"/>
      <c r="AE98" s="332"/>
      <c r="AF98" s="332"/>
      <c r="AG98" s="332"/>
    </row>
    <row r="99" spans="1:33" s="649" customFormat="1" ht="18" customHeight="1" outlineLevel="1">
      <c r="A99" s="894"/>
      <c r="B99" s="279"/>
      <c r="C99" s="279"/>
      <c r="D99" s="275"/>
      <c r="E99" s="128"/>
      <c r="F99" s="128"/>
      <c r="G99" s="128"/>
      <c r="H99" s="128"/>
      <c r="I99" s="128"/>
      <c r="J99" s="332"/>
      <c r="K99" s="332"/>
      <c r="L99" s="332"/>
      <c r="M99" s="332"/>
      <c r="N99" s="332"/>
      <c r="O99" s="332"/>
      <c r="P99" s="332"/>
      <c r="Q99" s="332"/>
      <c r="R99" s="332"/>
      <c r="S99" s="332"/>
      <c r="T99" s="332"/>
      <c r="U99" s="332"/>
      <c r="V99" s="332"/>
      <c r="W99" s="332"/>
      <c r="X99" s="332"/>
      <c r="Y99" s="332"/>
      <c r="Z99" s="332"/>
      <c r="AA99" s="332"/>
      <c r="AB99" s="332"/>
      <c r="AC99" s="332"/>
      <c r="AD99" s="332"/>
      <c r="AE99" s="332"/>
      <c r="AF99" s="332"/>
      <c r="AG99" s="332"/>
    </row>
    <row r="100" spans="1:33" s="649" customFormat="1" ht="18" customHeight="1" outlineLevel="1">
      <c r="A100" s="894"/>
      <c r="B100" s="279">
        <v>3</v>
      </c>
      <c r="C100" s="279" t="str">
        <f>CHOOSE(language,"Other Direct Costs","Other Direct Expenses")</f>
        <v>Other Direct Expenses</v>
      </c>
      <c r="D100" s="275"/>
      <c r="E100" s="128"/>
      <c r="F100" s="128"/>
      <c r="G100" s="128"/>
      <c r="H100" s="128"/>
      <c r="I100" s="128"/>
      <c r="J100" s="332"/>
      <c r="K100" s="332"/>
      <c r="L100" s="332"/>
      <c r="M100" s="332"/>
      <c r="N100" s="332"/>
      <c r="O100" s="332"/>
      <c r="P100" s="332"/>
      <c r="Q100" s="332"/>
      <c r="R100" s="332"/>
      <c r="S100" s="332"/>
      <c r="T100" s="332"/>
      <c r="U100" s="332"/>
      <c r="V100" s="332"/>
      <c r="W100" s="332"/>
      <c r="X100" s="332"/>
      <c r="Y100" s="332"/>
      <c r="Z100" s="332"/>
      <c r="AA100" s="332"/>
      <c r="AB100" s="332"/>
      <c r="AC100" s="332"/>
      <c r="AD100" s="332"/>
      <c r="AE100" s="332"/>
      <c r="AF100" s="332"/>
      <c r="AG100" s="332"/>
    </row>
    <row r="101" spans="1:33" s="649" customFormat="1" ht="18" customHeight="1" outlineLevel="1">
      <c r="A101" s="894"/>
      <c r="B101" s="287"/>
      <c r="C101" s="273" t="str">
        <f>CHOOSE(language,"Other Direct Costs (w/o revenue share) =&gt; cash out","Other Direct Expenses (w/o revenue share) =&gt; cash out")</f>
        <v>Other Direct Expenses (w/o revenue share) =&gt; cash out</v>
      </c>
      <c r="D101" s="342"/>
      <c r="E101" s="241"/>
      <c r="F101" s="713"/>
      <c r="G101" s="241"/>
      <c r="H101" s="241"/>
      <c r="I101" s="241"/>
      <c r="J101" s="241"/>
      <c r="K101" s="241"/>
      <c r="L101" s="241"/>
      <c r="M101" s="241"/>
      <c r="N101" s="241"/>
      <c r="O101" s="241"/>
      <c r="P101" s="241"/>
      <c r="Q101" s="241"/>
      <c r="R101" s="241"/>
      <c r="S101" s="241"/>
      <c r="T101" s="241"/>
      <c r="U101" s="241"/>
      <c r="V101" s="241"/>
      <c r="W101" s="241"/>
      <c r="X101" s="241"/>
      <c r="Y101" s="241"/>
      <c r="Z101" s="241"/>
      <c r="AA101" s="241"/>
      <c r="AB101" s="241"/>
      <c r="AC101" s="241"/>
      <c r="AD101" s="241"/>
      <c r="AE101" s="241"/>
      <c r="AF101" s="241"/>
      <c r="AG101" s="241"/>
    </row>
    <row r="102" spans="1:33" s="649" customFormat="1" ht="18" customHeight="1" outlineLevel="1">
      <c r="A102" s="894"/>
      <c r="B102" s="287"/>
      <c r="C102" s="717" t="str">
        <f>'Costs 02'!C316</f>
        <v>Energy costs (of production &amp; manufacturing)</v>
      </c>
      <c r="D102" s="342"/>
      <c r="E102" s="688" t="s">
        <v>244</v>
      </c>
      <c r="F102" s="713"/>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E102" s="287"/>
      <c r="AF102" s="287"/>
      <c r="AG102" s="287"/>
    </row>
    <row r="103" spans="1:33" s="649" customFormat="1" ht="18" customHeight="1" outlineLevel="1">
      <c r="A103" s="894"/>
      <c r="B103" s="287"/>
      <c r="C103" s="24" t="str">
        <f>'Costs 02'!C317</f>
        <v>Utilities</v>
      </c>
      <c r="D103" s="8" t="str">
        <f>Currency_Label</f>
        <v>USD</v>
      </c>
      <c r="E103" s="714">
        <f>'Costs 02'!F317</f>
        <v>0</v>
      </c>
      <c r="F103" s="894"/>
      <c r="G103" s="241"/>
      <c r="H103" s="241"/>
      <c r="I103" s="71">
        <f ca="1">SUM(J103:AG103)</f>
        <v>35719.251808032837</v>
      </c>
      <c r="J103" s="722">
        <f ca="1">IF(EOMONTH(Enddatum,$E103+1)&lt;=J$5,0,IF(J$7&gt;$E103,OFFSET('Costs 02'!J317,0,-$E103),0))</f>
        <v>1000</v>
      </c>
      <c r="K103" s="722">
        <f ca="1">IF(EOMONTH(Enddatum,$E103+1)&lt;=K$5,0,IF(K$7&gt;$E103,OFFSET('Costs 02'!K317,0,-$E103),0))</f>
        <v>1050</v>
      </c>
      <c r="L103" s="722">
        <f ca="1">IF(EOMONTH(Enddatum,$E103+1)&lt;=L$5,0,IF(L$7&gt;$E103,OFFSET('Costs 02'!L317,0,-$E103),0))</f>
        <v>1102.5</v>
      </c>
      <c r="M103" s="722">
        <f ca="1">IF(EOMONTH(Enddatum,$E103+1)&lt;=M$5,0,IF(M$7&gt;$E103,OFFSET('Costs 02'!M317,0,-$E103),0))</f>
        <v>1157.625</v>
      </c>
      <c r="N103" s="722">
        <f ca="1">IF(EOMONTH(Enddatum,$E103+1)&lt;=N$5,0,IF(N$7&gt;$E103,OFFSET('Costs 02'!N317,0,-$E103),0))</f>
        <v>1215.5062500000001</v>
      </c>
      <c r="O103" s="722">
        <f ca="1">IF(EOMONTH(Enddatum,$E103+1)&lt;=O$5,0,IF(O$7&gt;$E103,OFFSET('Costs 02'!O317,0,-$E103),0))</f>
        <v>1276.2815625000003</v>
      </c>
      <c r="P103" s="722">
        <f ca="1">IF(EOMONTH(Enddatum,$E103+1)&lt;=P$5,0,IF(P$7&gt;$E103,OFFSET('Costs 02'!P317,0,-$E103),0))</f>
        <v>1340.0956406250004</v>
      </c>
      <c r="Q103" s="722">
        <f ca="1">IF(EOMONTH(Enddatum,$E103+1)&lt;=Q$5,0,IF(Q$7&gt;$E103,OFFSET('Costs 02'!Q317,0,-$E103),0))</f>
        <v>1407.1004226562504</v>
      </c>
      <c r="R103" s="722">
        <f ca="1">IF(EOMONTH(Enddatum,$E103+1)&lt;=R$5,0,IF(R$7&gt;$E103,OFFSET('Costs 02'!R317,0,-$E103),0))</f>
        <v>1477.4554437890631</v>
      </c>
      <c r="S103" s="722">
        <f ca="1">IF(EOMONTH(Enddatum,$E103+1)&lt;=S$5,0,IF(S$7&gt;$E103,OFFSET('Costs 02'!S317,0,-$E103),0))</f>
        <v>1551.3282159785163</v>
      </c>
      <c r="T103" s="722">
        <f ca="1">IF(EOMONTH(Enddatum,$E103+1)&lt;=T$5,0,IF(T$7&gt;$E103,OFFSET('Costs 02'!T317,0,-$E103),0))</f>
        <v>1628.8946267774422</v>
      </c>
      <c r="U103" s="722">
        <f ca="1">IF(EOMONTH(Enddatum,$E103+1)&lt;=U$5,0,IF(U$7&gt;$E103,OFFSET('Costs 02'!U317,0,-$E103),0))</f>
        <v>1710.3393581163143</v>
      </c>
      <c r="V103" s="722">
        <f ca="1">IF(EOMONTH(Enddatum,$E103+1)&lt;=V$5,0,IF(V$7&gt;$E103,OFFSET('Costs 02'!V317,0,-$E103),0))</f>
        <v>1795.8563260221301</v>
      </c>
      <c r="W103" s="722">
        <f ca="1">IF(EOMONTH(Enddatum,$E103+1)&lt;=W$5,0,IF(W$7&gt;$E103,OFFSET('Costs 02'!W317,0,-$E103),0))</f>
        <v>1885.6491423232367</v>
      </c>
      <c r="X103" s="722">
        <f ca="1">IF(EOMONTH(Enddatum,$E103+1)&lt;=X$5,0,IF(X$7&gt;$E103,OFFSET('Costs 02'!X317,0,-$E103),0))</f>
        <v>1979.9315994393985</v>
      </c>
      <c r="Y103" s="722">
        <f ca="1">IF(EOMONTH(Enddatum,$E103+1)&lt;=Y$5,0,IF(Y$7&gt;$E103,OFFSET('Costs 02'!Y317,0,-$E103),0))</f>
        <v>2078.9281794113685</v>
      </c>
      <c r="Z103" s="722">
        <f ca="1">IF(EOMONTH(Enddatum,$E103+1)&lt;=Z$5,0,IF(Z$7&gt;$E103,OFFSET('Costs 02'!Z317,0,-$E103),0))</f>
        <v>2182.874588381937</v>
      </c>
      <c r="AA103" s="722">
        <f ca="1">IF(EOMONTH(Enddatum,$E103+1)&lt;=AA$5,0,IF(AA$7&gt;$E103,OFFSET('Costs 02'!AA317,0,-$E103),0))</f>
        <v>2292.0183178010338</v>
      </c>
      <c r="AB103" s="722">
        <f ca="1">IF(EOMONTH(Enddatum,$E103+1)&lt;=AB$5,0,IF(AB$7&gt;$E103,OFFSET('Costs 02'!AB317,0,-$E103),0))</f>
        <v>2406.6192336910858</v>
      </c>
      <c r="AC103" s="722">
        <f ca="1">IF(EOMONTH(Enddatum,$E103+1)&lt;=AC$5,0,IF(AC$7&gt;$E103,OFFSET('Costs 02'!AC317,0,-$E103),0))</f>
        <v>2526.9501953756403</v>
      </c>
      <c r="AD103" s="722">
        <f ca="1">IF(EOMONTH(Enddatum,$E103+1)&lt;=AD$5,0,IF(AD$7&gt;$E103,OFFSET('Costs 02'!AD317,0,-$E103),0))</f>
        <v>2653.2977051444223</v>
      </c>
      <c r="AE103" s="722">
        <f ca="1">IF(EOMONTH(Enddatum,$E103+1)&lt;=AE$5,0,IF(AE$7&gt;$E103,OFFSET('Costs 02'!AE317,0,-$E103),0))</f>
        <v>0</v>
      </c>
      <c r="AF103" s="722">
        <f ca="1">IF(EOMONTH(Enddatum,$E103+1)&lt;=AF$5,0,IF(AF$7&gt;$E103,OFFSET('Costs 02'!AF317,0,-$E103),0))</f>
        <v>0</v>
      </c>
      <c r="AG103" s="722">
        <f ca="1">IF(EOMONTH(Enddatum,$E103+1)&lt;=AG$5,0,IF(AG$7&gt;$E103,OFFSET('Costs 02'!AG317,0,-$E103),0))</f>
        <v>0</v>
      </c>
    </row>
    <row r="104" spans="1:33" s="649" customFormat="1" ht="18" customHeight="1" outlineLevel="1">
      <c r="A104" s="894"/>
      <c r="B104" s="287"/>
      <c r="C104" s="24" t="str">
        <f>'Costs 02'!C318</f>
        <v>Gas</v>
      </c>
      <c r="D104" s="8" t="str">
        <f>Currency_Label</f>
        <v>USD</v>
      </c>
      <c r="E104" s="714">
        <f>'Costs 02'!F318</f>
        <v>0</v>
      </c>
      <c r="F104" s="894"/>
      <c r="G104" s="287"/>
      <c r="H104" s="287"/>
      <c r="I104" s="71">
        <f ca="1">SUM(J104:AG104)</f>
        <v>4200</v>
      </c>
      <c r="J104" s="722">
        <f ca="1">IF(EOMONTH(Enddatum,$E104+1)&lt;=J$5,0,IF(J$7&gt;$E104,OFFSET('Costs 02'!J318,0,-$E104),0))</f>
        <v>200</v>
      </c>
      <c r="K104" s="722">
        <f ca="1">IF(EOMONTH(Enddatum,$E104+1)&lt;=K$5,0,IF(K$7&gt;$E104,OFFSET('Costs 02'!K318,0,-$E104),0))</f>
        <v>200</v>
      </c>
      <c r="L104" s="722">
        <f ca="1">IF(EOMONTH(Enddatum,$E104+1)&lt;=L$5,0,IF(L$7&gt;$E104,OFFSET('Costs 02'!L318,0,-$E104),0))</f>
        <v>200</v>
      </c>
      <c r="M104" s="722">
        <f ca="1">IF(EOMONTH(Enddatum,$E104+1)&lt;=M$5,0,IF(M$7&gt;$E104,OFFSET('Costs 02'!M318,0,-$E104),0))</f>
        <v>200</v>
      </c>
      <c r="N104" s="722">
        <f ca="1">IF(EOMONTH(Enddatum,$E104+1)&lt;=N$5,0,IF(N$7&gt;$E104,OFFSET('Costs 02'!N318,0,-$E104),0))</f>
        <v>200</v>
      </c>
      <c r="O104" s="722">
        <f ca="1">IF(EOMONTH(Enddatum,$E104+1)&lt;=O$5,0,IF(O$7&gt;$E104,OFFSET('Costs 02'!O318,0,-$E104),0))</f>
        <v>200</v>
      </c>
      <c r="P104" s="722">
        <f ca="1">IF(EOMONTH(Enddatum,$E104+1)&lt;=P$5,0,IF(P$7&gt;$E104,OFFSET('Costs 02'!P318,0,-$E104),0))</f>
        <v>200</v>
      </c>
      <c r="Q104" s="722">
        <f ca="1">IF(EOMONTH(Enddatum,$E104+1)&lt;=Q$5,0,IF(Q$7&gt;$E104,OFFSET('Costs 02'!Q318,0,-$E104),0))</f>
        <v>200</v>
      </c>
      <c r="R104" s="722">
        <f ca="1">IF(EOMONTH(Enddatum,$E104+1)&lt;=R$5,0,IF(R$7&gt;$E104,OFFSET('Costs 02'!R318,0,-$E104),0))</f>
        <v>200</v>
      </c>
      <c r="S104" s="722">
        <f ca="1">IF(EOMONTH(Enddatum,$E104+1)&lt;=S$5,0,IF(S$7&gt;$E104,OFFSET('Costs 02'!S318,0,-$E104),0))</f>
        <v>200</v>
      </c>
      <c r="T104" s="722">
        <f ca="1">IF(EOMONTH(Enddatum,$E104+1)&lt;=T$5,0,IF(T$7&gt;$E104,OFFSET('Costs 02'!T318,0,-$E104),0))</f>
        <v>200</v>
      </c>
      <c r="U104" s="722">
        <f ca="1">IF(EOMONTH(Enddatum,$E104+1)&lt;=U$5,0,IF(U$7&gt;$E104,OFFSET('Costs 02'!U318,0,-$E104),0))</f>
        <v>200</v>
      </c>
      <c r="V104" s="722">
        <f ca="1">IF(EOMONTH(Enddatum,$E104+1)&lt;=V$5,0,IF(V$7&gt;$E104,OFFSET('Costs 02'!V318,0,-$E104),0))</f>
        <v>200</v>
      </c>
      <c r="W104" s="722">
        <f ca="1">IF(EOMONTH(Enddatum,$E104+1)&lt;=W$5,0,IF(W$7&gt;$E104,OFFSET('Costs 02'!W318,0,-$E104),0))</f>
        <v>200</v>
      </c>
      <c r="X104" s="722">
        <f ca="1">IF(EOMONTH(Enddatum,$E104+1)&lt;=X$5,0,IF(X$7&gt;$E104,OFFSET('Costs 02'!X318,0,-$E104),0))</f>
        <v>200</v>
      </c>
      <c r="Y104" s="722">
        <f ca="1">IF(EOMONTH(Enddatum,$E104+1)&lt;=Y$5,0,IF(Y$7&gt;$E104,OFFSET('Costs 02'!Y318,0,-$E104),0))</f>
        <v>200</v>
      </c>
      <c r="Z104" s="722">
        <f ca="1">IF(EOMONTH(Enddatum,$E104+1)&lt;=Z$5,0,IF(Z$7&gt;$E104,OFFSET('Costs 02'!Z318,0,-$E104),0))</f>
        <v>200</v>
      </c>
      <c r="AA104" s="722">
        <f ca="1">IF(EOMONTH(Enddatum,$E104+1)&lt;=AA$5,0,IF(AA$7&gt;$E104,OFFSET('Costs 02'!AA318,0,-$E104),0))</f>
        <v>200</v>
      </c>
      <c r="AB104" s="722">
        <f ca="1">IF(EOMONTH(Enddatum,$E104+1)&lt;=AB$5,0,IF(AB$7&gt;$E104,OFFSET('Costs 02'!AB318,0,-$E104),0))</f>
        <v>200</v>
      </c>
      <c r="AC104" s="722">
        <f ca="1">IF(EOMONTH(Enddatum,$E104+1)&lt;=AC$5,0,IF(AC$7&gt;$E104,OFFSET('Costs 02'!AC318,0,-$E104),0))</f>
        <v>200</v>
      </c>
      <c r="AD104" s="722">
        <f ca="1">IF(EOMONTH(Enddatum,$E104+1)&lt;=AD$5,0,IF(AD$7&gt;$E104,OFFSET('Costs 02'!AD318,0,-$E104),0))</f>
        <v>200</v>
      </c>
      <c r="AE104" s="722">
        <f ca="1">IF(EOMONTH(Enddatum,$E104+1)&lt;=AE$5,0,IF(AE$7&gt;$E104,OFFSET('Costs 02'!AE318,0,-$E104),0))</f>
        <v>0</v>
      </c>
      <c r="AF104" s="722">
        <f ca="1">IF(EOMONTH(Enddatum,$E104+1)&lt;=AF$5,0,IF(AF$7&gt;$E104,OFFSET('Costs 02'!AF318,0,-$E104),0))</f>
        <v>0</v>
      </c>
      <c r="AG104" s="722">
        <f ca="1">IF(EOMONTH(Enddatum,$E104+1)&lt;=AG$5,0,IF(AG$7&gt;$E104,OFFSET('Costs 02'!AG318,0,-$E104),0))</f>
        <v>0</v>
      </c>
    </row>
    <row r="105" spans="1:33" s="649" customFormat="1" ht="18" customHeight="1" outlineLevel="1">
      <c r="A105" s="894"/>
      <c r="B105" s="287"/>
      <c r="C105" s="24" t="str">
        <f>'Costs 02'!C319</f>
        <v>Oil</v>
      </c>
      <c r="D105" s="8" t="str">
        <f>Currency_Label</f>
        <v>USD</v>
      </c>
      <c r="E105" s="714">
        <f>'Costs 02'!F319</f>
        <v>0</v>
      </c>
      <c r="F105" s="894"/>
      <c r="G105" s="287"/>
      <c r="H105" s="287"/>
      <c r="I105" s="71">
        <f ca="1">SUM(J105:AG105)</f>
        <v>0</v>
      </c>
      <c r="J105" s="722">
        <f ca="1">IF(EOMONTH(Enddatum,$E105+1)&lt;=J$5,0,IF(J$7&gt;$E105,OFFSET('Costs 02'!J319,0,-$E105),0))</f>
        <v>0</v>
      </c>
      <c r="K105" s="722">
        <f ca="1">IF(EOMONTH(Enddatum,$E105+1)&lt;=K$5,0,IF(K$7&gt;$E105,OFFSET('Costs 02'!K319,0,-$E105),0))</f>
        <v>0</v>
      </c>
      <c r="L105" s="722">
        <f ca="1">IF(EOMONTH(Enddatum,$E105+1)&lt;=L$5,0,IF(L$7&gt;$E105,OFFSET('Costs 02'!L319,0,-$E105),0))</f>
        <v>0</v>
      </c>
      <c r="M105" s="722">
        <f ca="1">IF(EOMONTH(Enddatum,$E105+1)&lt;=M$5,0,IF(M$7&gt;$E105,OFFSET('Costs 02'!M319,0,-$E105),0))</f>
        <v>0</v>
      </c>
      <c r="N105" s="722">
        <f ca="1">IF(EOMONTH(Enddatum,$E105+1)&lt;=N$5,0,IF(N$7&gt;$E105,OFFSET('Costs 02'!N319,0,-$E105),0))</f>
        <v>0</v>
      </c>
      <c r="O105" s="722">
        <f ca="1">IF(EOMONTH(Enddatum,$E105+1)&lt;=O$5,0,IF(O$7&gt;$E105,OFFSET('Costs 02'!O319,0,-$E105),0))</f>
        <v>0</v>
      </c>
      <c r="P105" s="722">
        <f ca="1">IF(EOMONTH(Enddatum,$E105+1)&lt;=P$5,0,IF(P$7&gt;$E105,OFFSET('Costs 02'!P319,0,-$E105),0))</f>
        <v>0</v>
      </c>
      <c r="Q105" s="722">
        <f ca="1">IF(EOMONTH(Enddatum,$E105+1)&lt;=Q$5,0,IF(Q$7&gt;$E105,OFFSET('Costs 02'!Q319,0,-$E105),0))</f>
        <v>0</v>
      </c>
      <c r="R105" s="722">
        <f ca="1">IF(EOMONTH(Enddatum,$E105+1)&lt;=R$5,0,IF(R$7&gt;$E105,OFFSET('Costs 02'!R319,0,-$E105),0))</f>
        <v>0</v>
      </c>
      <c r="S105" s="722">
        <f ca="1">IF(EOMONTH(Enddatum,$E105+1)&lt;=S$5,0,IF(S$7&gt;$E105,OFFSET('Costs 02'!S319,0,-$E105),0))</f>
        <v>0</v>
      </c>
      <c r="T105" s="722">
        <f ca="1">IF(EOMONTH(Enddatum,$E105+1)&lt;=T$5,0,IF(T$7&gt;$E105,OFFSET('Costs 02'!T319,0,-$E105),0))</f>
        <v>0</v>
      </c>
      <c r="U105" s="722">
        <f ca="1">IF(EOMONTH(Enddatum,$E105+1)&lt;=U$5,0,IF(U$7&gt;$E105,OFFSET('Costs 02'!U319,0,-$E105),0))</f>
        <v>0</v>
      </c>
      <c r="V105" s="722">
        <f ca="1">IF(EOMONTH(Enddatum,$E105+1)&lt;=V$5,0,IF(V$7&gt;$E105,OFFSET('Costs 02'!V319,0,-$E105),0))</f>
        <v>0</v>
      </c>
      <c r="W105" s="722">
        <f ca="1">IF(EOMONTH(Enddatum,$E105+1)&lt;=W$5,0,IF(W$7&gt;$E105,OFFSET('Costs 02'!W319,0,-$E105),0))</f>
        <v>0</v>
      </c>
      <c r="X105" s="722">
        <f ca="1">IF(EOMONTH(Enddatum,$E105+1)&lt;=X$5,0,IF(X$7&gt;$E105,OFFSET('Costs 02'!X319,0,-$E105),0))</f>
        <v>0</v>
      </c>
      <c r="Y105" s="722">
        <f ca="1">IF(EOMONTH(Enddatum,$E105+1)&lt;=Y$5,0,IF(Y$7&gt;$E105,OFFSET('Costs 02'!Y319,0,-$E105),0))</f>
        <v>0</v>
      </c>
      <c r="Z105" s="722">
        <f ca="1">IF(EOMONTH(Enddatum,$E105+1)&lt;=Z$5,0,IF(Z$7&gt;$E105,OFFSET('Costs 02'!Z319,0,-$E105),0))</f>
        <v>0</v>
      </c>
      <c r="AA105" s="722">
        <f ca="1">IF(EOMONTH(Enddatum,$E105+1)&lt;=AA$5,0,IF(AA$7&gt;$E105,OFFSET('Costs 02'!AA319,0,-$E105),0))</f>
        <v>0</v>
      </c>
      <c r="AB105" s="722">
        <f ca="1">IF(EOMONTH(Enddatum,$E105+1)&lt;=AB$5,0,IF(AB$7&gt;$E105,OFFSET('Costs 02'!AB319,0,-$E105),0))</f>
        <v>0</v>
      </c>
      <c r="AC105" s="722">
        <f ca="1">IF(EOMONTH(Enddatum,$E105+1)&lt;=AC$5,0,IF(AC$7&gt;$E105,OFFSET('Costs 02'!AC319,0,-$E105),0))</f>
        <v>0</v>
      </c>
      <c r="AD105" s="722">
        <f ca="1">IF(EOMONTH(Enddatum,$E105+1)&lt;=AD$5,0,IF(AD$7&gt;$E105,OFFSET('Costs 02'!AD319,0,-$E105),0))</f>
        <v>0</v>
      </c>
      <c r="AE105" s="722">
        <f ca="1">IF(EOMONTH(Enddatum,$E105+1)&lt;=AE$5,0,IF(AE$7&gt;$E105,OFFSET('Costs 02'!AE319,0,-$E105),0))</f>
        <v>0</v>
      </c>
      <c r="AF105" s="722">
        <f ca="1">IF(EOMONTH(Enddatum,$E105+1)&lt;=AF$5,0,IF(AF$7&gt;$E105,OFFSET('Costs 02'!AF319,0,-$E105),0))</f>
        <v>0</v>
      </c>
      <c r="AG105" s="722">
        <f ca="1">IF(EOMONTH(Enddatum,$E105+1)&lt;=AG$5,0,IF(AG$7&gt;$E105,OFFSET('Costs 02'!AG319,0,-$E105),0))</f>
        <v>0</v>
      </c>
    </row>
    <row r="106" spans="1:33" s="649" customFormat="1" ht="18" customHeight="1" outlineLevel="1">
      <c r="A106" s="894"/>
      <c r="B106" s="287"/>
      <c r="C106" s="717" t="str">
        <f>'Costs 02'!C320</f>
        <v>Third-party services</v>
      </c>
      <c r="D106" s="241"/>
      <c r="E106" s="287"/>
      <c r="F106" s="894"/>
      <c r="G106" s="287"/>
      <c r="H106" s="287"/>
      <c r="I106" s="287"/>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row>
    <row r="107" spans="1:33" s="649" customFormat="1" ht="18" customHeight="1" outlineLevel="1">
      <c r="A107" s="894"/>
      <c r="B107" s="287"/>
      <c r="C107" s="24" t="str">
        <f>'Costs 02'!C321</f>
        <v>Subcontract 01</v>
      </c>
      <c r="D107" s="8" t="str">
        <f>Currency_Label</f>
        <v>USD</v>
      </c>
      <c r="E107" s="714">
        <f>'Costs 02'!F321</f>
        <v>0</v>
      </c>
      <c r="F107" s="894"/>
      <c r="G107" s="287"/>
      <c r="H107" s="287"/>
      <c r="I107" s="71">
        <f ca="1">SUM(J107:AG107)</f>
        <v>0</v>
      </c>
      <c r="J107" s="722">
        <f ca="1">IF(EOMONTH(Enddatum,$E107+1)&lt;=J$5,0,IF(J$7&gt;$E107,OFFSET('Costs 02'!J321,0,-$E107),0))</f>
        <v>0</v>
      </c>
      <c r="K107" s="722">
        <f ca="1">IF(EOMONTH(Enddatum,$E107+1)&lt;=K$5,0,IF(K$7&gt;$E107,OFFSET('Costs 02'!K321,0,-$E107),0))</f>
        <v>0</v>
      </c>
      <c r="L107" s="722">
        <f ca="1">IF(EOMONTH(Enddatum,$E107+1)&lt;=L$5,0,IF(L$7&gt;$E107,OFFSET('Costs 02'!L321,0,-$E107),0))</f>
        <v>0</v>
      </c>
      <c r="M107" s="722">
        <f ca="1">IF(EOMONTH(Enddatum,$E107+1)&lt;=M$5,0,IF(M$7&gt;$E107,OFFSET('Costs 02'!M321,0,-$E107),0))</f>
        <v>0</v>
      </c>
      <c r="N107" s="722">
        <f ca="1">IF(EOMONTH(Enddatum,$E107+1)&lt;=N$5,0,IF(N$7&gt;$E107,OFFSET('Costs 02'!N321,0,-$E107),0))</f>
        <v>0</v>
      </c>
      <c r="O107" s="722">
        <f ca="1">IF(EOMONTH(Enddatum,$E107+1)&lt;=O$5,0,IF(O$7&gt;$E107,OFFSET('Costs 02'!O321,0,-$E107),0))</f>
        <v>0</v>
      </c>
      <c r="P107" s="722">
        <f ca="1">IF(EOMONTH(Enddatum,$E107+1)&lt;=P$5,0,IF(P$7&gt;$E107,OFFSET('Costs 02'!P321,0,-$E107),0))</f>
        <v>0</v>
      </c>
      <c r="Q107" s="722">
        <f ca="1">IF(EOMONTH(Enddatum,$E107+1)&lt;=Q$5,0,IF(Q$7&gt;$E107,OFFSET('Costs 02'!Q321,0,-$E107),0))</f>
        <v>0</v>
      </c>
      <c r="R107" s="722">
        <f ca="1">IF(EOMONTH(Enddatum,$E107+1)&lt;=R$5,0,IF(R$7&gt;$E107,OFFSET('Costs 02'!R321,0,-$E107),0))</f>
        <v>0</v>
      </c>
      <c r="S107" s="722">
        <f ca="1">IF(EOMONTH(Enddatum,$E107+1)&lt;=S$5,0,IF(S$7&gt;$E107,OFFSET('Costs 02'!S321,0,-$E107),0))</f>
        <v>0</v>
      </c>
      <c r="T107" s="722">
        <f ca="1">IF(EOMONTH(Enddatum,$E107+1)&lt;=T$5,0,IF(T$7&gt;$E107,OFFSET('Costs 02'!T321,0,-$E107),0))</f>
        <v>0</v>
      </c>
      <c r="U107" s="722">
        <f ca="1">IF(EOMONTH(Enddatum,$E107+1)&lt;=U$5,0,IF(U$7&gt;$E107,OFFSET('Costs 02'!U321,0,-$E107),0))</f>
        <v>0</v>
      </c>
      <c r="V107" s="722">
        <f ca="1">IF(EOMONTH(Enddatum,$E107+1)&lt;=V$5,0,IF(V$7&gt;$E107,OFFSET('Costs 02'!V321,0,-$E107),0))</f>
        <v>0</v>
      </c>
      <c r="W107" s="722">
        <f ca="1">IF(EOMONTH(Enddatum,$E107+1)&lt;=W$5,0,IF(W$7&gt;$E107,OFFSET('Costs 02'!W321,0,-$E107),0))</f>
        <v>0</v>
      </c>
      <c r="X107" s="722">
        <f ca="1">IF(EOMONTH(Enddatum,$E107+1)&lt;=X$5,0,IF(X$7&gt;$E107,OFFSET('Costs 02'!X321,0,-$E107),0))</f>
        <v>0</v>
      </c>
      <c r="Y107" s="722">
        <f ca="1">IF(EOMONTH(Enddatum,$E107+1)&lt;=Y$5,0,IF(Y$7&gt;$E107,OFFSET('Costs 02'!Y321,0,-$E107),0))</f>
        <v>0</v>
      </c>
      <c r="Z107" s="722">
        <f ca="1">IF(EOMONTH(Enddatum,$E107+1)&lt;=Z$5,0,IF(Z$7&gt;$E107,OFFSET('Costs 02'!Z321,0,-$E107),0))</f>
        <v>0</v>
      </c>
      <c r="AA107" s="722">
        <f ca="1">IF(EOMONTH(Enddatum,$E107+1)&lt;=AA$5,0,IF(AA$7&gt;$E107,OFFSET('Costs 02'!AA321,0,-$E107),0))</f>
        <v>0</v>
      </c>
      <c r="AB107" s="722">
        <f ca="1">IF(EOMONTH(Enddatum,$E107+1)&lt;=AB$5,0,IF(AB$7&gt;$E107,OFFSET('Costs 02'!AB321,0,-$E107),0))</f>
        <v>0</v>
      </c>
      <c r="AC107" s="722">
        <f ca="1">IF(EOMONTH(Enddatum,$E107+1)&lt;=AC$5,0,IF(AC$7&gt;$E107,OFFSET('Costs 02'!AC321,0,-$E107),0))</f>
        <v>0</v>
      </c>
      <c r="AD107" s="722">
        <f ca="1">IF(EOMONTH(Enddatum,$E107+1)&lt;=AD$5,0,IF(AD$7&gt;$E107,OFFSET('Costs 02'!AD321,0,-$E107),0))</f>
        <v>0</v>
      </c>
      <c r="AE107" s="722">
        <f ca="1">IF(EOMONTH(Enddatum,$E107+1)&lt;=AE$5,0,IF(AE$7&gt;$E107,OFFSET('Costs 02'!AE321,0,-$E107),0))</f>
        <v>0</v>
      </c>
      <c r="AF107" s="722">
        <f ca="1">IF(EOMONTH(Enddatum,$E107+1)&lt;=AF$5,0,IF(AF$7&gt;$E107,OFFSET('Costs 02'!AF321,0,-$E107),0))</f>
        <v>0</v>
      </c>
      <c r="AG107" s="722">
        <f ca="1">IF(EOMONTH(Enddatum,$E107+1)&lt;=AG$5,0,IF(AG$7&gt;$E107,OFFSET('Costs 02'!AG321,0,-$E107),0))</f>
        <v>0</v>
      </c>
    </row>
    <row r="108" spans="1:33" s="649" customFormat="1" ht="18" customHeight="1" outlineLevel="1">
      <c r="A108" s="894"/>
      <c r="B108" s="287"/>
      <c r="C108" s="24" t="str">
        <f>'Costs 02'!C322</f>
        <v>Subcontract 01</v>
      </c>
      <c r="D108" s="8" t="str">
        <f>Currency_Label</f>
        <v>USD</v>
      </c>
      <c r="E108" s="714">
        <f>'Costs 02'!F322</f>
        <v>0</v>
      </c>
      <c r="F108" s="894"/>
      <c r="G108" s="287"/>
      <c r="H108" s="287"/>
      <c r="I108" s="71">
        <f ca="1">SUM(J108:AG108)</f>
        <v>0</v>
      </c>
      <c r="J108" s="722">
        <f ca="1">IF(EOMONTH(Enddatum,$E108+1)&lt;=J$5,0,IF(J$7&gt;$E108,OFFSET('Costs 02'!J322,0,-$E108),0))</f>
        <v>0</v>
      </c>
      <c r="K108" s="722">
        <f ca="1">IF(EOMONTH(Enddatum,$E108+1)&lt;=K$5,0,IF(K$7&gt;$E108,OFFSET('Costs 02'!K322,0,-$E108),0))</f>
        <v>0</v>
      </c>
      <c r="L108" s="722">
        <f ca="1">IF(EOMONTH(Enddatum,$E108+1)&lt;=L$5,0,IF(L$7&gt;$E108,OFFSET('Costs 02'!L322,0,-$E108),0))</f>
        <v>0</v>
      </c>
      <c r="M108" s="722">
        <f ca="1">IF(EOMONTH(Enddatum,$E108+1)&lt;=M$5,0,IF(M$7&gt;$E108,OFFSET('Costs 02'!M322,0,-$E108),0))</f>
        <v>0</v>
      </c>
      <c r="N108" s="722">
        <f ca="1">IF(EOMONTH(Enddatum,$E108+1)&lt;=N$5,0,IF(N$7&gt;$E108,OFFSET('Costs 02'!N322,0,-$E108),0))</f>
        <v>0</v>
      </c>
      <c r="O108" s="722">
        <f ca="1">IF(EOMONTH(Enddatum,$E108+1)&lt;=O$5,0,IF(O$7&gt;$E108,OFFSET('Costs 02'!O322,0,-$E108),0))</f>
        <v>0</v>
      </c>
      <c r="P108" s="722">
        <f ca="1">IF(EOMONTH(Enddatum,$E108+1)&lt;=P$5,0,IF(P$7&gt;$E108,OFFSET('Costs 02'!P322,0,-$E108),0))</f>
        <v>0</v>
      </c>
      <c r="Q108" s="722">
        <f ca="1">IF(EOMONTH(Enddatum,$E108+1)&lt;=Q$5,0,IF(Q$7&gt;$E108,OFFSET('Costs 02'!Q322,0,-$E108),0))</f>
        <v>0</v>
      </c>
      <c r="R108" s="722">
        <f ca="1">IF(EOMONTH(Enddatum,$E108+1)&lt;=R$5,0,IF(R$7&gt;$E108,OFFSET('Costs 02'!R322,0,-$E108),0))</f>
        <v>0</v>
      </c>
      <c r="S108" s="722">
        <f ca="1">IF(EOMONTH(Enddatum,$E108+1)&lt;=S$5,0,IF(S$7&gt;$E108,OFFSET('Costs 02'!S322,0,-$E108),0))</f>
        <v>0</v>
      </c>
      <c r="T108" s="722">
        <f ca="1">IF(EOMONTH(Enddatum,$E108+1)&lt;=T$5,0,IF(T$7&gt;$E108,OFFSET('Costs 02'!T322,0,-$E108),0))</f>
        <v>0</v>
      </c>
      <c r="U108" s="722">
        <f ca="1">IF(EOMONTH(Enddatum,$E108+1)&lt;=U$5,0,IF(U$7&gt;$E108,OFFSET('Costs 02'!U322,0,-$E108),0))</f>
        <v>0</v>
      </c>
      <c r="V108" s="722">
        <f ca="1">IF(EOMONTH(Enddatum,$E108+1)&lt;=V$5,0,IF(V$7&gt;$E108,OFFSET('Costs 02'!V322,0,-$E108),0))</f>
        <v>0</v>
      </c>
      <c r="W108" s="722">
        <f ca="1">IF(EOMONTH(Enddatum,$E108+1)&lt;=W$5,0,IF(W$7&gt;$E108,OFFSET('Costs 02'!W322,0,-$E108),0))</f>
        <v>0</v>
      </c>
      <c r="X108" s="722">
        <f ca="1">IF(EOMONTH(Enddatum,$E108+1)&lt;=X$5,0,IF(X$7&gt;$E108,OFFSET('Costs 02'!X322,0,-$E108),0))</f>
        <v>0</v>
      </c>
      <c r="Y108" s="722">
        <f ca="1">IF(EOMONTH(Enddatum,$E108+1)&lt;=Y$5,0,IF(Y$7&gt;$E108,OFFSET('Costs 02'!Y322,0,-$E108),0))</f>
        <v>0</v>
      </c>
      <c r="Z108" s="722">
        <f ca="1">IF(EOMONTH(Enddatum,$E108+1)&lt;=Z$5,0,IF(Z$7&gt;$E108,OFFSET('Costs 02'!Z322,0,-$E108),0))</f>
        <v>0</v>
      </c>
      <c r="AA108" s="722">
        <f ca="1">IF(EOMONTH(Enddatum,$E108+1)&lt;=AA$5,0,IF(AA$7&gt;$E108,OFFSET('Costs 02'!AA322,0,-$E108),0))</f>
        <v>0</v>
      </c>
      <c r="AB108" s="722">
        <f ca="1">IF(EOMONTH(Enddatum,$E108+1)&lt;=AB$5,0,IF(AB$7&gt;$E108,OFFSET('Costs 02'!AB322,0,-$E108),0))</f>
        <v>0</v>
      </c>
      <c r="AC108" s="722">
        <f ca="1">IF(EOMONTH(Enddatum,$E108+1)&lt;=AC$5,0,IF(AC$7&gt;$E108,OFFSET('Costs 02'!AC322,0,-$E108),0))</f>
        <v>0</v>
      </c>
      <c r="AD108" s="722">
        <f ca="1">IF(EOMONTH(Enddatum,$E108+1)&lt;=AD$5,0,IF(AD$7&gt;$E108,OFFSET('Costs 02'!AD322,0,-$E108),0))</f>
        <v>0</v>
      </c>
      <c r="AE108" s="722">
        <f ca="1">IF(EOMONTH(Enddatum,$E108+1)&lt;=AE$5,0,IF(AE$7&gt;$E108,OFFSET('Costs 02'!AE322,0,-$E108),0))</f>
        <v>0</v>
      </c>
      <c r="AF108" s="722">
        <f ca="1">IF(EOMONTH(Enddatum,$E108+1)&lt;=AF$5,0,IF(AF$7&gt;$E108,OFFSET('Costs 02'!AF322,0,-$E108),0))</f>
        <v>0</v>
      </c>
      <c r="AG108" s="722">
        <f ca="1">IF(EOMONTH(Enddatum,$E108+1)&lt;=AG$5,0,IF(AG$7&gt;$E108,OFFSET('Costs 02'!AG322,0,-$E108),0))</f>
        <v>0</v>
      </c>
    </row>
    <row r="109" spans="1:33" s="649" customFormat="1" ht="18" customHeight="1" outlineLevel="1">
      <c r="A109" s="894"/>
      <c r="B109" s="287"/>
      <c r="C109" s="24" t="str">
        <f>'Costs 02'!C323</f>
        <v>Subcontract 01</v>
      </c>
      <c r="D109" s="8" t="str">
        <f>Currency_Label</f>
        <v>USD</v>
      </c>
      <c r="E109" s="714">
        <f>'Costs 02'!F323</f>
        <v>0</v>
      </c>
      <c r="F109" s="894"/>
      <c r="G109" s="287"/>
      <c r="H109" s="287"/>
      <c r="I109" s="71">
        <f ca="1">SUM(J109:AG109)</f>
        <v>0</v>
      </c>
      <c r="J109" s="722">
        <f ca="1">IF(EOMONTH(Enddatum,$E109+1)&lt;=J$5,0,IF(J$7&gt;$E109,OFFSET('Costs 02'!J323,0,-$E109),0))</f>
        <v>0</v>
      </c>
      <c r="K109" s="722">
        <f ca="1">IF(EOMONTH(Enddatum,$E109+1)&lt;=K$5,0,IF(K$7&gt;$E109,OFFSET('Costs 02'!K323,0,-$E109),0))</f>
        <v>0</v>
      </c>
      <c r="L109" s="722">
        <f ca="1">IF(EOMONTH(Enddatum,$E109+1)&lt;=L$5,0,IF(L$7&gt;$E109,OFFSET('Costs 02'!L323,0,-$E109),0))</f>
        <v>0</v>
      </c>
      <c r="M109" s="722">
        <f ca="1">IF(EOMONTH(Enddatum,$E109+1)&lt;=M$5,0,IF(M$7&gt;$E109,OFFSET('Costs 02'!M323,0,-$E109),0))</f>
        <v>0</v>
      </c>
      <c r="N109" s="722">
        <f ca="1">IF(EOMONTH(Enddatum,$E109+1)&lt;=N$5,0,IF(N$7&gt;$E109,OFFSET('Costs 02'!N323,0,-$E109),0))</f>
        <v>0</v>
      </c>
      <c r="O109" s="722">
        <f ca="1">IF(EOMONTH(Enddatum,$E109+1)&lt;=O$5,0,IF(O$7&gt;$E109,OFFSET('Costs 02'!O323,0,-$E109),0))</f>
        <v>0</v>
      </c>
      <c r="P109" s="722">
        <f ca="1">IF(EOMONTH(Enddatum,$E109+1)&lt;=P$5,0,IF(P$7&gt;$E109,OFFSET('Costs 02'!P323,0,-$E109),0))</f>
        <v>0</v>
      </c>
      <c r="Q109" s="722">
        <f ca="1">IF(EOMONTH(Enddatum,$E109+1)&lt;=Q$5,0,IF(Q$7&gt;$E109,OFFSET('Costs 02'!Q323,0,-$E109),0))</f>
        <v>0</v>
      </c>
      <c r="R109" s="722">
        <f ca="1">IF(EOMONTH(Enddatum,$E109+1)&lt;=R$5,0,IF(R$7&gt;$E109,OFFSET('Costs 02'!R323,0,-$E109),0))</f>
        <v>0</v>
      </c>
      <c r="S109" s="722">
        <f ca="1">IF(EOMONTH(Enddatum,$E109+1)&lt;=S$5,0,IF(S$7&gt;$E109,OFFSET('Costs 02'!S323,0,-$E109),0))</f>
        <v>0</v>
      </c>
      <c r="T109" s="722">
        <f ca="1">IF(EOMONTH(Enddatum,$E109+1)&lt;=T$5,0,IF(T$7&gt;$E109,OFFSET('Costs 02'!T323,0,-$E109),0))</f>
        <v>0</v>
      </c>
      <c r="U109" s="722">
        <f ca="1">IF(EOMONTH(Enddatum,$E109+1)&lt;=U$5,0,IF(U$7&gt;$E109,OFFSET('Costs 02'!U323,0,-$E109),0))</f>
        <v>0</v>
      </c>
      <c r="V109" s="722">
        <f ca="1">IF(EOMONTH(Enddatum,$E109+1)&lt;=V$5,0,IF(V$7&gt;$E109,OFFSET('Costs 02'!V323,0,-$E109),0))</f>
        <v>0</v>
      </c>
      <c r="W109" s="722">
        <f ca="1">IF(EOMONTH(Enddatum,$E109+1)&lt;=W$5,0,IF(W$7&gt;$E109,OFFSET('Costs 02'!W323,0,-$E109),0))</f>
        <v>0</v>
      </c>
      <c r="X109" s="722">
        <f ca="1">IF(EOMONTH(Enddatum,$E109+1)&lt;=X$5,0,IF(X$7&gt;$E109,OFFSET('Costs 02'!X323,0,-$E109),0))</f>
        <v>0</v>
      </c>
      <c r="Y109" s="722">
        <f ca="1">IF(EOMONTH(Enddatum,$E109+1)&lt;=Y$5,0,IF(Y$7&gt;$E109,OFFSET('Costs 02'!Y323,0,-$E109),0))</f>
        <v>0</v>
      </c>
      <c r="Z109" s="722">
        <f ca="1">IF(EOMONTH(Enddatum,$E109+1)&lt;=Z$5,0,IF(Z$7&gt;$E109,OFFSET('Costs 02'!Z323,0,-$E109),0))</f>
        <v>0</v>
      </c>
      <c r="AA109" s="722">
        <f ca="1">IF(EOMONTH(Enddatum,$E109+1)&lt;=AA$5,0,IF(AA$7&gt;$E109,OFFSET('Costs 02'!AA323,0,-$E109),0))</f>
        <v>0</v>
      </c>
      <c r="AB109" s="722">
        <f ca="1">IF(EOMONTH(Enddatum,$E109+1)&lt;=AB$5,0,IF(AB$7&gt;$E109,OFFSET('Costs 02'!AB323,0,-$E109),0))</f>
        <v>0</v>
      </c>
      <c r="AC109" s="722">
        <f ca="1">IF(EOMONTH(Enddatum,$E109+1)&lt;=AC$5,0,IF(AC$7&gt;$E109,OFFSET('Costs 02'!AC323,0,-$E109),0))</f>
        <v>0</v>
      </c>
      <c r="AD109" s="722">
        <f ca="1">IF(EOMONTH(Enddatum,$E109+1)&lt;=AD$5,0,IF(AD$7&gt;$E109,OFFSET('Costs 02'!AD323,0,-$E109),0))</f>
        <v>0</v>
      </c>
      <c r="AE109" s="722">
        <f ca="1">IF(EOMONTH(Enddatum,$E109+1)&lt;=AE$5,0,IF(AE$7&gt;$E109,OFFSET('Costs 02'!AE323,0,-$E109),0))</f>
        <v>0</v>
      </c>
      <c r="AF109" s="722">
        <f ca="1">IF(EOMONTH(Enddatum,$E109+1)&lt;=AF$5,0,IF(AF$7&gt;$E109,OFFSET('Costs 02'!AF323,0,-$E109),0))</f>
        <v>0</v>
      </c>
      <c r="AG109" s="722">
        <f ca="1">IF(EOMONTH(Enddatum,$E109+1)&lt;=AG$5,0,IF(AG$7&gt;$E109,OFFSET('Costs 02'!AG323,0,-$E109),0))</f>
        <v>0</v>
      </c>
    </row>
    <row r="110" spans="1:33" s="649" customFormat="1" ht="18" customHeight="1" outlineLevel="1">
      <c r="A110" s="894"/>
      <c r="B110" s="287"/>
      <c r="C110" s="717" t="str">
        <f>'Costs 02'!C324</f>
        <v>Other</v>
      </c>
      <c r="D110" s="241"/>
      <c r="E110" s="287"/>
      <c r="F110" s="894"/>
      <c r="G110" s="287"/>
      <c r="H110" s="287"/>
      <c r="I110" s="287"/>
      <c r="J110" s="723"/>
      <c r="K110" s="723"/>
      <c r="L110" s="723"/>
      <c r="M110" s="723"/>
      <c r="N110" s="723"/>
      <c r="O110" s="723"/>
      <c r="P110" s="723"/>
      <c r="Q110" s="723"/>
      <c r="R110" s="723"/>
      <c r="S110" s="723"/>
      <c r="T110" s="723"/>
      <c r="U110" s="723"/>
      <c r="V110" s="723"/>
      <c r="W110" s="723"/>
      <c r="X110" s="723"/>
      <c r="Y110" s="723"/>
      <c r="Z110" s="723"/>
      <c r="AA110" s="723"/>
      <c r="AB110" s="723"/>
      <c r="AC110" s="723"/>
      <c r="AD110" s="723"/>
      <c r="AE110" s="723"/>
      <c r="AF110" s="723"/>
      <c r="AG110" s="723"/>
    </row>
    <row r="111" spans="1:33" s="649" customFormat="1" ht="18" customHeight="1" outlineLevel="1">
      <c r="A111" s="894"/>
      <c r="B111" s="287"/>
      <c r="C111" s="24" t="str">
        <f>'Costs 02'!C325</f>
        <v>Shipping &amp; postage expense</v>
      </c>
      <c r="D111" s="8" t="str">
        <f t="shared" ref="D111:D116" si="33">Currency_Label</f>
        <v>USD</v>
      </c>
      <c r="E111" s="714">
        <f>'Costs 02'!F325</f>
        <v>0</v>
      </c>
      <c r="F111" s="894"/>
      <c r="G111" s="287"/>
      <c r="H111" s="287"/>
      <c r="I111" s="71">
        <f t="shared" ref="I111:I117" ca="1" si="34">SUM(J111:AG111)</f>
        <v>37370.3343799457</v>
      </c>
      <c r="J111" s="722">
        <f ca="1">IF(EOMONTH(Enddatum,$E111+1)&lt;=J$5,0,IF(J$7&gt;$E111,OFFSET('Costs 02'!J325,0,-$E111),0))</f>
        <v>1436.22</v>
      </c>
      <c r="K111" s="722">
        <f ca="1">IF(EOMONTH(Enddatum,$E111+1)&lt;=K$5,0,IF(K$7&gt;$E111,OFFSET('Costs 02'!K325,0,-$E111),0))</f>
        <v>1514.6154999999999</v>
      </c>
      <c r="L111" s="722">
        <f ca="1">IF(EOMONTH(Enddatum,$E111+1)&lt;=L$5,0,IF(L$7&gt;$E111,OFFSET('Costs 02'!L325,0,-$E111),0))</f>
        <v>1516.529955</v>
      </c>
      <c r="M111" s="722">
        <f ca="1">IF(EOMONTH(Enddatum,$E111+1)&lt;=M$5,0,IF(M$7&gt;$E111,OFFSET('Costs 02'!M325,0,-$E111),0))</f>
        <v>1518.4635545500003</v>
      </c>
      <c r="N111" s="722">
        <f ca="1">IF(EOMONTH(Enddatum,$E111+1)&lt;=N$5,0,IF(N$7&gt;$E111,OFFSET('Costs 02'!N325,0,-$E111),0))</f>
        <v>1520.4164900955</v>
      </c>
      <c r="O111" s="722">
        <f ca="1">IF(EOMONTH(Enddatum,$E111+1)&lt;=O$5,0,IF(O$7&gt;$E111,OFFSET('Costs 02'!O325,0,-$E111),0))</f>
        <v>1522.3889549964549</v>
      </c>
      <c r="P111" s="722">
        <f ca="1">IF(EOMONTH(Enddatum,$E111+1)&lt;=P$5,0,IF(P$7&gt;$E111,OFFSET('Costs 02'!P325,0,-$E111),0))</f>
        <v>2524.5811445464196</v>
      </c>
      <c r="Q111" s="722">
        <f ca="1">IF(EOMONTH(Enddatum,$E111+1)&lt;=Q$5,0,IF(Q$7&gt;$E111,OFFSET('Costs 02'!Q325,0,-$E111),0))</f>
        <v>1481.7932559918841</v>
      </c>
      <c r="R111" s="722">
        <f ca="1">IF(EOMONTH(Enddatum,$E111+1)&lt;=R$5,0,IF(R$7&gt;$E111,OFFSET('Costs 02'!R325,0,-$E111),0))</f>
        <v>1508.8254885518027</v>
      </c>
      <c r="S111" s="722">
        <f ca="1">IF(EOMONTH(Enddatum,$E111+1)&lt;=S$5,0,IF(S$7&gt;$E111,OFFSET('Costs 02'!S325,0,-$E111),0))</f>
        <v>2557.1780434373209</v>
      </c>
      <c r="T111" s="722">
        <f ca="1">IF(EOMONTH(Enddatum,$E111+1)&lt;=T$5,0,IF(T$7&gt;$E111,OFFSET('Costs 02'!T325,0,-$E111),0))</f>
        <v>1559.4511238716939</v>
      </c>
      <c r="U111" s="722">
        <f ca="1">IF(EOMONTH(Enddatum,$E111+1)&lt;=U$5,0,IF(U$7&gt;$E111,OFFSET('Costs 02'!U325,0,-$E111),0))</f>
        <v>1549.329935110411</v>
      </c>
      <c r="V111" s="722">
        <f ca="1">IF(EOMONTH(Enddatum,$E111+1)&lt;=V$5,0,IF(V$7&gt;$E111,OFFSET('Costs 02'!V325,0,-$E111),0))</f>
        <v>2552.3547344615149</v>
      </c>
      <c r="W111" s="722">
        <f ca="1">IF(EOMONTH(Enddatum,$E111+1)&lt;=W$5,0,IF(W$7&gt;$E111,OFFSET('Costs 02'!W325,0,-$E111),0))</f>
        <v>1554.6057818061304</v>
      </c>
      <c r="X111" s="722">
        <f ca="1">IF(EOMONTH(Enddatum,$E111+1)&lt;=X$5,0,IF(X$7&gt;$E111,OFFSET('Costs 02'!X325,0,-$E111),0))</f>
        <v>1557.2833396241915</v>
      </c>
      <c r="Y111" s="722">
        <f ca="1">IF(EOMONTH(Enddatum,$E111+1)&lt;=Y$5,0,IF(Y$7&gt;$E111,OFFSET('Costs 02'!Y325,0,-$E111),0))</f>
        <v>2560.4876730204332</v>
      </c>
      <c r="Z111" s="722">
        <f ca="1">IF(EOMONTH(Enddatum,$E111+1)&lt;=Z$5,0,IF(Z$7&gt;$E111,OFFSET('Costs 02'!Z325,0,-$E111),0))</f>
        <v>1569.3190497506378</v>
      </c>
      <c r="AA111" s="722">
        <f ca="1">IF(EOMONTH(Enddatum,$E111+1)&lt;=AA$5,0,IF(AA$7&gt;$E111,OFFSET('Costs 02'!AA325,0,-$E111),0))</f>
        <v>1572.077740248144</v>
      </c>
      <c r="AB111" s="722">
        <f ca="1">IF(EOMONTH(Enddatum,$E111+1)&lt;=AB$5,0,IF(AB$7&gt;$E111,OFFSET('Costs 02'!AB325,0,-$E111),0))</f>
        <v>2575.4640176506255</v>
      </c>
      <c r="AC111" s="722">
        <f ca="1">IF(EOMONTH(Enddatum,$E111+1)&lt;=AC$5,0,IF(AC$7&gt;$E111,OFFSET('Costs 02'!AC325,0,-$E111),0))</f>
        <v>1554.6781578271318</v>
      </c>
      <c r="AD111" s="722">
        <f ca="1">IF(EOMONTH(Enddatum,$E111+1)&lt;=AD$5,0,IF(AD$7&gt;$E111,OFFSET('Costs 02'!AD325,0,-$E111),0))</f>
        <v>1664.2704394054033</v>
      </c>
      <c r="AE111" s="722">
        <f ca="1">IF(EOMONTH(Enddatum,$E111+1)&lt;=AE$5,0,IF(AE$7&gt;$E111,OFFSET('Costs 02'!AE325,0,-$E111),0))</f>
        <v>0</v>
      </c>
      <c r="AF111" s="722">
        <f ca="1">IF(EOMONTH(Enddatum,$E111+1)&lt;=AF$5,0,IF(AF$7&gt;$E111,OFFSET('Costs 02'!AF325,0,-$E111),0))</f>
        <v>0</v>
      </c>
      <c r="AG111" s="722">
        <f ca="1">IF(EOMONTH(Enddatum,$E111+1)&lt;=AG$5,0,IF(AG$7&gt;$E111,OFFSET('Costs 02'!AG325,0,-$E111),0))</f>
        <v>0</v>
      </c>
    </row>
    <row r="112" spans="1:33" s="649" customFormat="1" ht="18" customHeight="1" outlineLevel="1">
      <c r="A112" s="894"/>
      <c r="B112" s="287"/>
      <c r="C112" s="24" t="str">
        <f>'Costs 02'!C326</f>
        <v>Repairs &amp; maintenance</v>
      </c>
      <c r="D112" s="8" t="str">
        <f t="shared" si="33"/>
        <v>USD</v>
      </c>
      <c r="E112" s="714">
        <f>'Costs 02'!F326</f>
        <v>0</v>
      </c>
      <c r="F112" s="894"/>
      <c r="G112" s="287"/>
      <c r="H112" s="287"/>
      <c r="I112" s="71">
        <f t="shared" ca="1" si="34"/>
        <v>0</v>
      </c>
      <c r="J112" s="722">
        <f ca="1">IF(EOMONTH(Enddatum,$E112+1)&lt;=J$5,0,IF(J$7&gt;$E112,OFFSET('Costs 02'!J326,0,-$E112),0))</f>
        <v>0</v>
      </c>
      <c r="K112" s="722">
        <f ca="1">IF(EOMONTH(Enddatum,$E112+1)&lt;=K$5,0,IF(K$7&gt;$E112,OFFSET('Costs 02'!K326,0,-$E112),0))</f>
        <v>0</v>
      </c>
      <c r="L112" s="722">
        <f ca="1">IF(EOMONTH(Enddatum,$E112+1)&lt;=L$5,0,IF(L$7&gt;$E112,OFFSET('Costs 02'!L326,0,-$E112),0))</f>
        <v>0</v>
      </c>
      <c r="M112" s="722">
        <f ca="1">IF(EOMONTH(Enddatum,$E112+1)&lt;=M$5,0,IF(M$7&gt;$E112,OFFSET('Costs 02'!M326,0,-$E112),0))</f>
        <v>0</v>
      </c>
      <c r="N112" s="722">
        <f ca="1">IF(EOMONTH(Enddatum,$E112+1)&lt;=N$5,0,IF(N$7&gt;$E112,OFFSET('Costs 02'!N326,0,-$E112),0))</f>
        <v>0</v>
      </c>
      <c r="O112" s="722">
        <f ca="1">IF(EOMONTH(Enddatum,$E112+1)&lt;=O$5,0,IF(O$7&gt;$E112,OFFSET('Costs 02'!O326,0,-$E112),0))</f>
        <v>0</v>
      </c>
      <c r="P112" s="722">
        <f ca="1">IF(EOMONTH(Enddatum,$E112+1)&lt;=P$5,0,IF(P$7&gt;$E112,OFFSET('Costs 02'!P326,0,-$E112),0))</f>
        <v>0</v>
      </c>
      <c r="Q112" s="722">
        <f ca="1">IF(EOMONTH(Enddatum,$E112+1)&lt;=Q$5,0,IF(Q$7&gt;$E112,OFFSET('Costs 02'!Q326,0,-$E112),0))</f>
        <v>0</v>
      </c>
      <c r="R112" s="722">
        <f ca="1">IF(EOMONTH(Enddatum,$E112+1)&lt;=R$5,0,IF(R$7&gt;$E112,OFFSET('Costs 02'!R326,0,-$E112),0))</f>
        <v>0</v>
      </c>
      <c r="S112" s="722">
        <f ca="1">IF(EOMONTH(Enddatum,$E112+1)&lt;=S$5,0,IF(S$7&gt;$E112,OFFSET('Costs 02'!S326,0,-$E112),0))</f>
        <v>0</v>
      </c>
      <c r="T112" s="722">
        <f ca="1">IF(EOMONTH(Enddatum,$E112+1)&lt;=T$5,0,IF(T$7&gt;$E112,OFFSET('Costs 02'!T326,0,-$E112),0))</f>
        <v>0</v>
      </c>
      <c r="U112" s="722">
        <f ca="1">IF(EOMONTH(Enddatum,$E112+1)&lt;=U$5,0,IF(U$7&gt;$E112,OFFSET('Costs 02'!U326,0,-$E112),0))</f>
        <v>0</v>
      </c>
      <c r="V112" s="722">
        <f ca="1">IF(EOMONTH(Enddatum,$E112+1)&lt;=V$5,0,IF(V$7&gt;$E112,OFFSET('Costs 02'!V326,0,-$E112),0))</f>
        <v>0</v>
      </c>
      <c r="W112" s="722">
        <f ca="1">IF(EOMONTH(Enddatum,$E112+1)&lt;=W$5,0,IF(W$7&gt;$E112,OFFSET('Costs 02'!W326,0,-$E112),0))</f>
        <v>0</v>
      </c>
      <c r="X112" s="722">
        <f ca="1">IF(EOMONTH(Enddatum,$E112+1)&lt;=X$5,0,IF(X$7&gt;$E112,OFFSET('Costs 02'!X326,0,-$E112),0))</f>
        <v>0</v>
      </c>
      <c r="Y112" s="722">
        <f ca="1">IF(EOMONTH(Enddatum,$E112+1)&lt;=Y$5,0,IF(Y$7&gt;$E112,OFFSET('Costs 02'!Y326,0,-$E112),0))</f>
        <v>0</v>
      </c>
      <c r="Z112" s="722">
        <f ca="1">IF(EOMONTH(Enddatum,$E112+1)&lt;=Z$5,0,IF(Z$7&gt;$E112,OFFSET('Costs 02'!Z326,0,-$E112),0))</f>
        <v>0</v>
      </c>
      <c r="AA112" s="722">
        <f ca="1">IF(EOMONTH(Enddatum,$E112+1)&lt;=AA$5,0,IF(AA$7&gt;$E112,OFFSET('Costs 02'!AA326,0,-$E112),0))</f>
        <v>0</v>
      </c>
      <c r="AB112" s="722">
        <f ca="1">IF(EOMONTH(Enddatum,$E112+1)&lt;=AB$5,0,IF(AB$7&gt;$E112,OFFSET('Costs 02'!AB326,0,-$E112),0))</f>
        <v>0</v>
      </c>
      <c r="AC112" s="722">
        <f ca="1">IF(EOMONTH(Enddatum,$E112+1)&lt;=AC$5,0,IF(AC$7&gt;$E112,OFFSET('Costs 02'!AC326,0,-$E112),0))</f>
        <v>0</v>
      </c>
      <c r="AD112" s="722">
        <f ca="1">IF(EOMONTH(Enddatum,$E112+1)&lt;=AD$5,0,IF(AD$7&gt;$E112,OFFSET('Costs 02'!AD326,0,-$E112),0))</f>
        <v>0</v>
      </c>
      <c r="AE112" s="722">
        <f ca="1">IF(EOMONTH(Enddatum,$E112+1)&lt;=AE$5,0,IF(AE$7&gt;$E112,OFFSET('Costs 02'!AE326,0,-$E112),0))</f>
        <v>0</v>
      </c>
      <c r="AF112" s="722">
        <f ca="1">IF(EOMONTH(Enddatum,$E112+1)&lt;=AF$5,0,IF(AF$7&gt;$E112,OFFSET('Costs 02'!AF326,0,-$E112),0))</f>
        <v>0</v>
      </c>
      <c r="AG112" s="722">
        <f ca="1">IF(EOMONTH(Enddatum,$E112+1)&lt;=AG$5,0,IF(AG$7&gt;$E112,OFFSET('Costs 02'!AG326,0,-$E112),0))</f>
        <v>0</v>
      </c>
    </row>
    <row r="113" spans="1:33" s="649" customFormat="1" ht="18" customHeight="1" outlineLevel="1">
      <c r="A113" s="894"/>
      <c r="B113" s="287"/>
      <c r="C113" s="24" t="str">
        <f>'Costs 02'!C327</f>
        <v>Consumables 01</v>
      </c>
      <c r="D113" s="8" t="str">
        <f t="shared" si="33"/>
        <v>USD</v>
      </c>
      <c r="E113" s="714">
        <f>'Costs 02'!F327</f>
        <v>0</v>
      </c>
      <c r="F113" s="894"/>
      <c r="G113" s="287"/>
      <c r="H113" s="287"/>
      <c r="I113" s="71">
        <f t="shared" ca="1" si="34"/>
        <v>0</v>
      </c>
      <c r="J113" s="722">
        <f ca="1">IF(EOMONTH(Enddatum,$E113+1)&lt;=J$5,0,IF(J$7&gt;$E113,OFFSET('Costs 02'!J327,0,-$E113),0))</f>
        <v>0</v>
      </c>
      <c r="K113" s="722">
        <f ca="1">IF(EOMONTH(Enddatum,$E113+1)&lt;=K$5,0,IF(K$7&gt;$E113,OFFSET('Costs 02'!K327,0,-$E113),0))</f>
        <v>0</v>
      </c>
      <c r="L113" s="722">
        <f ca="1">IF(EOMONTH(Enddatum,$E113+1)&lt;=L$5,0,IF(L$7&gt;$E113,OFFSET('Costs 02'!L327,0,-$E113),0))</f>
        <v>0</v>
      </c>
      <c r="M113" s="722">
        <f ca="1">IF(EOMONTH(Enddatum,$E113+1)&lt;=M$5,0,IF(M$7&gt;$E113,OFFSET('Costs 02'!M327,0,-$E113),0))</f>
        <v>0</v>
      </c>
      <c r="N113" s="722">
        <f ca="1">IF(EOMONTH(Enddatum,$E113+1)&lt;=N$5,0,IF(N$7&gt;$E113,OFFSET('Costs 02'!N327,0,-$E113),0))</f>
        <v>0</v>
      </c>
      <c r="O113" s="722">
        <f ca="1">IF(EOMONTH(Enddatum,$E113+1)&lt;=O$5,0,IF(O$7&gt;$E113,OFFSET('Costs 02'!O327,0,-$E113),0))</f>
        <v>0</v>
      </c>
      <c r="P113" s="722">
        <f ca="1">IF(EOMONTH(Enddatum,$E113+1)&lt;=P$5,0,IF(P$7&gt;$E113,OFFSET('Costs 02'!P327,0,-$E113),0))</f>
        <v>0</v>
      </c>
      <c r="Q113" s="722">
        <f ca="1">IF(EOMONTH(Enddatum,$E113+1)&lt;=Q$5,0,IF(Q$7&gt;$E113,OFFSET('Costs 02'!Q327,0,-$E113),0))</f>
        <v>0</v>
      </c>
      <c r="R113" s="722">
        <f ca="1">IF(EOMONTH(Enddatum,$E113+1)&lt;=R$5,0,IF(R$7&gt;$E113,OFFSET('Costs 02'!R327,0,-$E113),0))</f>
        <v>0</v>
      </c>
      <c r="S113" s="722">
        <f ca="1">IF(EOMONTH(Enddatum,$E113+1)&lt;=S$5,0,IF(S$7&gt;$E113,OFFSET('Costs 02'!S327,0,-$E113),0))</f>
        <v>0</v>
      </c>
      <c r="T113" s="722">
        <f ca="1">IF(EOMONTH(Enddatum,$E113+1)&lt;=T$5,0,IF(T$7&gt;$E113,OFFSET('Costs 02'!T327,0,-$E113),0))</f>
        <v>0</v>
      </c>
      <c r="U113" s="722">
        <f ca="1">IF(EOMONTH(Enddatum,$E113+1)&lt;=U$5,0,IF(U$7&gt;$E113,OFFSET('Costs 02'!U327,0,-$E113),0))</f>
        <v>0</v>
      </c>
      <c r="V113" s="722">
        <f ca="1">IF(EOMONTH(Enddatum,$E113+1)&lt;=V$5,0,IF(V$7&gt;$E113,OFFSET('Costs 02'!V327,0,-$E113),0))</f>
        <v>0</v>
      </c>
      <c r="W113" s="722">
        <f ca="1">IF(EOMONTH(Enddatum,$E113+1)&lt;=W$5,0,IF(W$7&gt;$E113,OFFSET('Costs 02'!W327,0,-$E113),0))</f>
        <v>0</v>
      </c>
      <c r="X113" s="722">
        <f ca="1">IF(EOMONTH(Enddatum,$E113+1)&lt;=X$5,0,IF(X$7&gt;$E113,OFFSET('Costs 02'!X327,0,-$E113),0))</f>
        <v>0</v>
      </c>
      <c r="Y113" s="722">
        <f ca="1">IF(EOMONTH(Enddatum,$E113+1)&lt;=Y$5,0,IF(Y$7&gt;$E113,OFFSET('Costs 02'!Y327,0,-$E113),0))</f>
        <v>0</v>
      </c>
      <c r="Z113" s="722">
        <f ca="1">IF(EOMONTH(Enddatum,$E113+1)&lt;=Z$5,0,IF(Z$7&gt;$E113,OFFSET('Costs 02'!Z327,0,-$E113),0))</f>
        <v>0</v>
      </c>
      <c r="AA113" s="722">
        <f ca="1">IF(EOMONTH(Enddatum,$E113+1)&lt;=AA$5,0,IF(AA$7&gt;$E113,OFFSET('Costs 02'!AA327,0,-$E113),0))</f>
        <v>0</v>
      </c>
      <c r="AB113" s="722">
        <f ca="1">IF(EOMONTH(Enddatum,$E113+1)&lt;=AB$5,0,IF(AB$7&gt;$E113,OFFSET('Costs 02'!AB327,0,-$E113),0))</f>
        <v>0</v>
      </c>
      <c r="AC113" s="722">
        <f ca="1">IF(EOMONTH(Enddatum,$E113+1)&lt;=AC$5,0,IF(AC$7&gt;$E113,OFFSET('Costs 02'!AC327,0,-$E113),0))</f>
        <v>0</v>
      </c>
      <c r="AD113" s="722">
        <f ca="1">IF(EOMONTH(Enddatum,$E113+1)&lt;=AD$5,0,IF(AD$7&gt;$E113,OFFSET('Costs 02'!AD327,0,-$E113),0))</f>
        <v>0</v>
      </c>
      <c r="AE113" s="722">
        <f ca="1">IF(EOMONTH(Enddatum,$E113+1)&lt;=AE$5,0,IF(AE$7&gt;$E113,OFFSET('Costs 02'!AE327,0,-$E113),0))</f>
        <v>0</v>
      </c>
      <c r="AF113" s="722">
        <f ca="1">IF(EOMONTH(Enddatum,$E113+1)&lt;=AF$5,0,IF(AF$7&gt;$E113,OFFSET('Costs 02'!AF327,0,-$E113),0))</f>
        <v>0</v>
      </c>
      <c r="AG113" s="722">
        <f ca="1">IF(EOMONTH(Enddatum,$E113+1)&lt;=AG$5,0,IF(AG$7&gt;$E113,OFFSET('Costs 02'!AG327,0,-$E113),0))</f>
        <v>0</v>
      </c>
    </row>
    <row r="114" spans="1:33" s="649" customFormat="1" ht="18" customHeight="1" outlineLevel="1">
      <c r="A114" s="894"/>
      <c r="B114" s="287"/>
      <c r="C114" s="24" t="str">
        <f>'Costs 02'!C328</f>
        <v>Consumables 02</v>
      </c>
      <c r="D114" s="8" t="str">
        <f t="shared" si="33"/>
        <v>USD</v>
      </c>
      <c r="E114" s="714">
        <f>'Costs 02'!F328</f>
        <v>0</v>
      </c>
      <c r="F114" s="894"/>
      <c r="G114" s="287"/>
      <c r="H114" s="287"/>
      <c r="I114" s="71">
        <f t="shared" ca="1" si="34"/>
        <v>0</v>
      </c>
      <c r="J114" s="722">
        <f ca="1">IF(EOMONTH(Enddatum,$E114+1)&lt;=J$5,0,IF(J$7&gt;$E114,OFFSET('Costs 02'!J328,0,-$E114),0))</f>
        <v>0</v>
      </c>
      <c r="K114" s="722">
        <f ca="1">IF(EOMONTH(Enddatum,$E114+1)&lt;=K$5,0,IF(K$7&gt;$E114,OFFSET('Costs 02'!K328,0,-$E114),0))</f>
        <v>0</v>
      </c>
      <c r="L114" s="722">
        <f ca="1">IF(EOMONTH(Enddatum,$E114+1)&lt;=L$5,0,IF(L$7&gt;$E114,OFFSET('Costs 02'!L328,0,-$E114),0))</f>
        <v>0</v>
      </c>
      <c r="M114" s="722">
        <f ca="1">IF(EOMONTH(Enddatum,$E114+1)&lt;=M$5,0,IF(M$7&gt;$E114,OFFSET('Costs 02'!M328,0,-$E114),0))</f>
        <v>0</v>
      </c>
      <c r="N114" s="722">
        <f ca="1">IF(EOMONTH(Enddatum,$E114+1)&lt;=N$5,0,IF(N$7&gt;$E114,OFFSET('Costs 02'!N328,0,-$E114),0))</f>
        <v>0</v>
      </c>
      <c r="O114" s="722">
        <f ca="1">IF(EOMONTH(Enddatum,$E114+1)&lt;=O$5,0,IF(O$7&gt;$E114,OFFSET('Costs 02'!O328,0,-$E114),0))</f>
        <v>0</v>
      </c>
      <c r="P114" s="722">
        <f ca="1">IF(EOMONTH(Enddatum,$E114+1)&lt;=P$5,0,IF(P$7&gt;$E114,OFFSET('Costs 02'!P328,0,-$E114),0))</f>
        <v>0</v>
      </c>
      <c r="Q114" s="722">
        <f ca="1">IF(EOMONTH(Enddatum,$E114+1)&lt;=Q$5,0,IF(Q$7&gt;$E114,OFFSET('Costs 02'!Q328,0,-$E114),0))</f>
        <v>0</v>
      </c>
      <c r="R114" s="722">
        <f ca="1">IF(EOMONTH(Enddatum,$E114+1)&lt;=R$5,0,IF(R$7&gt;$E114,OFFSET('Costs 02'!R328,0,-$E114),0))</f>
        <v>0</v>
      </c>
      <c r="S114" s="722">
        <f ca="1">IF(EOMONTH(Enddatum,$E114+1)&lt;=S$5,0,IF(S$7&gt;$E114,OFFSET('Costs 02'!S328,0,-$E114),0))</f>
        <v>0</v>
      </c>
      <c r="T114" s="722">
        <f ca="1">IF(EOMONTH(Enddatum,$E114+1)&lt;=T$5,0,IF(T$7&gt;$E114,OFFSET('Costs 02'!T328,0,-$E114),0))</f>
        <v>0</v>
      </c>
      <c r="U114" s="722">
        <f ca="1">IF(EOMONTH(Enddatum,$E114+1)&lt;=U$5,0,IF(U$7&gt;$E114,OFFSET('Costs 02'!U328,0,-$E114),0))</f>
        <v>0</v>
      </c>
      <c r="V114" s="722">
        <f ca="1">IF(EOMONTH(Enddatum,$E114+1)&lt;=V$5,0,IF(V$7&gt;$E114,OFFSET('Costs 02'!V328,0,-$E114),0))</f>
        <v>0</v>
      </c>
      <c r="W114" s="722">
        <f ca="1">IF(EOMONTH(Enddatum,$E114+1)&lt;=W$5,0,IF(W$7&gt;$E114,OFFSET('Costs 02'!W328,0,-$E114),0))</f>
        <v>0</v>
      </c>
      <c r="X114" s="722">
        <f ca="1">IF(EOMONTH(Enddatum,$E114+1)&lt;=X$5,0,IF(X$7&gt;$E114,OFFSET('Costs 02'!X328,0,-$E114),0))</f>
        <v>0</v>
      </c>
      <c r="Y114" s="722">
        <f ca="1">IF(EOMONTH(Enddatum,$E114+1)&lt;=Y$5,0,IF(Y$7&gt;$E114,OFFSET('Costs 02'!Y328,0,-$E114),0))</f>
        <v>0</v>
      </c>
      <c r="Z114" s="722">
        <f ca="1">IF(EOMONTH(Enddatum,$E114+1)&lt;=Z$5,0,IF(Z$7&gt;$E114,OFFSET('Costs 02'!Z328,0,-$E114),0))</f>
        <v>0</v>
      </c>
      <c r="AA114" s="722">
        <f ca="1">IF(EOMONTH(Enddatum,$E114+1)&lt;=AA$5,0,IF(AA$7&gt;$E114,OFFSET('Costs 02'!AA328,0,-$E114),0))</f>
        <v>0</v>
      </c>
      <c r="AB114" s="722">
        <f ca="1">IF(EOMONTH(Enddatum,$E114+1)&lt;=AB$5,0,IF(AB$7&gt;$E114,OFFSET('Costs 02'!AB328,0,-$E114),0))</f>
        <v>0</v>
      </c>
      <c r="AC114" s="722">
        <f ca="1">IF(EOMONTH(Enddatum,$E114+1)&lt;=AC$5,0,IF(AC$7&gt;$E114,OFFSET('Costs 02'!AC328,0,-$E114),0))</f>
        <v>0</v>
      </c>
      <c r="AD114" s="722">
        <f ca="1">IF(EOMONTH(Enddatum,$E114+1)&lt;=AD$5,0,IF(AD$7&gt;$E114,OFFSET('Costs 02'!AD328,0,-$E114),0))</f>
        <v>0</v>
      </c>
      <c r="AE114" s="722">
        <f ca="1">IF(EOMONTH(Enddatum,$E114+1)&lt;=AE$5,0,IF(AE$7&gt;$E114,OFFSET('Costs 02'!AE328,0,-$E114),0))</f>
        <v>0</v>
      </c>
      <c r="AF114" s="722">
        <f ca="1">IF(EOMONTH(Enddatum,$E114+1)&lt;=AF$5,0,IF(AF$7&gt;$E114,OFFSET('Costs 02'!AF328,0,-$E114),0))</f>
        <v>0</v>
      </c>
      <c r="AG114" s="722">
        <f ca="1">IF(EOMONTH(Enddatum,$E114+1)&lt;=AG$5,0,IF(AG$7&gt;$E114,OFFSET('Costs 02'!AG328,0,-$E114),0))</f>
        <v>0</v>
      </c>
    </row>
    <row r="115" spans="1:33" s="649" customFormat="1" ht="18" customHeight="1" outlineLevel="1">
      <c r="A115" s="894"/>
      <c r="B115" s="287"/>
      <c r="C115" s="24" t="str">
        <f>'Costs 02'!C329</f>
        <v>Consumables 03</v>
      </c>
      <c r="D115" s="8" t="str">
        <f t="shared" si="33"/>
        <v>USD</v>
      </c>
      <c r="E115" s="714">
        <f>'Costs 02'!F329</f>
        <v>0</v>
      </c>
      <c r="F115" s="894"/>
      <c r="G115" s="287"/>
      <c r="H115" s="287"/>
      <c r="I115" s="71">
        <f t="shared" ca="1" si="34"/>
        <v>0</v>
      </c>
      <c r="J115" s="722">
        <f ca="1">IF(EOMONTH(Enddatum,$E115+1)&lt;=J$5,0,IF(J$7&gt;$E115,OFFSET('Costs 02'!J329,0,-$E115),0))</f>
        <v>0</v>
      </c>
      <c r="K115" s="722">
        <f ca="1">IF(EOMONTH(Enddatum,$E115+1)&lt;=K$5,0,IF(K$7&gt;$E115,OFFSET('Costs 02'!K329,0,-$E115),0))</f>
        <v>0</v>
      </c>
      <c r="L115" s="722">
        <f ca="1">IF(EOMONTH(Enddatum,$E115+1)&lt;=L$5,0,IF(L$7&gt;$E115,OFFSET('Costs 02'!L329,0,-$E115),0))</f>
        <v>0</v>
      </c>
      <c r="M115" s="722">
        <f ca="1">IF(EOMONTH(Enddatum,$E115+1)&lt;=M$5,0,IF(M$7&gt;$E115,OFFSET('Costs 02'!M329,0,-$E115),0))</f>
        <v>0</v>
      </c>
      <c r="N115" s="722">
        <f ca="1">IF(EOMONTH(Enddatum,$E115+1)&lt;=N$5,0,IF(N$7&gt;$E115,OFFSET('Costs 02'!N329,0,-$E115),0))</f>
        <v>0</v>
      </c>
      <c r="O115" s="722">
        <f ca="1">IF(EOMONTH(Enddatum,$E115+1)&lt;=O$5,0,IF(O$7&gt;$E115,OFFSET('Costs 02'!O329,0,-$E115),0))</f>
        <v>0</v>
      </c>
      <c r="P115" s="722">
        <f ca="1">IF(EOMONTH(Enddatum,$E115+1)&lt;=P$5,0,IF(P$7&gt;$E115,OFFSET('Costs 02'!P329,0,-$E115),0))</f>
        <v>0</v>
      </c>
      <c r="Q115" s="722">
        <f ca="1">IF(EOMONTH(Enddatum,$E115+1)&lt;=Q$5,0,IF(Q$7&gt;$E115,OFFSET('Costs 02'!Q329,0,-$E115),0))</f>
        <v>0</v>
      </c>
      <c r="R115" s="722">
        <f ca="1">IF(EOMONTH(Enddatum,$E115+1)&lt;=R$5,0,IF(R$7&gt;$E115,OFFSET('Costs 02'!R329,0,-$E115),0))</f>
        <v>0</v>
      </c>
      <c r="S115" s="722">
        <f ca="1">IF(EOMONTH(Enddatum,$E115+1)&lt;=S$5,0,IF(S$7&gt;$E115,OFFSET('Costs 02'!S329,0,-$E115),0))</f>
        <v>0</v>
      </c>
      <c r="T115" s="722">
        <f ca="1">IF(EOMONTH(Enddatum,$E115+1)&lt;=T$5,0,IF(T$7&gt;$E115,OFFSET('Costs 02'!T329,0,-$E115),0))</f>
        <v>0</v>
      </c>
      <c r="U115" s="722">
        <f ca="1">IF(EOMONTH(Enddatum,$E115+1)&lt;=U$5,0,IF(U$7&gt;$E115,OFFSET('Costs 02'!U329,0,-$E115),0))</f>
        <v>0</v>
      </c>
      <c r="V115" s="722">
        <f ca="1">IF(EOMONTH(Enddatum,$E115+1)&lt;=V$5,0,IF(V$7&gt;$E115,OFFSET('Costs 02'!V329,0,-$E115),0))</f>
        <v>0</v>
      </c>
      <c r="W115" s="722">
        <f ca="1">IF(EOMONTH(Enddatum,$E115+1)&lt;=W$5,0,IF(W$7&gt;$E115,OFFSET('Costs 02'!W329,0,-$E115),0))</f>
        <v>0</v>
      </c>
      <c r="X115" s="722">
        <f ca="1">IF(EOMONTH(Enddatum,$E115+1)&lt;=X$5,0,IF(X$7&gt;$E115,OFFSET('Costs 02'!X329,0,-$E115),0))</f>
        <v>0</v>
      </c>
      <c r="Y115" s="722">
        <f ca="1">IF(EOMONTH(Enddatum,$E115+1)&lt;=Y$5,0,IF(Y$7&gt;$E115,OFFSET('Costs 02'!Y329,0,-$E115),0))</f>
        <v>0</v>
      </c>
      <c r="Z115" s="722">
        <f ca="1">IF(EOMONTH(Enddatum,$E115+1)&lt;=Z$5,0,IF(Z$7&gt;$E115,OFFSET('Costs 02'!Z329,0,-$E115),0))</f>
        <v>0</v>
      </c>
      <c r="AA115" s="722">
        <f ca="1">IF(EOMONTH(Enddatum,$E115+1)&lt;=AA$5,0,IF(AA$7&gt;$E115,OFFSET('Costs 02'!AA329,0,-$E115),0))</f>
        <v>0</v>
      </c>
      <c r="AB115" s="722">
        <f ca="1">IF(EOMONTH(Enddatum,$E115+1)&lt;=AB$5,0,IF(AB$7&gt;$E115,OFFSET('Costs 02'!AB329,0,-$E115),0))</f>
        <v>0</v>
      </c>
      <c r="AC115" s="722">
        <f ca="1">IF(EOMONTH(Enddatum,$E115+1)&lt;=AC$5,0,IF(AC$7&gt;$E115,OFFSET('Costs 02'!AC329,0,-$E115),0))</f>
        <v>0</v>
      </c>
      <c r="AD115" s="722">
        <f ca="1">IF(EOMONTH(Enddatum,$E115+1)&lt;=AD$5,0,IF(AD$7&gt;$E115,OFFSET('Costs 02'!AD329,0,-$E115),0))</f>
        <v>0</v>
      </c>
      <c r="AE115" s="722">
        <f ca="1">IF(EOMONTH(Enddatum,$E115+1)&lt;=AE$5,0,IF(AE$7&gt;$E115,OFFSET('Costs 02'!AE329,0,-$E115),0))</f>
        <v>0</v>
      </c>
      <c r="AF115" s="722">
        <f ca="1">IF(EOMONTH(Enddatum,$E115+1)&lt;=AF$5,0,IF(AF$7&gt;$E115,OFFSET('Costs 02'!AF329,0,-$E115),0))</f>
        <v>0</v>
      </c>
      <c r="AG115" s="722">
        <f ca="1">IF(EOMONTH(Enddatum,$E115+1)&lt;=AG$5,0,IF(AG$7&gt;$E115,OFFSET('Costs 02'!AG329,0,-$E115),0))</f>
        <v>0</v>
      </c>
    </row>
    <row r="116" spans="1:33" s="649" customFormat="1" ht="18" customHeight="1" outlineLevel="1">
      <c r="A116" s="894"/>
      <c r="B116" s="287"/>
      <c r="C116" s="24" t="str">
        <f>'Costs 02'!C330</f>
        <v>Consumables 04</v>
      </c>
      <c r="D116" s="8" t="str">
        <f t="shared" si="33"/>
        <v>USD</v>
      </c>
      <c r="E116" s="714">
        <f>'Costs 02'!F330</f>
        <v>0</v>
      </c>
      <c r="F116" s="894"/>
      <c r="G116" s="287"/>
      <c r="H116" s="287"/>
      <c r="I116" s="71">
        <f t="shared" ca="1" si="34"/>
        <v>0</v>
      </c>
      <c r="J116" s="722">
        <f ca="1">IF(EOMONTH(Enddatum,$E116+1)&lt;=J$5,0,IF(J$7&gt;$E116,OFFSET('Costs 02'!J330,0,-$E116),0))</f>
        <v>0</v>
      </c>
      <c r="K116" s="722">
        <f ca="1">IF(EOMONTH(Enddatum,$E116+1)&lt;=K$5,0,IF(K$7&gt;$E116,OFFSET('Costs 02'!K330,0,-$E116),0))</f>
        <v>0</v>
      </c>
      <c r="L116" s="722">
        <f ca="1">IF(EOMONTH(Enddatum,$E116+1)&lt;=L$5,0,IF(L$7&gt;$E116,OFFSET('Costs 02'!L330,0,-$E116),0))</f>
        <v>0</v>
      </c>
      <c r="M116" s="722">
        <f ca="1">IF(EOMONTH(Enddatum,$E116+1)&lt;=M$5,0,IF(M$7&gt;$E116,OFFSET('Costs 02'!M330,0,-$E116),0))</f>
        <v>0</v>
      </c>
      <c r="N116" s="722">
        <f ca="1">IF(EOMONTH(Enddatum,$E116+1)&lt;=N$5,0,IF(N$7&gt;$E116,OFFSET('Costs 02'!N330,0,-$E116),0))</f>
        <v>0</v>
      </c>
      <c r="O116" s="722">
        <f ca="1">IF(EOMONTH(Enddatum,$E116+1)&lt;=O$5,0,IF(O$7&gt;$E116,OFFSET('Costs 02'!O330,0,-$E116),0))</f>
        <v>0</v>
      </c>
      <c r="P116" s="722">
        <f ca="1">IF(EOMONTH(Enddatum,$E116+1)&lt;=P$5,0,IF(P$7&gt;$E116,OFFSET('Costs 02'!P330,0,-$E116),0))</f>
        <v>0</v>
      </c>
      <c r="Q116" s="722">
        <f ca="1">IF(EOMONTH(Enddatum,$E116+1)&lt;=Q$5,0,IF(Q$7&gt;$E116,OFFSET('Costs 02'!Q330,0,-$E116),0))</f>
        <v>0</v>
      </c>
      <c r="R116" s="722">
        <f ca="1">IF(EOMONTH(Enddatum,$E116+1)&lt;=R$5,0,IF(R$7&gt;$E116,OFFSET('Costs 02'!R330,0,-$E116),0))</f>
        <v>0</v>
      </c>
      <c r="S116" s="722">
        <f ca="1">IF(EOMONTH(Enddatum,$E116+1)&lt;=S$5,0,IF(S$7&gt;$E116,OFFSET('Costs 02'!S330,0,-$E116),0))</f>
        <v>0</v>
      </c>
      <c r="T116" s="722">
        <f ca="1">IF(EOMONTH(Enddatum,$E116+1)&lt;=T$5,0,IF(T$7&gt;$E116,OFFSET('Costs 02'!T330,0,-$E116),0))</f>
        <v>0</v>
      </c>
      <c r="U116" s="722">
        <f ca="1">IF(EOMONTH(Enddatum,$E116+1)&lt;=U$5,0,IF(U$7&gt;$E116,OFFSET('Costs 02'!U330,0,-$E116),0))</f>
        <v>0</v>
      </c>
      <c r="V116" s="722">
        <f ca="1">IF(EOMONTH(Enddatum,$E116+1)&lt;=V$5,0,IF(V$7&gt;$E116,OFFSET('Costs 02'!V330,0,-$E116),0))</f>
        <v>0</v>
      </c>
      <c r="W116" s="722">
        <f ca="1">IF(EOMONTH(Enddatum,$E116+1)&lt;=W$5,0,IF(W$7&gt;$E116,OFFSET('Costs 02'!W330,0,-$E116),0))</f>
        <v>0</v>
      </c>
      <c r="X116" s="722">
        <f ca="1">IF(EOMONTH(Enddatum,$E116+1)&lt;=X$5,0,IF(X$7&gt;$E116,OFFSET('Costs 02'!X330,0,-$E116),0))</f>
        <v>0</v>
      </c>
      <c r="Y116" s="722">
        <f ca="1">IF(EOMONTH(Enddatum,$E116+1)&lt;=Y$5,0,IF(Y$7&gt;$E116,OFFSET('Costs 02'!Y330,0,-$E116),0))</f>
        <v>0</v>
      </c>
      <c r="Z116" s="722">
        <f ca="1">IF(EOMONTH(Enddatum,$E116+1)&lt;=Z$5,0,IF(Z$7&gt;$E116,OFFSET('Costs 02'!Z330,0,-$E116),0))</f>
        <v>0</v>
      </c>
      <c r="AA116" s="722">
        <f ca="1">IF(EOMONTH(Enddatum,$E116+1)&lt;=AA$5,0,IF(AA$7&gt;$E116,OFFSET('Costs 02'!AA330,0,-$E116),0))</f>
        <v>0</v>
      </c>
      <c r="AB116" s="722">
        <f ca="1">IF(EOMONTH(Enddatum,$E116+1)&lt;=AB$5,0,IF(AB$7&gt;$E116,OFFSET('Costs 02'!AB330,0,-$E116),0))</f>
        <v>0</v>
      </c>
      <c r="AC116" s="722">
        <f ca="1">IF(EOMONTH(Enddatum,$E116+1)&lt;=AC$5,0,IF(AC$7&gt;$E116,OFFSET('Costs 02'!AC330,0,-$E116),0))</f>
        <v>0</v>
      </c>
      <c r="AD116" s="722">
        <f ca="1">IF(EOMONTH(Enddatum,$E116+1)&lt;=AD$5,0,IF(AD$7&gt;$E116,OFFSET('Costs 02'!AD330,0,-$E116),0))</f>
        <v>0</v>
      </c>
      <c r="AE116" s="722">
        <f ca="1">IF(EOMONTH(Enddatum,$E116+1)&lt;=AE$5,0,IF(AE$7&gt;$E116,OFFSET('Costs 02'!AE330,0,-$E116),0))</f>
        <v>0</v>
      </c>
      <c r="AF116" s="722">
        <f ca="1">IF(EOMONTH(Enddatum,$E116+1)&lt;=AF$5,0,IF(AF$7&gt;$E116,OFFSET('Costs 02'!AF330,0,-$E116),0))</f>
        <v>0</v>
      </c>
      <c r="AG116" s="722">
        <f ca="1">IF(EOMONTH(Enddatum,$E116+1)&lt;=AG$5,0,IF(AG$7&gt;$E116,OFFSET('Costs 02'!AG330,0,-$E116),0))</f>
        <v>0</v>
      </c>
    </row>
    <row r="117" spans="1:33" s="649" customFormat="1" ht="18" customHeight="1" outlineLevel="1" thickBot="1">
      <c r="A117" s="894"/>
      <c r="B117" s="287"/>
      <c r="C117" s="121" t="str">
        <f>CHOOSE(language,"     Total cash out other direct costs","     Total cash out other direct expenses")</f>
        <v xml:space="preserve">     Total cash out other direct expenses</v>
      </c>
      <c r="D117" s="8" t="str">
        <f t="shared" ref="D117" si="35">Currency_Label</f>
        <v>USD</v>
      </c>
      <c r="E117" s="8"/>
      <c r="F117" s="8"/>
      <c r="G117" s="8"/>
      <c r="H117" s="8"/>
      <c r="I117" s="71">
        <f t="shared" ca="1" si="34"/>
        <v>77289.586187978537</v>
      </c>
      <c r="J117" s="524">
        <f t="shared" ref="J117:AG117" ca="1" si="36">SUM(J103:J116)</f>
        <v>2636.2200000000003</v>
      </c>
      <c r="K117" s="524">
        <f t="shared" ca="1" si="36"/>
        <v>2764.6154999999999</v>
      </c>
      <c r="L117" s="524">
        <f t="shared" ca="1" si="36"/>
        <v>2819.029955</v>
      </c>
      <c r="M117" s="524">
        <f t="shared" ca="1" si="36"/>
        <v>2876.0885545500005</v>
      </c>
      <c r="N117" s="524">
        <f t="shared" ca="1" si="36"/>
        <v>2935.9227400955001</v>
      </c>
      <c r="O117" s="524">
        <f t="shared" ca="1" si="36"/>
        <v>2998.6705174964554</v>
      </c>
      <c r="P117" s="524">
        <f t="shared" ca="1" si="36"/>
        <v>4064.6767851714203</v>
      </c>
      <c r="Q117" s="524">
        <f t="shared" ca="1" si="36"/>
        <v>3088.8936786481345</v>
      </c>
      <c r="R117" s="524">
        <f t="shared" ca="1" si="36"/>
        <v>3186.2809323408655</v>
      </c>
      <c r="S117" s="524">
        <f t="shared" ca="1" si="36"/>
        <v>4308.5062594158371</v>
      </c>
      <c r="T117" s="524">
        <f t="shared" ca="1" si="36"/>
        <v>3388.3457506491359</v>
      </c>
      <c r="U117" s="524">
        <f t="shared" ca="1" si="36"/>
        <v>3459.6692932267251</v>
      </c>
      <c r="V117" s="524">
        <f t="shared" ca="1" si="36"/>
        <v>4548.2110604836453</v>
      </c>
      <c r="W117" s="524">
        <f t="shared" ca="1" si="36"/>
        <v>3640.2549241293668</v>
      </c>
      <c r="X117" s="524">
        <f t="shared" ca="1" si="36"/>
        <v>3737.2149390635896</v>
      </c>
      <c r="Y117" s="524">
        <f t="shared" ca="1" si="36"/>
        <v>4839.4158524318018</v>
      </c>
      <c r="Z117" s="524">
        <f t="shared" ca="1" si="36"/>
        <v>3952.193638132575</v>
      </c>
      <c r="AA117" s="524">
        <f t="shared" ca="1" si="36"/>
        <v>4064.0960580491778</v>
      </c>
      <c r="AB117" s="524">
        <f t="shared" ca="1" si="36"/>
        <v>5182.0832513417117</v>
      </c>
      <c r="AC117" s="524">
        <f t="shared" ca="1" si="36"/>
        <v>4281.6283532027719</v>
      </c>
      <c r="AD117" s="524">
        <f t="shared" ca="1" si="36"/>
        <v>4517.5681445498258</v>
      </c>
      <c r="AE117" s="524">
        <f t="shared" ca="1" si="36"/>
        <v>0</v>
      </c>
      <c r="AF117" s="524">
        <f t="shared" ca="1" si="36"/>
        <v>0</v>
      </c>
      <c r="AG117" s="524">
        <f t="shared" ca="1" si="36"/>
        <v>0</v>
      </c>
    </row>
    <row r="118" spans="1:33" s="649" customFormat="1" ht="18" customHeight="1" outlineLevel="1" thickTop="1">
      <c r="A118" s="894"/>
      <c r="B118" s="287"/>
      <c r="C118" s="287"/>
      <c r="D118" s="287"/>
      <c r="E118" s="287"/>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E118" s="287"/>
      <c r="AF118" s="287"/>
      <c r="AG118" s="287"/>
    </row>
    <row r="119" spans="1:33" s="649" customFormat="1" ht="18" customHeight="1" outlineLevel="1">
      <c r="A119" s="894"/>
      <c r="B119" s="287"/>
      <c r="C119" s="273" t="str">
        <f>CHOOSE(language,"BS Account: Sundry Creditors (direct costs)","BS Account: Sundry Creditors (direct expenses)")</f>
        <v>BS Account: Sundry Creditors (direct expenses)</v>
      </c>
      <c r="D119" s="287"/>
      <c r="E119" s="287"/>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E119" s="287"/>
      <c r="AF119" s="287"/>
      <c r="AG119" s="287"/>
    </row>
    <row r="120" spans="1:33" s="649" customFormat="1" ht="18" customHeight="1" outlineLevel="1">
      <c r="A120" s="894"/>
      <c r="B120" s="287"/>
      <c r="C120" s="649" t="s">
        <v>140</v>
      </c>
      <c r="D120" s="8" t="str">
        <f>Currency_Label</f>
        <v>USD</v>
      </c>
      <c r="E120" s="40"/>
      <c r="F120" s="40"/>
      <c r="G120" s="40"/>
      <c r="H120" s="40"/>
      <c r="I120" s="122"/>
      <c r="J120" s="720">
        <f t="shared" ref="J120" si="37">I123</f>
        <v>0</v>
      </c>
      <c r="K120" s="720">
        <f t="shared" ref="K120:AG120" ca="1" si="38">J123</f>
        <v>0</v>
      </c>
      <c r="L120" s="720">
        <f t="shared" ca="1" si="38"/>
        <v>0</v>
      </c>
      <c r="M120" s="720">
        <f t="shared" ca="1" si="38"/>
        <v>0</v>
      </c>
      <c r="N120" s="720">
        <f t="shared" ca="1" si="38"/>
        <v>0</v>
      </c>
      <c r="O120" s="720">
        <f t="shared" ca="1" si="38"/>
        <v>0</v>
      </c>
      <c r="P120" s="720">
        <f t="shared" ca="1" si="38"/>
        <v>0</v>
      </c>
      <c r="Q120" s="720">
        <f t="shared" ca="1" si="38"/>
        <v>0</v>
      </c>
      <c r="R120" s="720">
        <f t="shared" ca="1" si="38"/>
        <v>0</v>
      </c>
      <c r="S120" s="720">
        <f t="shared" ca="1" si="38"/>
        <v>0</v>
      </c>
      <c r="T120" s="720">
        <f t="shared" ca="1" si="38"/>
        <v>0</v>
      </c>
      <c r="U120" s="720">
        <f t="shared" ca="1" si="38"/>
        <v>0</v>
      </c>
      <c r="V120" s="720">
        <f t="shared" ca="1" si="38"/>
        <v>0</v>
      </c>
      <c r="W120" s="720">
        <f t="shared" ca="1" si="38"/>
        <v>0</v>
      </c>
      <c r="X120" s="720">
        <f t="shared" ca="1" si="38"/>
        <v>0</v>
      </c>
      <c r="Y120" s="720">
        <f t="shared" ca="1" si="38"/>
        <v>0</v>
      </c>
      <c r="Z120" s="720">
        <f t="shared" ca="1" si="38"/>
        <v>0</v>
      </c>
      <c r="AA120" s="720">
        <f t="shared" ca="1" si="38"/>
        <v>0</v>
      </c>
      <c r="AB120" s="720">
        <f t="shared" ca="1" si="38"/>
        <v>0</v>
      </c>
      <c r="AC120" s="720">
        <f t="shared" ca="1" si="38"/>
        <v>0</v>
      </c>
      <c r="AD120" s="720">
        <f t="shared" ca="1" si="38"/>
        <v>0</v>
      </c>
      <c r="AE120" s="720">
        <f t="shared" ca="1" si="38"/>
        <v>0</v>
      </c>
      <c r="AF120" s="720">
        <f t="shared" ca="1" si="38"/>
        <v>0</v>
      </c>
      <c r="AG120" s="720">
        <f t="shared" ca="1" si="38"/>
        <v>0</v>
      </c>
    </row>
    <row r="121" spans="1:33" s="649" customFormat="1" ht="18" customHeight="1" outlineLevel="1">
      <c r="A121" s="894"/>
      <c r="B121" s="287"/>
      <c r="C121" s="93" t="s">
        <v>232</v>
      </c>
      <c r="D121" s="8" t="str">
        <f>Currency_Label</f>
        <v>USD</v>
      </c>
      <c r="E121" s="40"/>
      <c r="F121" s="40"/>
      <c r="G121" s="40"/>
      <c r="H121" s="40"/>
      <c r="I121" s="71">
        <f>SUM(J121:AG121)</f>
        <v>77289.586187978537</v>
      </c>
      <c r="J121" s="720">
        <f>SUM('Costs 02'!J317:J330)*J6</f>
        <v>2636.2200000000003</v>
      </c>
      <c r="K121" s="720">
        <f>SUM('Costs 02'!K317:K330)*K6</f>
        <v>2764.6154999999999</v>
      </c>
      <c r="L121" s="720">
        <f>SUM('Costs 02'!L317:L330)*L6</f>
        <v>2819.029955</v>
      </c>
      <c r="M121" s="720">
        <f>SUM('Costs 02'!M317:M330)*M6</f>
        <v>2876.0885545500005</v>
      </c>
      <c r="N121" s="720">
        <f>SUM('Costs 02'!N317:N330)*N6</f>
        <v>2935.9227400955001</v>
      </c>
      <c r="O121" s="720">
        <f>SUM('Costs 02'!O317:O330)*O6</f>
        <v>2998.6705174964554</v>
      </c>
      <c r="P121" s="720">
        <f>SUM('Costs 02'!P317:P330)*P6</f>
        <v>4064.6767851714203</v>
      </c>
      <c r="Q121" s="720">
        <f>SUM('Costs 02'!Q317:Q330)*Q6</f>
        <v>3088.8936786481345</v>
      </c>
      <c r="R121" s="720">
        <f>SUM('Costs 02'!R317:R330)*R6</f>
        <v>3186.2809323408655</v>
      </c>
      <c r="S121" s="720">
        <f>SUM('Costs 02'!S317:S330)*S6</f>
        <v>4308.5062594158371</v>
      </c>
      <c r="T121" s="720">
        <f>SUM('Costs 02'!T317:T330)*T6</f>
        <v>3388.3457506491359</v>
      </c>
      <c r="U121" s="720">
        <f>SUM('Costs 02'!U317:U330)*U6</f>
        <v>3459.6692932267251</v>
      </c>
      <c r="V121" s="720">
        <f>SUM('Costs 02'!V317:V330)*V6</f>
        <v>4548.2110604836453</v>
      </c>
      <c r="W121" s="720">
        <f>SUM('Costs 02'!W317:W330)*W6</f>
        <v>3640.2549241293668</v>
      </c>
      <c r="X121" s="720">
        <f>SUM('Costs 02'!X317:X330)*X6</f>
        <v>3737.2149390635896</v>
      </c>
      <c r="Y121" s="720">
        <f>SUM('Costs 02'!Y317:Y330)*Y6</f>
        <v>4839.4158524318018</v>
      </c>
      <c r="Z121" s="720">
        <f>SUM('Costs 02'!Z317:Z330)*Z6</f>
        <v>3952.193638132575</v>
      </c>
      <c r="AA121" s="720">
        <f>SUM('Costs 02'!AA317:AA330)*AA6</f>
        <v>4064.0960580491778</v>
      </c>
      <c r="AB121" s="720">
        <f>SUM('Costs 02'!AB317:AB330)*AB6</f>
        <v>5182.0832513417117</v>
      </c>
      <c r="AC121" s="720">
        <f>SUM('Costs 02'!AC317:AC330)*AC6</f>
        <v>4281.6283532027719</v>
      </c>
      <c r="AD121" s="720">
        <f>SUM('Costs 02'!AD317:AD330)*AD6</f>
        <v>4517.5681445498258</v>
      </c>
      <c r="AE121" s="720">
        <f>SUM('Costs 02'!AE317:AE330)*AE6</f>
        <v>0</v>
      </c>
      <c r="AF121" s="720">
        <f>SUM('Costs 02'!AF317:AF330)*AF6</f>
        <v>0</v>
      </c>
      <c r="AG121" s="720">
        <f>SUM('Costs 02'!AG317:AG330)*AG6</f>
        <v>0</v>
      </c>
    </row>
    <row r="122" spans="1:33" s="649" customFormat="1" ht="18" customHeight="1" outlineLevel="1">
      <c r="A122" s="894"/>
      <c r="B122" s="287"/>
      <c r="C122" s="24" t="s">
        <v>692</v>
      </c>
      <c r="D122" s="8" t="str">
        <f>Currency_Label</f>
        <v>USD</v>
      </c>
      <c r="E122" s="40"/>
      <c r="F122" s="40"/>
      <c r="G122" s="40"/>
      <c r="H122" s="40"/>
      <c r="I122" s="71">
        <f ca="1">SUM(J122:AG122)</f>
        <v>-77289.586187978537</v>
      </c>
      <c r="J122" s="720">
        <f t="shared" ref="J122:AG122" ca="1" si="39">-J117</f>
        <v>-2636.2200000000003</v>
      </c>
      <c r="K122" s="720">
        <f t="shared" ca="1" si="39"/>
        <v>-2764.6154999999999</v>
      </c>
      <c r="L122" s="720">
        <f t="shared" ca="1" si="39"/>
        <v>-2819.029955</v>
      </c>
      <c r="M122" s="720">
        <f t="shared" ca="1" si="39"/>
        <v>-2876.0885545500005</v>
      </c>
      <c r="N122" s="720">
        <f t="shared" ca="1" si="39"/>
        <v>-2935.9227400955001</v>
      </c>
      <c r="O122" s="720">
        <f t="shared" ca="1" si="39"/>
        <v>-2998.6705174964554</v>
      </c>
      <c r="P122" s="720">
        <f t="shared" ca="1" si="39"/>
        <v>-4064.6767851714203</v>
      </c>
      <c r="Q122" s="720">
        <f t="shared" ca="1" si="39"/>
        <v>-3088.8936786481345</v>
      </c>
      <c r="R122" s="720">
        <f t="shared" ca="1" si="39"/>
        <v>-3186.2809323408655</v>
      </c>
      <c r="S122" s="720">
        <f t="shared" ca="1" si="39"/>
        <v>-4308.5062594158371</v>
      </c>
      <c r="T122" s="720">
        <f t="shared" ca="1" si="39"/>
        <v>-3388.3457506491359</v>
      </c>
      <c r="U122" s="720">
        <f t="shared" ca="1" si="39"/>
        <v>-3459.6692932267251</v>
      </c>
      <c r="V122" s="720">
        <f t="shared" ca="1" si="39"/>
        <v>-4548.2110604836453</v>
      </c>
      <c r="W122" s="720">
        <f t="shared" ca="1" si="39"/>
        <v>-3640.2549241293668</v>
      </c>
      <c r="X122" s="720">
        <f t="shared" ca="1" si="39"/>
        <v>-3737.2149390635896</v>
      </c>
      <c r="Y122" s="720">
        <f t="shared" ca="1" si="39"/>
        <v>-4839.4158524318018</v>
      </c>
      <c r="Z122" s="720">
        <f t="shared" ca="1" si="39"/>
        <v>-3952.193638132575</v>
      </c>
      <c r="AA122" s="720">
        <f t="shared" ca="1" si="39"/>
        <v>-4064.0960580491778</v>
      </c>
      <c r="AB122" s="720">
        <f t="shared" ca="1" si="39"/>
        <v>-5182.0832513417117</v>
      </c>
      <c r="AC122" s="720">
        <f t="shared" ca="1" si="39"/>
        <v>-4281.6283532027719</v>
      </c>
      <c r="AD122" s="720">
        <f t="shared" ca="1" si="39"/>
        <v>-4517.5681445498258</v>
      </c>
      <c r="AE122" s="720">
        <f t="shared" ca="1" si="39"/>
        <v>0</v>
      </c>
      <c r="AF122" s="720">
        <f t="shared" ca="1" si="39"/>
        <v>0</v>
      </c>
      <c r="AG122" s="720">
        <f t="shared" ca="1" si="39"/>
        <v>0</v>
      </c>
    </row>
    <row r="123" spans="1:33" s="649" customFormat="1" ht="18" customHeight="1" outlineLevel="1" thickBot="1">
      <c r="A123" s="894"/>
      <c r="B123" s="287"/>
      <c r="C123" s="649" t="s">
        <v>141</v>
      </c>
      <c r="D123" s="8" t="str">
        <f>Currency_Label</f>
        <v>USD</v>
      </c>
      <c r="E123" s="40"/>
      <c r="F123" s="40"/>
      <c r="G123" s="40"/>
      <c r="H123" s="696"/>
      <c r="I123" s="702"/>
      <c r="J123" s="524">
        <f t="shared" ref="J123:AG123" ca="1" si="40">IF(ABS(SUM(J120:J122))&lt;0.001,0,SUM(J120:J122))</f>
        <v>0</v>
      </c>
      <c r="K123" s="524">
        <f t="shared" ca="1" si="40"/>
        <v>0</v>
      </c>
      <c r="L123" s="524">
        <f t="shared" ca="1" si="40"/>
        <v>0</v>
      </c>
      <c r="M123" s="524">
        <f t="shared" ca="1" si="40"/>
        <v>0</v>
      </c>
      <c r="N123" s="524">
        <f t="shared" ca="1" si="40"/>
        <v>0</v>
      </c>
      <c r="O123" s="524">
        <f t="shared" ca="1" si="40"/>
        <v>0</v>
      </c>
      <c r="P123" s="524">
        <f t="shared" ca="1" si="40"/>
        <v>0</v>
      </c>
      <c r="Q123" s="524">
        <f t="shared" ca="1" si="40"/>
        <v>0</v>
      </c>
      <c r="R123" s="524">
        <f t="shared" ca="1" si="40"/>
        <v>0</v>
      </c>
      <c r="S123" s="524">
        <f t="shared" ca="1" si="40"/>
        <v>0</v>
      </c>
      <c r="T123" s="524">
        <f t="shared" ca="1" si="40"/>
        <v>0</v>
      </c>
      <c r="U123" s="524">
        <f t="shared" ca="1" si="40"/>
        <v>0</v>
      </c>
      <c r="V123" s="524">
        <f t="shared" ca="1" si="40"/>
        <v>0</v>
      </c>
      <c r="W123" s="524">
        <f t="shared" ca="1" si="40"/>
        <v>0</v>
      </c>
      <c r="X123" s="524">
        <f t="shared" ca="1" si="40"/>
        <v>0</v>
      </c>
      <c r="Y123" s="524">
        <f t="shared" ca="1" si="40"/>
        <v>0</v>
      </c>
      <c r="Z123" s="524">
        <f t="shared" ca="1" si="40"/>
        <v>0</v>
      </c>
      <c r="AA123" s="524">
        <f t="shared" ca="1" si="40"/>
        <v>0</v>
      </c>
      <c r="AB123" s="524">
        <f t="shared" ca="1" si="40"/>
        <v>0</v>
      </c>
      <c r="AC123" s="524">
        <f t="shared" ca="1" si="40"/>
        <v>0</v>
      </c>
      <c r="AD123" s="524">
        <f t="shared" ca="1" si="40"/>
        <v>0</v>
      </c>
      <c r="AE123" s="524">
        <f t="shared" ca="1" si="40"/>
        <v>0</v>
      </c>
      <c r="AF123" s="524">
        <f t="shared" ca="1" si="40"/>
        <v>0</v>
      </c>
      <c r="AG123" s="524">
        <f t="shared" ca="1" si="40"/>
        <v>0</v>
      </c>
    </row>
    <row r="124" spans="1:33" s="649" customFormat="1" ht="18" customHeight="1" outlineLevel="1" thickTop="1">
      <c r="A124" s="894"/>
      <c r="B124" s="287"/>
      <c r="C124" s="128"/>
      <c r="D124" s="275"/>
      <c r="E124" s="128"/>
      <c r="F124" s="128"/>
      <c r="G124" s="128"/>
      <c r="H124" s="128"/>
      <c r="I124" s="128"/>
      <c r="J124" s="332"/>
      <c r="K124" s="332"/>
      <c r="L124" s="332"/>
      <c r="M124" s="332"/>
      <c r="N124" s="332"/>
      <c r="O124" s="332"/>
      <c r="P124" s="332"/>
      <c r="Q124" s="332"/>
      <c r="R124" s="332"/>
      <c r="S124" s="332"/>
      <c r="T124" s="332"/>
      <c r="U124" s="332"/>
      <c r="V124" s="332"/>
      <c r="W124" s="332"/>
      <c r="X124" s="332"/>
      <c r="Y124" s="332"/>
      <c r="Z124" s="332"/>
      <c r="AA124" s="332"/>
      <c r="AB124" s="332"/>
      <c r="AC124" s="332"/>
      <c r="AD124" s="332"/>
      <c r="AE124" s="332"/>
      <c r="AF124" s="332"/>
      <c r="AG124" s="332"/>
    </row>
    <row r="125" spans="1:33" s="649" customFormat="1" ht="18" customHeight="1" outlineLevel="1">
      <c r="A125" s="894"/>
      <c r="B125" s="287"/>
      <c r="C125" s="273" t="str">
        <f>CHOOSE(language,Name_VAT &amp;" on other direct costs",Name_VAT &amp;" on other direct expenses")</f>
        <v>VAT on other direct expenses</v>
      </c>
      <c r="D125" s="279"/>
      <c r="E125" s="287" t="s">
        <v>245</v>
      </c>
      <c r="F125" s="287"/>
      <c r="G125" s="532" t="str">
        <f>Name_VAT &amp; " Rate"</f>
        <v>VAT Rate</v>
      </c>
      <c r="H125" s="287"/>
      <c r="I125" s="287"/>
      <c r="J125" s="287"/>
      <c r="K125" s="287"/>
      <c r="L125" s="332"/>
      <c r="M125" s="332"/>
      <c r="N125" s="332"/>
      <c r="O125" s="332"/>
      <c r="P125" s="332"/>
      <c r="Q125" s="332"/>
      <c r="R125" s="332"/>
      <c r="S125" s="332"/>
      <c r="T125" s="332"/>
      <c r="U125" s="332"/>
      <c r="V125" s="332"/>
      <c r="W125" s="332"/>
      <c r="X125" s="332"/>
      <c r="Y125" s="332"/>
      <c r="Z125" s="332"/>
      <c r="AA125" s="332"/>
      <c r="AB125" s="332"/>
      <c r="AC125" s="332"/>
      <c r="AD125" s="332"/>
      <c r="AE125" s="332"/>
      <c r="AF125" s="332"/>
      <c r="AG125" s="332"/>
    </row>
    <row r="126" spans="1:33" s="649" customFormat="1" ht="18" customHeight="1" outlineLevel="1">
      <c r="A126" s="894"/>
      <c r="B126" s="287"/>
      <c r="C126" s="24" t="str">
        <f>CHOOSE(language,Name_VAT &amp;" on other direct costs (on cash paid basis)",Name_VAT &amp;" on other direct expenses(on cash paid basis)")</f>
        <v>VAT on other direct expenses(on cash paid basis)</v>
      </c>
      <c r="D126" s="8" t="str">
        <f t="shared" ref="D126" si="41">Currency_Label</f>
        <v>USD</v>
      </c>
      <c r="E126" s="85">
        <f>Inputs!F191</f>
        <v>0.7</v>
      </c>
      <c r="F126" s="346"/>
      <c r="G126" s="85">
        <f>Inputs!I191</f>
        <v>0.2</v>
      </c>
      <c r="H126" s="346"/>
      <c r="I126" s="71">
        <f ca="1">SUM(J126:AG126)</f>
        <v>10820.542066316993</v>
      </c>
      <c r="J126" s="79">
        <f t="shared" ref="J126:AG126" ca="1" si="42">$E126*$G126*J117</f>
        <v>369.07080000000002</v>
      </c>
      <c r="K126" s="79">
        <f t="shared" ca="1" si="42"/>
        <v>387.04616999999996</v>
      </c>
      <c r="L126" s="79">
        <f t="shared" ca="1" si="42"/>
        <v>394.66419369999994</v>
      </c>
      <c r="M126" s="79">
        <f t="shared" ca="1" si="42"/>
        <v>402.65239763700004</v>
      </c>
      <c r="N126" s="79">
        <f t="shared" ca="1" si="42"/>
        <v>411.02918361336998</v>
      </c>
      <c r="O126" s="79">
        <f t="shared" ca="1" si="42"/>
        <v>419.81387244950372</v>
      </c>
      <c r="P126" s="79">
        <f t="shared" ca="1" si="42"/>
        <v>569.05474992399877</v>
      </c>
      <c r="Q126" s="79">
        <f t="shared" ca="1" si="42"/>
        <v>432.44511501073879</v>
      </c>
      <c r="R126" s="79">
        <f t="shared" ca="1" si="42"/>
        <v>446.07933052772114</v>
      </c>
      <c r="S126" s="79">
        <f t="shared" ca="1" si="42"/>
        <v>603.19087631821708</v>
      </c>
      <c r="T126" s="79">
        <f t="shared" ca="1" si="42"/>
        <v>474.36840509087898</v>
      </c>
      <c r="U126" s="79">
        <f t="shared" ca="1" si="42"/>
        <v>484.3537010517415</v>
      </c>
      <c r="V126" s="79">
        <f t="shared" ca="1" si="42"/>
        <v>636.74954846771027</v>
      </c>
      <c r="W126" s="79">
        <f t="shared" ca="1" si="42"/>
        <v>509.63568937811129</v>
      </c>
      <c r="X126" s="79">
        <f t="shared" ca="1" si="42"/>
        <v>523.21009146890253</v>
      </c>
      <c r="Y126" s="79">
        <f t="shared" ca="1" si="42"/>
        <v>677.51821934045222</v>
      </c>
      <c r="Z126" s="79">
        <f t="shared" ca="1" si="42"/>
        <v>553.30710933856039</v>
      </c>
      <c r="AA126" s="79">
        <f t="shared" ca="1" si="42"/>
        <v>568.97344812688482</v>
      </c>
      <c r="AB126" s="79">
        <f t="shared" ca="1" si="42"/>
        <v>725.49165518783957</v>
      </c>
      <c r="AC126" s="79">
        <f t="shared" ca="1" si="42"/>
        <v>599.42796944838801</v>
      </c>
      <c r="AD126" s="79">
        <f t="shared" ca="1" si="42"/>
        <v>632.4595402369755</v>
      </c>
      <c r="AE126" s="79">
        <f t="shared" ca="1" si="42"/>
        <v>0</v>
      </c>
      <c r="AF126" s="79">
        <f t="shared" ca="1" si="42"/>
        <v>0</v>
      </c>
      <c r="AG126" s="79">
        <f t="shared" ca="1" si="42"/>
        <v>0</v>
      </c>
    </row>
    <row r="127" spans="1:33" s="649" customFormat="1" ht="18" customHeight="1" outlineLevel="1">
      <c r="A127" s="894"/>
      <c r="B127" s="287"/>
      <c r="C127" s="128"/>
      <c r="D127" s="275"/>
      <c r="E127" s="128"/>
      <c r="F127" s="128"/>
      <c r="G127" s="128"/>
      <c r="H127" s="128"/>
      <c r="I127" s="128"/>
      <c r="J127" s="332"/>
      <c r="K127" s="332"/>
      <c r="L127" s="332"/>
      <c r="M127" s="332"/>
      <c r="N127" s="332"/>
      <c r="O127" s="332"/>
      <c r="P127" s="332"/>
      <c r="Q127" s="332"/>
      <c r="R127" s="332"/>
      <c r="S127" s="332"/>
      <c r="T127" s="332"/>
      <c r="U127" s="332"/>
      <c r="V127" s="332"/>
      <c r="W127" s="332"/>
      <c r="X127" s="332"/>
      <c r="Y127" s="332"/>
      <c r="Z127" s="332"/>
      <c r="AA127" s="332"/>
      <c r="AB127" s="332"/>
      <c r="AC127" s="332"/>
      <c r="AD127" s="332"/>
      <c r="AE127" s="332"/>
      <c r="AF127" s="332"/>
      <c r="AG127" s="332"/>
    </row>
    <row r="128" spans="1:33" s="649" customFormat="1" ht="18" customHeight="1" outlineLevel="1">
      <c r="A128" s="894"/>
      <c r="B128" s="279">
        <v>4</v>
      </c>
      <c r="C128" s="279" t="str">
        <f>CHOOSE(language,"Overheads","Overhead Expenses")</f>
        <v>Overhead Expenses</v>
      </c>
      <c r="D128" s="275"/>
      <c r="E128" s="128"/>
      <c r="F128" s="128"/>
      <c r="G128" s="128"/>
      <c r="H128" s="128"/>
      <c r="I128" s="128"/>
      <c r="J128" s="332"/>
      <c r="K128" s="332"/>
      <c r="L128" s="332"/>
      <c r="M128" s="332"/>
      <c r="N128" s="332"/>
      <c r="O128" s="332"/>
      <c r="P128" s="332"/>
      <c r="Q128" s="332"/>
      <c r="R128" s="332"/>
      <c r="S128" s="332"/>
      <c r="T128" s="332"/>
      <c r="U128" s="332"/>
      <c r="V128" s="332"/>
      <c r="W128" s="332"/>
      <c r="X128" s="332"/>
      <c r="Y128" s="332"/>
      <c r="Z128" s="332"/>
      <c r="AA128" s="332"/>
      <c r="AB128" s="332"/>
      <c r="AC128" s="332"/>
      <c r="AD128" s="332"/>
      <c r="AE128" s="332"/>
      <c r="AF128" s="332"/>
      <c r="AG128" s="332"/>
    </row>
    <row r="129" spans="1:33" s="649" customFormat="1" ht="18" customHeight="1" outlineLevel="1">
      <c r="A129" s="894"/>
      <c r="B129" s="279"/>
      <c r="C129" s="273" t="str">
        <f>CHOOSE(language,"Overheads (w/o payroll expenses) =&gt; cash out","Overhead Expenses (w/o payroll expenses) =&gt; cash out")</f>
        <v>Overhead Expenses (w/o payroll expenses) =&gt; cash out</v>
      </c>
      <c r="D129" s="342"/>
      <c r="E129" s="287"/>
      <c r="F129" s="713"/>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E129" s="287"/>
      <c r="AF129" s="287"/>
      <c r="AG129" s="287"/>
    </row>
    <row r="130" spans="1:33" s="649" customFormat="1" ht="18" customHeight="1" outlineLevel="1">
      <c r="A130" s="894"/>
      <c r="B130" s="287"/>
      <c r="C130" s="717" t="str">
        <f>'Costs 03'!C11</f>
        <v>Management &amp;Administration Expenses</v>
      </c>
      <c r="D130" s="342"/>
      <c r="E130" s="688" t="s">
        <v>244</v>
      </c>
      <c r="F130" s="713"/>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E130" s="287"/>
      <c r="AF130" s="287"/>
      <c r="AG130" s="287"/>
    </row>
    <row r="131" spans="1:33" s="649" customFormat="1" ht="18" customHeight="1" outlineLevel="1">
      <c r="A131" s="894"/>
      <c r="B131" s="287"/>
      <c r="C131" s="24" t="str">
        <f>'Costs 03'!C13</f>
        <v>Communication (Internet, Phone, Mobile etc.)</v>
      </c>
      <c r="D131" s="8" t="str">
        <f t="shared" ref="D131:D137" si="43">Currency_Label</f>
        <v>USD</v>
      </c>
      <c r="E131" s="714">
        <f>'Costs 03'!F13</f>
        <v>1</v>
      </c>
      <c r="F131" s="894"/>
      <c r="G131" s="287"/>
      <c r="H131" s="287"/>
      <c r="I131" s="71">
        <f t="shared" ref="I131:I137" ca="1" si="44">SUM(J131:AG131)</f>
        <v>4647.8388069489301</v>
      </c>
      <c r="J131" s="722">
        <f ca="1">IF(EOMONTH(Enddatum,$E131+1)&lt;=J$5,0,IF(J$7&gt;$E131,OFFSET('Costs 03'!J13,0,-$E131),0))</f>
        <v>0</v>
      </c>
      <c r="K131" s="722">
        <f ca="1">IF(EOMONTH(Enddatum,$E131+1)&lt;=K$5,0,IF(K$7&gt;$E131,OFFSET('Costs 03'!K13,0,-$E131),0))</f>
        <v>200</v>
      </c>
      <c r="L131" s="722">
        <f ca="1">IF(EOMONTH(Enddatum,$E131+1)&lt;=L$5,0,IF(L$7&gt;$E131,OFFSET('Costs 03'!L13,0,-$E131),0))</f>
        <v>202</v>
      </c>
      <c r="M131" s="722">
        <f ca="1">IF(EOMONTH(Enddatum,$E131+1)&lt;=M$5,0,IF(M$7&gt;$E131,OFFSET('Costs 03'!M13,0,-$E131),0))</f>
        <v>204.02</v>
      </c>
      <c r="N131" s="722">
        <f ca="1">IF(EOMONTH(Enddatum,$E131+1)&lt;=N$5,0,IF(N$7&gt;$E131,OFFSET('Costs 03'!N13,0,-$E131),0))</f>
        <v>206.06020000000001</v>
      </c>
      <c r="O131" s="722">
        <f ca="1">IF(EOMONTH(Enddatum,$E131+1)&lt;=O$5,0,IF(O$7&gt;$E131,OFFSET('Costs 03'!O13,0,-$E131),0))</f>
        <v>208.120802</v>
      </c>
      <c r="P131" s="722">
        <f ca="1">IF(EOMONTH(Enddatum,$E131+1)&lt;=P$5,0,IF(P$7&gt;$E131,OFFSET('Costs 03'!P13,0,-$E131),0))</f>
        <v>210.20201001999999</v>
      </c>
      <c r="Q131" s="722">
        <f ca="1">IF(EOMONTH(Enddatum,$E131+1)&lt;=Q$5,0,IF(Q$7&gt;$E131,OFFSET('Costs 03'!Q13,0,-$E131),0))</f>
        <v>212.3040301202</v>
      </c>
      <c r="R131" s="722">
        <f ca="1">IF(EOMONTH(Enddatum,$E131+1)&lt;=R$5,0,IF(R$7&gt;$E131,OFFSET('Costs 03'!R13,0,-$E131),0))</f>
        <v>214.42707042140199</v>
      </c>
      <c r="S131" s="722">
        <f ca="1">IF(EOMONTH(Enddatum,$E131+1)&lt;=S$5,0,IF(S$7&gt;$E131,OFFSET('Costs 03'!S13,0,-$E131),0))</f>
        <v>216.57134112561602</v>
      </c>
      <c r="T131" s="722">
        <f ca="1">IF(EOMONTH(Enddatum,$E131+1)&lt;=T$5,0,IF(T$7&gt;$E131,OFFSET('Costs 03'!T13,0,-$E131),0))</f>
        <v>218.73705453687217</v>
      </c>
      <c r="U131" s="722">
        <f ca="1">IF(EOMONTH(Enddatum,$E131+1)&lt;=U$5,0,IF(U$7&gt;$E131,OFFSET('Costs 03'!U13,0,-$E131),0))</f>
        <v>220.9244250822409</v>
      </c>
      <c r="V131" s="722">
        <f ca="1">IF(EOMONTH(Enddatum,$E131+1)&lt;=V$5,0,IF(V$7&gt;$E131,OFFSET('Costs 03'!V13,0,-$E131),0))</f>
        <v>223.13366933306332</v>
      </c>
      <c r="W131" s="722">
        <f ca="1">IF(EOMONTH(Enddatum,$E131+1)&lt;=W$5,0,IF(W$7&gt;$E131,OFFSET('Costs 03'!W13,0,-$E131),0))</f>
        <v>225.36500602639396</v>
      </c>
      <c r="X131" s="722">
        <f ca="1">IF(EOMONTH(Enddatum,$E131+1)&lt;=X$5,0,IF(X$7&gt;$E131,OFFSET('Costs 03'!X13,0,-$E131),0))</f>
        <v>227.61865608665789</v>
      </c>
      <c r="Y131" s="722">
        <f ca="1">IF(EOMONTH(Enddatum,$E131+1)&lt;=Y$5,0,IF(Y$7&gt;$E131,OFFSET('Costs 03'!Y13,0,-$E131),0))</f>
        <v>229.89484264752448</v>
      </c>
      <c r="Z131" s="722">
        <f ca="1">IF(EOMONTH(Enddatum,$E131+1)&lt;=Z$5,0,IF(Z$7&gt;$E131,OFFSET('Costs 03'!Z13,0,-$E131),0))</f>
        <v>232.19379107399973</v>
      </c>
      <c r="AA131" s="722">
        <f ca="1">IF(EOMONTH(Enddatum,$E131+1)&lt;=AA$5,0,IF(AA$7&gt;$E131,OFFSET('Costs 03'!AA13,0,-$E131),0))</f>
        <v>234.51572898473972</v>
      </c>
      <c r="AB131" s="722">
        <f ca="1">IF(EOMONTH(Enddatum,$E131+1)&lt;=AB$5,0,IF(AB$7&gt;$E131,OFFSET('Costs 03'!AB13,0,-$E131),0))</f>
        <v>236.86088627458713</v>
      </c>
      <c r="AC131" s="722">
        <f ca="1">IF(EOMONTH(Enddatum,$E131+1)&lt;=AC$5,0,IF(AC$7&gt;$E131,OFFSET('Costs 03'!AC13,0,-$E131),0))</f>
        <v>239.229495137333</v>
      </c>
      <c r="AD131" s="722">
        <f ca="1">IF(EOMONTH(Enddatum,$E131+1)&lt;=AD$5,0,IF(AD$7&gt;$E131,OFFSET('Costs 03'!AD13,0,-$E131),0))</f>
        <v>241.62179008870635</v>
      </c>
      <c r="AE131" s="722">
        <f ca="1">IF(EOMONTH(Enddatum,$E131+1)&lt;=AE$5,0,IF(AE$7&gt;$E131,OFFSET('Costs 03'!AE13,0,-$E131),0))</f>
        <v>244.03800798959341</v>
      </c>
      <c r="AF131" s="722">
        <f ca="1">IF(EOMONTH(Enddatum,$E131+1)&lt;=AF$5,0,IF(AF$7&gt;$E131,OFFSET('Costs 03'!AF13,0,-$E131),0))</f>
        <v>0</v>
      </c>
      <c r="AG131" s="722">
        <f ca="1">IF(EOMONTH(Enddatum,$E131+1)&lt;=AG$5,0,IF(AG$7&gt;$E131,OFFSET('Costs 03'!AG13,0,-$E131),0))</f>
        <v>0</v>
      </c>
    </row>
    <row r="132" spans="1:33" s="649" customFormat="1" ht="18" customHeight="1" outlineLevel="1">
      <c r="A132" s="894"/>
      <c r="B132" s="287"/>
      <c r="C132" s="24" t="str">
        <f>'Costs 03'!C14</f>
        <v>Office Supplies</v>
      </c>
      <c r="D132" s="8" t="str">
        <f t="shared" si="43"/>
        <v>USD</v>
      </c>
      <c r="E132" s="714">
        <f>'Costs 03'!F14</f>
        <v>1</v>
      </c>
      <c r="F132" s="894"/>
      <c r="G132" s="287"/>
      <c r="H132" s="287"/>
      <c r="I132" s="71">
        <f t="shared" ca="1" si="44"/>
        <v>1050</v>
      </c>
      <c r="J132" s="722">
        <f ca="1">IF(EOMONTH(Enddatum,$E132+1)&lt;=J$5,0,IF(J$7&gt;$E132,OFFSET('Costs 03'!J14,0,-$E132),0))</f>
        <v>0</v>
      </c>
      <c r="K132" s="722">
        <f ca="1">IF(EOMONTH(Enddatum,$E132+1)&lt;=K$5,0,IF(K$7&gt;$E132,OFFSET('Costs 03'!K14,0,-$E132),0))</f>
        <v>50</v>
      </c>
      <c r="L132" s="722">
        <f ca="1">IF(EOMONTH(Enddatum,$E132+1)&lt;=L$5,0,IF(L$7&gt;$E132,OFFSET('Costs 03'!L14,0,-$E132),0))</f>
        <v>50</v>
      </c>
      <c r="M132" s="722">
        <f ca="1">IF(EOMONTH(Enddatum,$E132+1)&lt;=M$5,0,IF(M$7&gt;$E132,OFFSET('Costs 03'!M14,0,-$E132),0))</f>
        <v>50</v>
      </c>
      <c r="N132" s="722">
        <f ca="1">IF(EOMONTH(Enddatum,$E132+1)&lt;=N$5,0,IF(N$7&gt;$E132,OFFSET('Costs 03'!N14,0,-$E132),0))</f>
        <v>50</v>
      </c>
      <c r="O132" s="722">
        <f ca="1">IF(EOMONTH(Enddatum,$E132+1)&lt;=O$5,0,IF(O$7&gt;$E132,OFFSET('Costs 03'!O14,0,-$E132),0))</f>
        <v>50</v>
      </c>
      <c r="P132" s="722">
        <f ca="1">IF(EOMONTH(Enddatum,$E132+1)&lt;=P$5,0,IF(P$7&gt;$E132,OFFSET('Costs 03'!P14,0,-$E132),0))</f>
        <v>50</v>
      </c>
      <c r="Q132" s="722">
        <f ca="1">IF(EOMONTH(Enddatum,$E132+1)&lt;=Q$5,0,IF(Q$7&gt;$E132,OFFSET('Costs 03'!Q14,0,-$E132),0))</f>
        <v>50</v>
      </c>
      <c r="R132" s="722">
        <f ca="1">IF(EOMONTH(Enddatum,$E132+1)&lt;=R$5,0,IF(R$7&gt;$E132,OFFSET('Costs 03'!R14,0,-$E132),0))</f>
        <v>50</v>
      </c>
      <c r="S132" s="722">
        <f ca="1">IF(EOMONTH(Enddatum,$E132+1)&lt;=S$5,0,IF(S$7&gt;$E132,OFFSET('Costs 03'!S14,0,-$E132),0))</f>
        <v>50</v>
      </c>
      <c r="T132" s="722">
        <f ca="1">IF(EOMONTH(Enddatum,$E132+1)&lt;=T$5,0,IF(T$7&gt;$E132,OFFSET('Costs 03'!T14,0,-$E132),0))</f>
        <v>50</v>
      </c>
      <c r="U132" s="722">
        <f ca="1">IF(EOMONTH(Enddatum,$E132+1)&lt;=U$5,0,IF(U$7&gt;$E132,OFFSET('Costs 03'!U14,0,-$E132),0))</f>
        <v>50</v>
      </c>
      <c r="V132" s="722">
        <f ca="1">IF(EOMONTH(Enddatum,$E132+1)&lt;=V$5,0,IF(V$7&gt;$E132,OFFSET('Costs 03'!V14,0,-$E132),0))</f>
        <v>50</v>
      </c>
      <c r="W132" s="722">
        <f ca="1">IF(EOMONTH(Enddatum,$E132+1)&lt;=W$5,0,IF(W$7&gt;$E132,OFFSET('Costs 03'!W14,0,-$E132),0))</f>
        <v>50</v>
      </c>
      <c r="X132" s="722">
        <f ca="1">IF(EOMONTH(Enddatum,$E132+1)&lt;=X$5,0,IF(X$7&gt;$E132,OFFSET('Costs 03'!X14,0,-$E132),0))</f>
        <v>50</v>
      </c>
      <c r="Y132" s="722">
        <f ca="1">IF(EOMONTH(Enddatum,$E132+1)&lt;=Y$5,0,IF(Y$7&gt;$E132,OFFSET('Costs 03'!Y14,0,-$E132),0))</f>
        <v>50</v>
      </c>
      <c r="Z132" s="722">
        <f ca="1">IF(EOMONTH(Enddatum,$E132+1)&lt;=Z$5,0,IF(Z$7&gt;$E132,OFFSET('Costs 03'!Z14,0,-$E132),0))</f>
        <v>50</v>
      </c>
      <c r="AA132" s="722">
        <f ca="1">IF(EOMONTH(Enddatum,$E132+1)&lt;=AA$5,0,IF(AA$7&gt;$E132,OFFSET('Costs 03'!AA14,0,-$E132),0))</f>
        <v>50</v>
      </c>
      <c r="AB132" s="722">
        <f ca="1">IF(EOMONTH(Enddatum,$E132+1)&lt;=AB$5,0,IF(AB$7&gt;$E132,OFFSET('Costs 03'!AB14,0,-$E132),0))</f>
        <v>50</v>
      </c>
      <c r="AC132" s="722">
        <f ca="1">IF(EOMONTH(Enddatum,$E132+1)&lt;=AC$5,0,IF(AC$7&gt;$E132,OFFSET('Costs 03'!AC14,0,-$E132),0))</f>
        <v>50</v>
      </c>
      <c r="AD132" s="722">
        <f ca="1">IF(EOMONTH(Enddatum,$E132+1)&lt;=AD$5,0,IF(AD$7&gt;$E132,OFFSET('Costs 03'!AD14,0,-$E132),0))</f>
        <v>50</v>
      </c>
      <c r="AE132" s="722">
        <f ca="1">IF(EOMONTH(Enddatum,$E132+1)&lt;=AE$5,0,IF(AE$7&gt;$E132,OFFSET('Costs 03'!AE14,0,-$E132),0))</f>
        <v>50</v>
      </c>
      <c r="AF132" s="722">
        <f ca="1">IF(EOMONTH(Enddatum,$E132+1)&lt;=AF$5,0,IF(AF$7&gt;$E132,OFFSET('Costs 03'!AF14,0,-$E132),0))</f>
        <v>0</v>
      </c>
      <c r="AG132" s="722">
        <f ca="1">IF(EOMONTH(Enddatum,$E132+1)&lt;=AG$5,0,IF(AG$7&gt;$E132,OFFSET('Costs 03'!AG14,0,-$E132),0))</f>
        <v>0</v>
      </c>
    </row>
    <row r="133" spans="1:33" s="649" customFormat="1" ht="18" customHeight="1" outlineLevel="1">
      <c r="A133" s="894"/>
      <c r="B133" s="287"/>
      <c r="C133" s="24" t="str">
        <f>'Costs 03'!C15</f>
        <v>Travel &amp; Entertainment</v>
      </c>
      <c r="D133" s="8" t="str">
        <f t="shared" si="43"/>
        <v>USD</v>
      </c>
      <c r="E133" s="714">
        <f>'Costs 03'!F15</f>
        <v>0</v>
      </c>
      <c r="F133" s="894"/>
      <c r="G133" s="287"/>
      <c r="H133" s="287"/>
      <c r="I133" s="71">
        <f t="shared" ca="1" si="44"/>
        <v>14050</v>
      </c>
      <c r="J133" s="722">
        <f ca="1">IF(EOMONTH(Enddatum,$E133+1)&lt;=J$5,0,IF(J$7&gt;$E133,OFFSET('Costs 03'!J15,0,-$E133),0))</f>
        <v>650</v>
      </c>
      <c r="K133" s="722">
        <f ca="1">IF(EOMONTH(Enddatum,$E133+1)&lt;=K$5,0,IF(K$7&gt;$E133,OFFSET('Costs 03'!K15,0,-$E133),0))</f>
        <v>650</v>
      </c>
      <c r="L133" s="722">
        <f ca="1">IF(EOMONTH(Enddatum,$E133+1)&lt;=L$5,0,IF(L$7&gt;$E133,OFFSET('Costs 03'!L15,0,-$E133),0))</f>
        <v>650</v>
      </c>
      <c r="M133" s="722">
        <f ca="1">IF(EOMONTH(Enddatum,$E133+1)&lt;=M$5,0,IF(M$7&gt;$E133,OFFSET('Costs 03'!M15,0,-$E133),0))</f>
        <v>650</v>
      </c>
      <c r="N133" s="722">
        <f ca="1">IF(EOMONTH(Enddatum,$E133+1)&lt;=N$5,0,IF(N$7&gt;$E133,OFFSET('Costs 03'!N15,0,-$E133),0))</f>
        <v>650</v>
      </c>
      <c r="O133" s="722">
        <f ca="1">IF(EOMONTH(Enddatum,$E133+1)&lt;=O$5,0,IF(O$7&gt;$E133,OFFSET('Costs 03'!O15,0,-$E133),0))</f>
        <v>650</v>
      </c>
      <c r="P133" s="722">
        <f ca="1">IF(EOMONTH(Enddatum,$E133+1)&lt;=P$5,0,IF(P$7&gt;$E133,OFFSET('Costs 03'!P15,0,-$E133),0))</f>
        <v>650</v>
      </c>
      <c r="Q133" s="722">
        <f ca="1">IF(EOMONTH(Enddatum,$E133+1)&lt;=Q$5,0,IF(Q$7&gt;$E133,OFFSET('Costs 03'!Q15,0,-$E133),0))</f>
        <v>650</v>
      </c>
      <c r="R133" s="722">
        <f ca="1">IF(EOMONTH(Enddatum,$E133+1)&lt;=R$5,0,IF(R$7&gt;$E133,OFFSET('Costs 03'!R15,0,-$E133),0))</f>
        <v>650</v>
      </c>
      <c r="S133" s="722">
        <f ca="1">IF(EOMONTH(Enddatum,$E133+1)&lt;=S$5,0,IF(S$7&gt;$E133,OFFSET('Costs 03'!S15,0,-$E133),0))</f>
        <v>650</v>
      </c>
      <c r="T133" s="722">
        <f ca="1">IF(EOMONTH(Enddatum,$E133+1)&lt;=T$5,0,IF(T$7&gt;$E133,OFFSET('Costs 03'!T15,0,-$E133),0))</f>
        <v>650</v>
      </c>
      <c r="U133" s="722">
        <f ca="1">IF(EOMONTH(Enddatum,$E133+1)&lt;=U$5,0,IF(U$7&gt;$E133,OFFSET('Costs 03'!U15,0,-$E133),0))</f>
        <v>650</v>
      </c>
      <c r="V133" s="722">
        <f ca="1">IF(EOMONTH(Enddatum,$E133+1)&lt;=V$5,0,IF(V$7&gt;$E133,OFFSET('Costs 03'!V15,0,-$E133),0))</f>
        <v>650</v>
      </c>
      <c r="W133" s="722">
        <f ca="1">IF(EOMONTH(Enddatum,$E133+1)&lt;=W$5,0,IF(W$7&gt;$E133,OFFSET('Costs 03'!W15,0,-$E133),0))</f>
        <v>700</v>
      </c>
      <c r="X133" s="722">
        <f ca="1">IF(EOMONTH(Enddatum,$E133+1)&lt;=X$5,0,IF(X$7&gt;$E133,OFFSET('Costs 03'!X15,0,-$E133),0))</f>
        <v>700</v>
      </c>
      <c r="Y133" s="722">
        <f ca="1">IF(EOMONTH(Enddatum,$E133+1)&lt;=Y$5,0,IF(Y$7&gt;$E133,OFFSET('Costs 03'!Y15,0,-$E133),0))</f>
        <v>700</v>
      </c>
      <c r="Z133" s="722">
        <f ca="1">IF(EOMONTH(Enddatum,$E133+1)&lt;=Z$5,0,IF(Z$7&gt;$E133,OFFSET('Costs 03'!Z15,0,-$E133),0))</f>
        <v>700</v>
      </c>
      <c r="AA133" s="722">
        <f ca="1">IF(EOMONTH(Enddatum,$E133+1)&lt;=AA$5,0,IF(AA$7&gt;$E133,OFFSET('Costs 03'!AA15,0,-$E133),0))</f>
        <v>700</v>
      </c>
      <c r="AB133" s="722">
        <f ca="1">IF(EOMONTH(Enddatum,$E133+1)&lt;=AB$5,0,IF(AB$7&gt;$E133,OFFSET('Costs 03'!AB15,0,-$E133),0))</f>
        <v>700</v>
      </c>
      <c r="AC133" s="722">
        <f ca="1">IF(EOMONTH(Enddatum,$E133+1)&lt;=AC$5,0,IF(AC$7&gt;$E133,OFFSET('Costs 03'!AC15,0,-$E133),0))</f>
        <v>700</v>
      </c>
      <c r="AD133" s="722">
        <f ca="1">IF(EOMONTH(Enddatum,$E133+1)&lt;=AD$5,0,IF(AD$7&gt;$E133,OFFSET('Costs 03'!AD15,0,-$E133),0))</f>
        <v>700</v>
      </c>
      <c r="AE133" s="722">
        <f ca="1">IF(EOMONTH(Enddatum,$E133+1)&lt;=AE$5,0,IF(AE$7&gt;$E133,OFFSET('Costs 03'!AE15,0,-$E133),0))</f>
        <v>0</v>
      </c>
      <c r="AF133" s="722">
        <f ca="1">IF(EOMONTH(Enddatum,$E133+1)&lt;=AF$5,0,IF(AF$7&gt;$E133,OFFSET('Costs 03'!AF15,0,-$E133),0))</f>
        <v>0</v>
      </c>
      <c r="AG133" s="722">
        <f ca="1">IF(EOMONTH(Enddatum,$E133+1)&lt;=AG$5,0,IF(AG$7&gt;$E133,OFFSET('Costs 03'!AG15,0,-$E133),0))</f>
        <v>0</v>
      </c>
    </row>
    <row r="134" spans="1:33" s="649" customFormat="1" ht="18" customHeight="1" outlineLevel="1">
      <c r="A134" s="894"/>
      <c r="B134" s="287"/>
      <c r="C134" s="24" t="str">
        <f>'Costs 03'!C16</f>
        <v>Vehicle Expenses</v>
      </c>
      <c r="D134" s="8" t="str">
        <f t="shared" si="43"/>
        <v>USD</v>
      </c>
      <c r="E134" s="714">
        <f>'Costs 03'!F16</f>
        <v>0</v>
      </c>
      <c r="F134" s="894"/>
      <c r="G134" s="287"/>
      <c r="H134" s="287"/>
      <c r="I134" s="71">
        <f t="shared" ca="1" si="44"/>
        <v>0</v>
      </c>
      <c r="J134" s="722">
        <f ca="1">IF(EOMONTH(Enddatum,$E134+1)&lt;=J$5,0,IF(J$7&gt;$E134,OFFSET('Costs 03'!J16,0,-$E134),0))</f>
        <v>0</v>
      </c>
      <c r="K134" s="722">
        <f ca="1">IF(EOMONTH(Enddatum,$E134+1)&lt;=K$5,0,IF(K$7&gt;$E134,OFFSET('Costs 03'!K16,0,-$E134),0))</f>
        <v>0</v>
      </c>
      <c r="L134" s="722">
        <f ca="1">IF(EOMONTH(Enddatum,$E134+1)&lt;=L$5,0,IF(L$7&gt;$E134,OFFSET('Costs 03'!L16,0,-$E134),0))</f>
        <v>0</v>
      </c>
      <c r="M134" s="722">
        <f ca="1">IF(EOMONTH(Enddatum,$E134+1)&lt;=M$5,0,IF(M$7&gt;$E134,OFFSET('Costs 03'!M16,0,-$E134),0))</f>
        <v>0</v>
      </c>
      <c r="N134" s="722">
        <f ca="1">IF(EOMONTH(Enddatum,$E134+1)&lt;=N$5,0,IF(N$7&gt;$E134,OFFSET('Costs 03'!N16,0,-$E134),0))</f>
        <v>0</v>
      </c>
      <c r="O134" s="722">
        <f ca="1">IF(EOMONTH(Enddatum,$E134+1)&lt;=O$5,0,IF(O$7&gt;$E134,OFFSET('Costs 03'!O16,0,-$E134),0))</f>
        <v>0</v>
      </c>
      <c r="P134" s="722">
        <f ca="1">IF(EOMONTH(Enddatum,$E134+1)&lt;=P$5,0,IF(P$7&gt;$E134,OFFSET('Costs 03'!P16,0,-$E134),0))</f>
        <v>0</v>
      </c>
      <c r="Q134" s="722">
        <f ca="1">IF(EOMONTH(Enddatum,$E134+1)&lt;=Q$5,0,IF(Q$7&gt;$E134,OFFSET('Costs 03'!Q16,0,-$E134),0))</f>
        <v>0</v>
      </c>
      <c r="R134" s="722">
        <f ca="1">IF(EOMONTH(Enddatum,$E134+1)&lt;=R$5,0,IF(R$7&gt;$E134,OFFSET('Costs 03'!R16,0,-$E134),0))</f>
        <v>0</v>
      </c>
      <c r="S134" s="722">
        <f ca="1">IF(EOMONTH(Enddatum,$E134+1)&lt;=S$5,0,IF(S$7&gt;$E134,OFFSET('Costs 03'!S16,0,-$E134),0))</f>
        <v>0</v>
      </c>
      <c r="T134" s="722">
        <f ca="1">IF(EOMONTH(Enddatum,$E134+1)&lt;=T$5,0,IF(T$7&gt;$E134,OFFSET('Costs 03'!T16,0,-$E134),0))</f>
        <v>0</v>
      </c>
      <c r="U134" s="722">
        <f ca="1">IF(EOMONTH(Enddatum,$E134+1)&lt;=U$5,0,IF(U$7&gt;$E134,OFFSET('Costs 03'!U16,0,-$E134),0))</f>
        <v>0</v>
      </c>
      <c r="V134" s="722">
        <f ca="1">IF(EOMONTH(Enddatum,$E134+1)&lt;=V$5,0,IF(V$7&gt;$E134,OFFSET('Costs 03'!V16,0,-$E134),0))</f>
        <v>0</v>
      </c>
      <c r="W134" s="722">
        <f ca="1">IF(EOMONTH(Enddatum,$E134+1)&lt;=W$5,0,IF(W$7&gt;$E134,OFFSET('Costs 03'!W16,0,-$E134),0))</f>
        <v>0</v>
      </c>
      <c r="X134" s="722">
        <f ca="1">IF(EOMONTH(Enddatum,$E134+1)&lt;=X$5,0,IF(X$7&gt;$E134,OFFSET('Costs 03'!X16,0,-$E134),0))</f>
        <v>0</v>
      </c>
      <c r="Y134" s="722">
        <f ca="1">IF(EOMONTH(Enddatum,$E134+1)&lt;=Y$5,0,IF(Y$7&gt;$E134,OFFSET('Costs 03'!Y16,0,-$E134),0))</f>
        <v>0</v>
      </c>
      <c r="Z134" s="722">
        <f ca="1">IF(EOMONTH(Enddatum,$E134+1)&lt;=Z$5,0,IF(Z$7&gt;$E134,OFFSET('Costs 03'!Z16,0,-$E134),0))</f>
        <v>0</v>
      </c>
      <c r="AA134" s="722">
        <f ca="1">IF(EOMONTH(Enddatum,$E134+1)&lt;=AA$5,0,IF(AA$7&gt;$E134,OFFSET('Costs 03'!AA16,0,-$E134),0))</f>
        <v>0</v>
      </c>
      <c r="AB134" s="722">
        <f ca="1">IF(EOMONTH(Enddatum,$E134+1)&lt;=AB$5,0,IF(AB$7&gt;$E134,OFFSET('Costs 03'!AB16,0,-$E134),0))</f>
        <v>0</v>
      </c>
      <c r="AC134" s="722">
        <f ca="1">IF(EOMONTH(Enddatum,$E134+1)&lt;=AC$5,0,IF(AC$7&gt;$E134,OFFSET('Costs 03'!AC16,0,-$E134),0))</f>
        <v>0</v>
      </c>
      <c r="AD134" s="722">
        <f ca="1">IF(EOMONTH(Enddatum,$E134+1)&lt;=AD$5,0,IF(AD$7&gt;$E134,OFFSET('Costs 03'!AD16,0,-$E134),0))</f>
        <v>0</v>
      </c>
      <c r="AE134" s="722">
        <f ca="1">IF(EOMONTH(Enddatum,$E134+1)&lt;=AE$5,0,IF(AE$7&gt;$E134,OFFSET('Costs 03'!AE16,0,-$E134),0))</f>
        <v>0</v>
      </c>
      <c r="AF134" s="722">
        <f ca="1">IF(EOMONTH(Enddatum,$E134+1)&lt;=AF$5,0,IF(AF$7&gt;$E134,OFFSET('Costs 03'!AF16,0,-$E134),0))</f>
        <v>0</v>
      </c>
      <c r="AG134" s="722">
        <f ca="1">IF(EOMONTH(Enddatum,$E134+1)&lt;=AG$5,0,IF(AG$7&gt;$E134,OFFSET('Costs 03'!AG16,0,-$E134),0))</f>
        <v>0</v>
      </c>
    </row>
    <row r="135" spans="1:33" s="649" customFormat="1" ht="18" customHeight="1" outlineLevel="1">
      <c r="A135" s="894"/>
      <c r="B135" s="287"/>
      <c r="C135" s="24" t="str">
        <f>'Costs 03'!C17</f>
        <v>Miscellaneous 01</v>
      </c>
      <c r="D135" s="8" t="str">
        <f t="shared" si="43"/>
        <v>USD</v>
      </c>
      <c r="E135" s="714">
        <f>'Costs 03'!F17</f>
        <v>0</v>
      </c>
      <c r="F135" s="894"/>
      <c r="G135" s="287"/>
      <c r="H135" s="287"/>
      <c r="I135" s="71">
        <f t="shared" ca="1" si="44"/>
        <v>0</v>
      </c>
      <c r="J135" s="722">
        <f ca="1">IF(EOMONTH(Enddatum,$E135+1)&lt;=J$5,0,IF(J$7&gt;$E135,OFFSET('Costs 03'!J17,0,-$E135),0))</f>
        <v>0</v>
      </c>
      <c r="K135" s="722">
        <f ca="1">IF(EOMONTH(Enddatum,$E135+1)&lt;=K$5,0,IF(K$7&gt;$E135,OFFSET('Costs 03'!K17,0,-$E135),0))</f>
        <v>0</v>
      </c>
      <c r="L135" s="722">
        <f ca="1">IF(EOMONTH(Enddatum,$E135+1)&lt;=L$5,0,IF(L$7&gt;$E135,OFFSET('Costs 03'!L17,0,-$E135),0))</f>
        <v>0</v>
      </c>
      <c r="M135" s="722">
        <f ca="1">IF(EOMONTH(Enddatum,$E135+1)&lt;=M$5,0,IF(M$7&gt;$E135,OFFSET('Costs 03'!M17,0,-$E135),0))</f>
        <v>0</v>
      </c>
      <c r="N135" s="722">
        <f ca="1">IF(EOMONTH(Enddatum,$E135+1)&lt;=N$5,0,IF(N$7&gt;$E135,OFFSET('Costs 03'!N17,0,-$E135),0))</f>
        <v>0</v>
      </c>
      <c r="O135" s="722">
        <f ca="1">IF(EOMONTH(Enddatum,$E135+1)&lt;=O$5,0,IF(O$7&gt;$E135,OFFSET('Costs 03'!O17,0,-$E135),0))</f>
        <v>0</v>
      </c>
      <c r="P135" s="722">
        <f ca="1">IF(EOMONTH(Enddatum,$E135+1)&lt;=P$5,0,IF(P$7&gt;$E135,OFFSET('Costs 03'!P17,0,-$E135),0))</f>
        <v>0</v>
      </c>
      <c r="Q135" s="722">
        <f ca="1">IF(EOMONTH(Enddatum,$E135+1)&lt;=Q$5,0,IF(Q$7&gt;$E135,OFFSET('Costs 03'!Q17,0,-$E135),0))</f>
        <v>0</v>
      </c>
      <c r="R135" s="722">
        <f ca="1">IF(EOMONTH(Enddatum,$E135+1)&lt;=R$5,0,IF(R$7&gt;$E135,OFFSET('Costs 03'!R17,0,-$E135),0))</f>
        <v>0</v>
      </c>
      <c r="S135" s="722">
        <f ca="1">IF(EOMONTH(Enddatum,$E135+1)&lt;=S$5,0,IF(S$7&gt;$E135,OFFSET('Costs 03'!S17,0,-$E135),0))</f>
        <v>0</v>
      </c>
      <c r="T135" s="722">
        <f ca="1">IF(EOMONTH(Enddatum,$E135+1)&lt;=T$5,0,IF(T$7&gt;$E135,OFFSET('Costs 03'!T17,0,-$E135),0))</f>
        <v>0</v>
      </c>
      <c r="U135" s="722">
        <f ca="1">IF(EOMONTH(Enddatum,$E135+1)&lt;=U$5,0,IF(U$7&gt;$E135,OFFSET('Costs 03'!U17,0,-$E135),0))</f>
        <v>0</v>
      </c>
      <c r="V135" s="722">
        <f ca="1">IF(EOMONTH(Enddatum,$E135+1)&lt;=V$5,0,IF(V$7&gt;$E135,OFFSET('Costs 03'!V17,0,-$E135),0))</f>
        <v>0</v>
      </c>
      <c r="W135" s="722">
        <f ca="1">IF(EOMONTH(Enddatum,$E135+1)&lt;=W$5,0,IF(W$7&gt;$E135,OFFSET('Costs 03'!W17,0,-$E135),0))</f>
        <v>0</v>
      </c>
      <c r="X135" s="722">
        <f ca="1">IF(EOMONTH(Enddatum,$E135+1)&lt;=X$5,0,IF(X$7&gt;$E135,OFFSET('Costs 03'!X17,0,-$E135),0))</f>
        <v>0</v>
      </c>
      <c r="Y135" s="722">
        <f ca="1">IF(EOMONTH(Enddatum,$E135+1)&lt;=Y$5,0,IF(Y$7&gt;$E135,OFFSET('Costs 03'!Y17,0,-$E135),0))</f>
        <v>0</v>
      </c>
      <c r="Z135" s="722">
        <f ca="1">IF(EOMONTH(Enddatum,$E135+1)&lt;=Z$5,0,IF(Z$7&gt;$E135,OFFSET('Costs 03'!Z17,0,-$E135),0))</f>
        <v>0</v>
      </c>
      <c r="AA135" s="722">
        <f ca="1">IF(EOMONTH(Enddatum,$E135+1)&lt;=AA$5,0,IF(AA$7&gt;$E135,OFFSET('Costs 03'!AA17,0,-$E135),0))</f>
        <v>0</v>
      </c>
      <c r="AB135" s="722">
        <f ca="1">IF(EOMONTH(Enddatum,$E135+1)&lt;=AB$5,0,IF(AB$7&gt;$E135,OFFSET('Costs 03'!AB17,0,-$E135),0))</f>
        <v>0</v>
      </c>
      <c r="AC135" s="722">
        <f ca="1">IF(EOMONTH(Enddatum,$E135+1)&lt;=AC$5,0,IF(AC$7&gt;$E135,OFFSET('Costs 03'!AC17,0,-$E135),0))</f>
        <v>0</v>
      </c>
      <c r="AD135" s="722">
        <f ca="1">IF(EOMONTH(Enddatum,$E135+1)&lt;=AD$5,0,IF(AD$7&gt;$E135,OFFSET('Costs 03'!AD17,0,-$E135),0))</f>
        <v>0</v>
      </c>
      <c r="AE135" s="722">
        <f ca="1">IF(EOMONTH(Enddatum,$E135+1)&lt;=AE$5,0,IF(AE$7&gt;$E135,OFFSET('Costs 03'!AE17,0,-$E135),0))</f>
        <v>0</v>
      </c>
      <c r="AF135" s="722">
        <f ca="1">IF(EOMONTH(Enddatum,$E135+1)&lt;=AF$5,0,IF(AF$7&gt;$E135,OFFSET('Costs 03'!AF17,0,-$E135),0))</f>
        <v>0</v>
      </c>
      <c r="AG135" s="722">
        <f ca="1">IF(EOMONTH(Enddatum,$E135+1)&lt;=AG$5,0,IF(AG$7&gt;$E135,OFFSET('Costs 03'!AG17,0,-$E135),0))</f>
        <v>0</v>
      </c>
    </row>
    <row r="136" spans="1:33" s="649" customFormat="1" ht="18" customHeight="1" outlineLevel="1">
      <c r="A136" s="894"/>
      <c r="B136" s="287"/>
      <c r="C136" s="24" t="str">
        <f>'Costs 03'!C18</f>
        <v>Miscellaneous 02</v>
      </c>
      <c r="D136" s="8" t="str">
        <f t="shared" si="43"/>
        <v>USD</v>
      </c>
      <c r="E136" s="714">
        <f>'Costs 03'!F18</f>
        <v>0</v>
      </c>
      <c r="F136" s="894"/>
      <c r="G136" s="287"/>
      <c r="H136" s="287"/>
      <c r="I136" s="71">
        <f t="shared" ca="1" si="44"/>
        <v>0</v>
      </c>
      <c r="J136" s="722">
        <f ca="1">IF(EOMONTH(Enddatum,$E136+1)&lt;=J$5,0,IF(J$7&gt;$E136,OFFSET('Costs 03'!J18,0,-$E136),0))</f>
        <v>0</v>
      </c>
      <c r="K136" s="722">
        <f ca="1">IF(EOMONTH(Enddatum,$E136+1)&lt;=K$5,0,IF(K$7&gt;$E136,OFFSET('Costs 03'!K18,0,-$E136),0))</f>
        <v>0</v>
      </c>
      <c r="L136" s="722">
        <f ca="1">IF(EOMONTH(Enddatum,$E136+1)&lt;=L$5,0,IF(L$7&gt;$E136,OFFSET('Costs 03'!L18,0,-$E136),0))</f>
        <v>0</v>
      </c>
      <c r="M136" s="722">
        <f ca="1">IF(EOMONTH(Enddatum,$E136+1)&lt;=M$5,0,IF(M$7&gt;$E136,OFFSET('Costs 03'!M18,0,-$E136),0))</f>
        <v>0</v>
      </c>
      <c r="N136" s="722">
        <f ca="1">IF(EOMONTH(Enddatum,$E136+1)&lt;=N$5,0,IF(N$7&gt;$E136,OFFSET('Costs 03'!N18,0,-$E136),0))</f>
        <v>0</v>
      </c>
      <c r="O136" s="722">
        <f ca="1">IF(EOMONTH(Enddatum,$E136+1)&lt;=O$5,0,IF(O$7&gt;$E136,OFFSET('Costs 03'!O18,0,-$E136),0))</f>
        <v>0</v>
      </c>
      <c r="P136" s="722">
        <f ca="1">IF(EOMONTH(Enddatum,$E136+1)&lt;=P$5,0,IF(P$7&gt;$E136,OFFSET('Costs 03'!P18,0,-$E136),0))</f>
        <v>0</v>
      </c>
      <c r="Q136" s="722">
        <f ca="1">IF(EOMONTH(Enddatum,$E136+1)&lt;=Q$5,0,IF(Q$7&gt;$E136,OFFSET('Costs 03'!Q18,0,-$E136),0))</f>
        <v>0</v>
      </c>
      <c r="R136" s="722">
        <f ca="1">IF(EOMONTH(Enddatum,$E136+1)&lt;=R$5,0,IF(R$7&gt;$E136,OFFSET('Costs 03'!R18,0,-$E136),0))</f>
        <v>0</v>
      </c>
      <c r="S136" s="722">
        <f ca="1">IF(EOMONTH(Enddatum,$E136+1)&lt;=S$5,0,IF(S$7&gt;$E136,OFFSET('Costs 03'!S18,0,-$E136),0))</f>
        <v>0</v>
      </c>
      <c r="T136" s="722">
        <f ca="1">IF(EOMONTH(Enddatum,$E136+1)&lt;=T$5,0,IF(T$7&gt;$E136,OFFSET('Costs 03'!T18,0,-$E136),0))</f>
        <v>0</v>
      </c>
      <c r="U136" s="722">
        <f ca="1">IF(EOMONTH(Enddatum,$E136+1)&lt;=U$5,0,IF(U$7&gt;$E136,OFFSET('Costs 03'!U18,0,-$E136),0))</f>
        <v>0</v>
      </c>
      <c r="V136" s="722">
        <f ca="1">IF(EOMONTH(Enddatum,$E136+1)&lt;=V$5,0,IF(V$7&gt;$E136,OFFSET('Costs 03'!V18,0,-$E136),0))</f>
        <v>0</v>
      </c>
      <c r="W136" s="722">
        <f ca="1">IF(EOMONTH(Enddatum,$E136+1)&lt;=W$5,0,IF(W$7&gt;$E136,OFFSET('Costs 03'!W18,0,-$E136),0))</f>
        <v>0</v>
      </c>
      <c r="X136" s="722">
        <f ca="1">IF(EOMONTH(Enddatum,$E136+1)&lt;=X$5,0,IF(X$7&gt;$E136,OFFSET('Costs 03'!X18,0,-$E136),0))</f>
        <v>0</v>
      </c>
      <c r="Y136" s="722">
        <f ca="1">IF(EOMONTH(Enddatum,$E136+1)&lt;=Y$5,0,IF(Y$7&gt;$E136,OFFSET('Costs 03'!Y18,0,-$E136),0))</f>
        <v>0</v>
      </c>
      <c r="Z136" s="722">
        <f ca="1">IF(EOMONTH(Enddatum,$E136+1)&lt;=Z$5,0,IF(Z$7&gt;$E136,OFFSET('Costs 03'!Z18,0,-$E136),0))</f>
        <v>0</v>
      </c>
      <c r="AA136" s="722">
        <f ca="1">IF(EOMONTH(Enddatum,$E136+1)&lt;=AA$5,0,IF(AA$7&gt;$E136,OFFSET('Costs 03'!AA18,0,-$E136),0))</f>
        <v>0</v>
      </c>
      <c r="AB136" s="722">
        <f ca="1">IF(EOMONTH(Enddatum,$E136+1)&lt;=AB$5,0,IF(AB$7&gt;$E136,OFFSET('Costs 03'!AB18,0,-$E136),0))</f>
        <v>0</v>
      </c>
      <c r="AC136" s="722">
        <f ca="1">IF(EOMONTH(Enddatum,$E136+1)&lt;=AC$5,0,IF(AC$7&gt;$E136,OFFSET('Costs 03'!AC18,0,-$E136),0))</f>
        <v>0</v>
      </c>
      <c r="AD136" s="722">
        <f ca="1">IF(EOMONTH(Enddatum,$E136+1)&lt;=AD$5,0,IF(AD$7&gt;$E136,OFFSET('Costs 03'!AD18,0,-$E136),0))</f>
        <v>0</v>
      </c>
      <c r="AE136" s="722">
        <f ca="1">IF(EOMONTH(Enddatum,$E136+1)&lt;=AE$5,0,IF(AE$7&gt;$E136,OFFSET('Costs 03'!AE18,0,-$E136),0))</f>
        <v>0</v>
      </c>
      <c r="AF136" s="722">
        <f ca="1">IF(EOMONTH(Enddatum,$E136+1)&lt;=AF$5,0,IF(AF$7&gt;$E136,OFFSET('Costs 03'!AF18,0,-$E136),0))</f>
        <v>0</v>
      </c>
      <c r="AG136" s="722">
        <f ca="1">IF(EOMONTH(Enddatum,$E136+1)&lt;=AG$5,0,IF(AG$7&gt;$E136,OFFSET('Costs 03'!AG18,0,-$E136),0))</f>
        <v>0</v>
      </c>
    </row>
    <row r="137" spans="1:33" s="649" customFormat="1" ht="18" customHeight="1" outlineLevel="1">
      <c r="A137" s="894"/>
      <c r="B137" s="287"/>
      <c r="C137" s="24" t="str">
        <f>'Costs 03'!C19</f>
        <v>Miscellaneous 03</v>
      </c>
      <c r="D137" s="8" t="str">
        <f t="shared" si="43"/>
        <v>USD</v>
      </c>
      <c r="E137" s="714">
        <f>'Costs 03'!F19</f>
        <v>0</v>
      </c>
      <c r="F137" s="894"/>
      <c r="G137" s="287"/>
      <c r="H137" s="287"/>
      <c r="I137" s="71">
        <f t="shared" ca="1" si="44"/>
        <v>0</v>
      </c>
      <c r="J137" s="722">
        <f ca="1">IF(EOMONTH(Enddatum,$E137+1)&lt;=J$5,0,IF(J$7&gt;$E137,OFFSET('Costs 03'!J19,0,-$E137),0))</f>
        <v>0</v>
      </c>
      <c r="K137" s="722">
        <f ca="1">IF(EOMONTH(Enddatum,$E137+1)&lt;=K$5,0,IF(K$7&gt;$E137,OFFSET('Costs 03'!K19,0,-$E137),0))</f>
        <v>0</v>
      </c>
      <c r="L137" s="722">
        <f ca="1">IF(EOMONTH(Enddatum,$E137+1)&lt;=L$5,0,IF(L$7&gt;$E137,OFFSET('Costs 03'!L19,0,-$E137),0))</f>
        <v>0</v>
      </c>
      <c r="M137" s="722">
        <f ca="1">IF(EOMONTH(Enddatum,$E137+1)&lt;=M$5,0,IF(M$7&gt;$E137,OFFSET('Costs 03'!M19,0,-$E137),0))</f>
        <v>0</v>
      </c>
      <c r="N137" s="722">
        <f ca="1">IF(EOMONTH(Enddatum,$E137+1)&lt;=N$5,0,IF(N$7&gt;$E137,OFFSET('Costs 03'!N19,0,-$E137),0))</f>
        <v>0</v>
      </c>
      <c r="O137" s="722">
        <f ca="1">IF(EOMONTH(Enddatum,$E137+1)&lt;=O$5,0,IF(O$7&gt;$E137,OFFSET('Costs 03'!O19,0,-$E137),0))</f>
        <v>0</v>
      </c>
      <c r="P137" s="722">
        <f ca="1">IF(EOMONTH(Enddatum,$E137+1)&lt;=P$5,0,IF(P$7&gt;$E137,OFFSET('Costs 03'!P19,0,-$E137),0))</f>
        <v>0</v>
      </c>
      <c r="Q137" s="722">
        <f ca="1">IF(EOMONTH(Enddatum,$E137+1)&lt;=Q$5,0,IF(Q$7&gt;$E137,OFFSET('Costs 03'!Q19,0,-$E137),0))</f>
        <v>0</v>
      </c>
      <c r="R137" s="722">
        <f ca="1">IF(EOMONTH(Enddatum,$E137+1)&lt;=R$5,0,IF(R$7&gt;$E137,OFFSET('Costs 03'!R19,0,-$E137),0))</f>
        <v>0</v>
      </c>
      <c r="S137" s="722">
        <f ca="1">IF(EOMONTH(Enddatum,$E137+1)&lt;=S$5,0,IF(S$7&gt;$E137,OFFSET('Costs 03'!S19,0,-$E137),0))</f>
        <v>0</v>
      </c>
      <c r="T137" s="722">
        <f ca="1">IF(EOMONTH(Enddatum,$E137+1)&lt;=T$5,0,IF(T$7&gt;$E137,OFFSET('Costs 03'!T19,0,-$E137),0))</f>
        <v>0</v>
      </c>
      <c r="U137" s="722">
        <f ca="1">IF(EOMONTH(Enddatum,$E137+1)&lt;=U$5,0,IF(U$7&gt;$E137,OFFSET('Costs 03'!U19,0,-$E137),0))</f>
        <v>0</v>
      </c>
      <c r="V137" s="722">
        <f ca="1">IF(EOMONTH(Enddatum,$E137+1)&lt;=V$5,0,IF(V$7&gt;$E137,OFFSET('Costs 03'!V19,0,-$E137),0))</f>
        <v>0</v>
      </c>
      <c r="W137" s="722">
        <f ca="1">IF(EOMONTH(Enddatum,$E137+1)&lt;=W$5,0,IF(W$7&gt;$E137,OFFSET('Costs 03'!W19,0,-$E137),0))</f>
        <v>0</v>
      </c>
      <c r="X137" s="722">
        <f ca="1">IF(EOMONTH(Enddatum,$E137+1)&lt;=X$5,0,IF(X$7&gt;$E137,OFFSET('Costs 03'!X19,0,-$E137),0))</f>
        <v>0</v>
      </c>
      <c r="Y137" s="722">
        <f ca="1">IF(EOMONTH(Enddatum,$E137+1)&lt;=Y$5,0,IF(Y$7&gt;$E137,OFFSET('Costs 03'!Y19,0,-$E137),0))</f>
        <v>0</v>
      </c>
      <c r="Z137" s="722">
        <f ca="1">IF(EOMONTH(Enddatum,$E137+1)&lt;=Z$5,0,IF(Z$7&gt;$E137,OFFSET('Costs 03'!Z19,0,-$E137),0))</f>
        <v>0</v>
      </c>
      <c r="AA137" s="722">
        <f ca="1">IF(EOMONTH(Enddatum,$E137+1)&lt;=AA$5,0,IF(AA$7&gt;$E137,OFFSET('Costs 03'!AA19,0,-$E137),0))</f>
        <v>0</v>
      </c>
      <c r="AB137" s="722">
        <f ca="1">IF(EOMONTH(Enddatum,$E137+1)&lt;=AB$5,0,IF(AB$7&gt;$E137,OFFSET('Costs 03'!AB19,0,-$E137),0))</f>
        <v>0</v>
      </c>
      <c r="AC137" s="722">
        <f ca="1">IF(EOMONTH(Enddatum,$E137+1)&lt;=AC$5,0,IF(AC$7&gt;$E137,OFFSET('Costs 03'!AC19,0,-$E137),0))</f>
        <v>0</v>
      </c>
      <c r="AD137" s="722">
        <f ca="1">IF(EOMONTH(Enddatum,$E137+1)&lt;=AD$5,0,IF(AD$7&gt;$E137,OFFSET('Costs 03'!AD19,0,-$E137),0))</f>
        <v>0</v>
      </c>
      <c r="AE137" s="722">
        <f ca="1">IF(EOMONTH(Enddatum,$E137+1)&lt;=AE$5,0,IF(AE$7&gt;$E137,OFFSET('Costs 03'!AE19,0,-$E137),0))</f>
        <v>0</v>
      </c>
      <c r="AF137" s="722">
        <f ca="1">IF(EOMONTH(Enddatum,$E137+1)&lt;=AF$5,0,IF(AF$7&gt;$E137,OFFSET('Costs 03'!AF19,0,-$E137),0))</f>
        <v>0</v>
      </c>
      <c r="AG137" s="722">
        <f ca="1">IF(EOMONTH(Enddatum,$E137+1)&lt;=AG$5,0,IF(AG$7&gt;$E137,OFFSET('Costs 03'!AG19,0,-$E137),0))</f>
        <v>0</v>
      </c>
    </row>
    <row r="138" spans="1:33" s="649" customFormat="1" ht="18" customHeight="1" outlineLevel="1">
      <c r="A138" s="894"/>
      <c r="B138" s="287"/>
      <c r="C138" s="717" t="str">
        <f>'Costs 03'!C22</f>
        <v>Operational Expenses</v>
      </c>
      <c r="D138" s="287"/>
      <c r="E138" s="287"/>
      <c r="F138" s="894"/>
      <c r="G138" s="287"/>
      <c r="H138" s="287"/>
      <c r="I138" s="287"/>
      <c r="J138" s="723"/>
      <c r="K138" s="723"/>
      <c r="L138" s="723"/>
      <c r="M138" s="723"/>
      <c r="N138" s="723"/>
      <c r="O138" s="723"/>
      <c r="P138" s="723"/>
      <c r="Q138" s="723"/>
      <c r="R138" s="723"/>
      <c r="S138" s="723"/>
      <c r="T138" s="723"/>
      <c r="U138" s="723"/>
      <c r="V138" s="723"/>
      <c r="W138" s="723"/>
      <c r="X138" s="723"/>
      <c r="Y138" s="723"/>
      <c r="Z138" s="723"/>
      <c r="AA138" s="723"/>
      <c r="AB138" s="723"/>
      <c r="AC138" s="723"/>
      <c r="AD138" s="723"/>
      <c r="AE138" s="723"/>
      <c r="AF138" s="723"/>
      <c r="AG138" s="723"/>
    </row>
    <row r="139" spans="1:33" s="649" customFormat="1" ht="18" customHeight="1" outlineLevel="1">
      <c r="A139" s="894"/>
      <c r="B139" s="287"/>
      <c r="C139" s="24" t="str">
        <f>'Costs 03'!C24</f>
        <v>Power</v>
      </c>
      <c r="D139" s="8" t="str">
        <f t="shared" ref="D139:D145" si="45">Currency_Label</f>
        <v>USD</v>
      </c>
      <c r="E139" s="714">
        <f>'Costs 03'!F24</f>
        <v>1</v>
      </c>
      <c r="F139" s="894"/>
      <c r="G139" s="287"/>
      <c r="H139" s="287"/>
      <c r="I139" s="71">
        <f t="shared" ref="I139:I145" ca="1" si="46">SUM(J139:AG139)</f>
        <v>22000</v>
      </c>
      <c r="J139" s="722">
        <f ca="1">IF(EOMONTH(Enddatum,$E139+1)&lt;=J$5,0,IF(J$7&gt;$E139,OFFSET('Costs 03'!J24,0,-$E139),0))</f>
        <v>0</v>
      </c>
      <c r="K139" s="722">
        <f ca="1">IF(EOMONTH(Enddatum,$E139+1)&lt;=K$5,0,IF(K$7&gt;$E139,OFFSET('Costs 03'!K24,0,-$E139),0))</f>
        <v>500</v>
      </c>
      <c r="L139" s="722">
        <f ca="1">IF(EOMONTH(Enddatum,$E139+1)&lt;=L$5,0,IF(L$7&gt;$E139,OFFSET('Costs 03'!L24,0,-$E139),0))</f>
        <v>600</v>
      </c>
      <c r="M139" s="722">
        <f ca="1">IF(EOMONTH(Enddatum,$E139+1)&lt;=M$5,0,IF(M$7&gt;$E139,OFFSET('Costs 03'!M24,0,-$E139),0))</f>
        <v>650</v>
      </c>
      <c r="N139" s="722">
        <f ca="1">IF(EOMONTH(Enddatum,$E139+1)&lt;=N$5,0,IF(N$7&gt;$E139,OFFSET('Costs 03'!N24,0,-$E139),0))</f>
        <v>700</v>
      </c>
      <c r="O139" s="722">
        <f ca="1">IF(EOMONTH(Enddatum,$E139+1)&lt;=O$5,0,IF(O$7&gt;$E139,OFFSET('Costs 03'!O24,0,-$E139),0))</f>
        <v>750</v>
      </c>
      <c r="P139" s="722">
        <f ca="1">IF(EOMONTH(Enddatum,$E139+1)&lt;=P$5,0,IF(P$7&gt;$E139,OFFSET('Costs 03'!P24,0,-$E139),0))</f>
        <v>800</v>
      </c>
      <c r="Q139" s="722">
        <f ca="1">IF(EOMONTH(Enddatum,$E139+1)&lt;=Q$5,0,IF(Q$7&gt;$E139,OFFSET('Costs 03'!Q24,0,-$E139),0))</f>
        <v>850</v>
      </c>
      <c r="R139" s="722">
        <f ca="1">IF(EOMONTH(Enddatum,$E139+1)&lt;=R$5,0,IF(R$7&gt;$E139,OFFSET('Costs 03'!R24,0,-$E139),0))</f>
        <v>900</v>
      </c>
      <c r="S139" s="722">
        <f ca="1">IF(EOMONTH(Enddatum,$E139+1)&lt;=S$5,0,IF(S$7&gt;$E139,OFFSET('Costs 03'!S24,0,-$E139),0))</f>
        <v>950</v>
      </c>
      <c r="T139" s="722">
        <f ca="1">IF(EOMONTH(Enddatum,$E139+1)&lt;=T$5,0,IF(T$7&gt;$E139,OFFSET('Costs 03'!T24,0,-$E139),0))</f>
        <v>1000</v>
      </c>
      <c r="U139" s="722">
        <f ca="1">IF(EOMONTH(Enddatum,$E139+1)&lt;=U$5,0,IF(U$7&gt;$E139,OFFSET('Costs 03'!U24,0,-$E139),0))</f>
        <v>1050</v>
      </c>
      <c r="V139" s="722">
        <f ca="1">IF(EOMONTH(Enddatum,$E139+1)&lt;=V$5,0,IF(V$7&gt;$E139,OFFSET('Costs 03'!V24,0,-$E139),0))</f>
        <v>1100</v>
      </c>
      <c r="W139" s="722">
        <f ca="1">IF(EOMONTH(Enddatum,$E139+1)&lt;=W$5,0,IF(W$7&gt;$E139,OFFSET('Costs 03'!W24,0,-$E139),0))</f>
        <v>1150</v>
      </c>
      <c r="X139" s="722">
        <f ca="1">IF(EOMONTH(Enddatum,$E139+1)&lt;=X$5,0,IF(X$7&gt;$E139,OFFSET('Costs 03'!X24,0,-$E139),0))</f>
        <v>1200</v>
      </c>
      <c r="Y139" s="722">
        <f ca="1">IF(EOMONTH(Enddatum,$E139+1)&lt;=Y$5,0,IF(Y$7&gt;$E139,OFFSET('Costs 03'!Y24,0,-$E139),0))</f>
        <v>1250</v>
      </c>
      <c r="Z139" s="722">
        <f ca="1">IF(EOMONTH(Enddatum,$E139+1)&lt;=Z$5,0,IF(Z$7&gt;$E139,OFFSET('Costs 03'!Z24,0,-$E139),0))</f>
        <v>1300</v>
      </c>
      <c r="AA139" s="722">
        <f ca="1">IF(EOMONTH(Enddatum,$E139+1)&lt;=AA$5,0,IF(AA$7&gt;$E139,OFFSET('Costs 03'!AA24,0,-$E139),0))</f>
        <v>1350</v>
      </c>
      <c r="AB139" s="722">
        <f ca="1">IF(EOMONTH(Enddatum,$E139+1)&lt;=AB$5,0,IF(AB$7&gt;$E139,OFFSET('Costs 03'!AB24,0,-$E139),0))</f>
        <v>1400</v>
      </c>
      <c r="AC139" s="722">
        <f ca="1">IF(EOMONTH(Enddatum,$E139+1)&lt;=AC$5,0,IF(AC$7&gt;$E139,OFFSET('Costs 03'!AC24,0,-$E139),0))</f>
        <v>1450</v>
      </c>
      <c r="AD139" s="722">
        <f ca="1">IF(EOMONTH(Enddatum,$E139+1)&lt;=AD$5,0,IF(AD$7&gt;$E139,OFFSET('Costs 03'!AD24,0,-$E139),0))</f>
        <v>1500</v>
      </c>
      <c r="AE139" s="722">
        <f ca="1">IF(EOMONTH(Enddatum,$E139+1)&lt;=AE$5,0,IF(AE$7&gt;$E139,OFFSET('Costs 03'!AE24,0,-$E139),0))</f>
        <v>1550</v>
      </c>
      <c r="AF139" s="722">
        <f ca="1">IF(EOMONTH(Enddatum,$E139+1)&lt;=AF$5,0,IF(AF$7&gt;$E139,OFFSET('Costs 03'!AF24,0,-$E139),0))</f>
        <v>0</v>
      </c>
      <c r="AG139" s="722">
        <f ca="1">IF(EOMONTH(Enddatum,$E139+1)&lt;=AG$5,0,IF(AG$7&gt;$E139,OFFSET('Costs 03'!AG24,0,-$E139),0))</f>
        <v>0</v>
      </c>
    </row>
    <row r="140" spans="1:33" s="649" customFormat="1" ht="18" customHeight="1" outlineLevel="1">
      <c r="A140" s="894"/>
      <c r="B140" s="287"/>
      <c r="C140" s="24" t="str">
        <f>'Costs 03'!C25</f>
        <v>Heat and light</v>
      </c>
      <c r="D140" s="8" t="str">
        <f t="shared" si="45"/>
        <v>USD</v>
      </c>
      <c r="E140" s="714">
        <f>'Costs 03'!F25</f>
        <v>1</v>
      </c>
      <c r="F140" s="894"/>
      <c r="G140" s="287"/>
      <c r="H140" s="287"/>
      <c r="I140" s="71">
        <f t="shared" ca="1" si="46"/>
        <v>8800</v>
      </c>
      <c r="J140" s="722">
        <f ca="1">IF(EOMONTH(Enddatum,$E140+1)&lt;=J$5,0,IF(J$7&gt;$E140,OFFSET('Costs 03'!J25,0,-$E140),0))</f>
        <v>0</v>
      </c>
      <c r="K140" s="722">
        <f ca="1">IF(EOMONTH(Enddatum,$E140+1)&lt;=K$5,0,IF(K$7&gt;$E140,OFFSET('Costs 03'!K25,0,-$E140),0))</f>
        <v>200</v>
      </c>
      <c r="L140" s="722">
        <f ca="1">IF(EOMONTH(Enddatum,$E140+1)&lt;=L$5,0,IF(L$7&gt;$E140,OFFSET('Costs 03'!L25,0,-$E140),0))</f>
        <v>240</v>
      </c>
      <c r="M140" s="722">
        <f ca="1">IF(EOMONTH(Enddatum,$E140+1)&lt;=M$5,0,IF(M$7&gt;$E140,OFFSET('Costs 03'!M25,0,-$E140),0))</f>
        <v>260</v>
      </c>
      <c r="N140" s="722">
        <f ca="1">IF(EOMONTH(Enddatum,$E140+1)&lt;=N$5,0,IF(N$7&gt;$E140,OFFSET('Costs 03'!N25,0,-$E140),0))</f>
        <v>280</v>
      </c>
      <c r="O140" s="722">
        <f ca="1">IF(EOMONTH(Enddatum,$E140+1)&lt;=O$5,0,IF(O$7&gt;$E140,OFFSET('Costs 03'!O25,0,-$E140),0))</f>
        <v>300</v>
      </c>
      <c r="P140" s="722">
        <f ca="1">IF(EOMONTH(Enddatum,$E140+1)&lt;=P$5,0,IF(P$7&gt;$E140,OFFSET('Costs 03'!P25,0,-$E140),0))</f>
        <v>320</v>
      </c>
      <c r="Q140" s="722">
        <f ca="1">IF(EOMONTH(Enddatum,$E140+1)&lt;=Q$5,0,IF(Q$7&gt;$E140,OFFSET('Costs 03'!Q25,0,-$E140),0))</f>
        <v>340</v>
      </c>
      <c r="R140" s="722">
        <f ca="1">IF(EOMONTH(Enddatum,$E140+1)&lt;=R$5,0,IF(R$7&gt;$E140,OFFSET('Costs 03'!R25,0,-$E140),0))</f>
        <v>360</v>
      </c>
      <c r="S140" s="722">
        <f ca="1">IF(EOMONTH(Enddatum,$E140+1)&lt;=S$5,0,IF(S$7&gt;$E140,OFFSET('Costs 03'!S25,0,-$E140),0))</f>
        <v>380</v>
      </c>
      <c r="T140" s="722">
        <f ca="1">IF(EOMONTH(Enddatum,$E140+1)&lt;=T$5,0,IF(T$7&gt;$E140,OFFSET('Costs 03'!T25,0,-$E140),0))</f>
        <v>400</v>
      </c>
      <c r="U140" s="722">
        <f ca="1">IF(EOMONTH(Enddatum,$E140+1)&lt;=U$5,0,IF(U$7&gt;$E140,OFFSET('Costs 03'!U25,0,-$E140),0))</f>
        <v>420</v>
      </c>
      <c r="V140" s="722">
        <f ca="1">IF(EOMONTH(Enddatum,$E140+1)&lt;=V$5,0,IF(V$7&gt;$E140,OFFSET('Costs 03'!V25,0,-$E140),0))</f>
        <v>440</v>
      </c>
      <c r="W140" s="722">
        <f ca="1">IF(EOMONTH(Enddatum,$E140+1)&lt;=W$5,0,IF(W$7&gt;$E140,OFFSET('Costs 03'!W25,0,-$E140),0))</f>
        <v>460</v>
      </c>
      <c r="X140" s="722">
        <f ca="1">IF(EOMONTH(Enddatum,$E140+1)&lt;=X$5,0,IF(X$7&gt;$E140,OFFSET('Costs 03'!X25,0,-$E140),0))</f>
        <v>480</v>
      </c>
      <c r="Y140" s="722">
        <f ca="1">IF(EOMONTH(Enddatum,$E140+1)&lt;=Y$5,0,IF(Y$7&gt;$E140,OFFSET('Costs 03'!Y25,0,-$E140),0))</f>
        <v>500</v>
      </c>
      <c r="Z140" s="722">
        <f ca="1">IF(EOMONTH(Enddatum,$E140+1)&lt;=Z$5,0,IF(Z$7&gt;$E140,OFFSET('Costs 03'!Z25,0,-$E140),0))</f>
        <v>520</v>
      </c>
      <c r="AA140" s="722">
        <f ca="1">IF(EOMONTH(Enddatum,$E140+1)&lt;=AA$5,0,IF(AA$7&gt;$E140,OFFSET('Costs 03'!AA25,0,-$E140),0))</f>
        <v>540</v>
      </c>
      <c r="AB140" s="722">
        <f ca="1">IF(EOMONTH(Enddatum,$E140+1)&lt;=AB$5,0,IF(AB$7&gt;$E140,OFFSET('Costs 03'!AB25,0,-$E140),0))</f>
        <v>560</v>
      </c>
      <c r="AC140" s="722">
        <f ca="1">IF(EOMONTH(Enddatum,$E140+1)&lt;=AC$5,0,IF(AC$7&gt;$E140,OFFSET('Costs 03'!AC25,0,-$E140),0))</f>
        <v>580</v>
      </c>
      <c r="AD140" s="722">
        <f ca="1">IF(EOMONTH(Enddatum,$E140+1)&lt;=AD$5,0,IF(AD$7&gt;$E140,OFFSET('Costs 03'!AD25,0,-$E140),0))</f>
        <v>600</v>
      </c>
      <c r="AE140" s="722">
        <f ca="1">IF(EOMONTH(Enddatum,$E140+1)&lt;=AE$5,0,IF(AE$7&gt;$E140,OFFSET('Costs 03'!AE25,0,-$E140),0))</f>
        <v>620</v>
      </c>
      <c r="AF140" s="722">
        <f ca="1">IF(EOMONTH(Enddatum,$E140+1)&lt;=AF$5,0,IF(AF$7&gt;$E140,OFFSET('Costs 03'!AF25,0,-$E140),0))</f>
        <v>0</v>
      </c>
      <c r="AG140" s="722">
        <f ca="1">IF(EOMONTH(Enddatum,$E140+1)&lt;=AG$5,0,IF(AG$7&gt;$E140,OFFSET('Costs 03'!AG25,0,-$E140),0))</f>
        <v>0</v>
      </c>
    </row>
    <row r="141" spans="1:33" s="649" customFormat="1" ht="18" customHeight="1" outlineLevel="1">
      <c r="A141" s="894"/>
      <c r="B141" s="287"/>
      <c r="C141" s="24" t="str">
        <f>'Costs 03'!C26</f>
        <v>Cleaning</v>
      </c>
      <c r="D141" s="8" t="str">
        <f t="shared" si="45"/>
        <v>USD</v>
      </c>
      <c r="E141" s="714">
        <f>'Costs 03'!F26</f>
        <v>0</v>
      </c>
      <c r="F141" s="894"/>
      <c r="G141" s="287"/>
      <c r="H141" s="287"/>
      <c r="I141" s="71">
        <f t="shared" ca="1" si="46"/>
        <v>0</v>
      </c>
      <c r="J141" s="722">
        <f ca="1">IF(EOMONTH(Enddatum,$E141+1)&lt;=J$5,0,IF(J$7&gt;$E141,OFFSET('Costs 03'!J26,0,-$E141),0))</f>
        <v>0</v>
      </c>
      <c r="K141" s="722">
        <f ca="1">IF(EOMONTH(Enddatum,$E141+1)&lt;=K$5,0,IF(K$7&gt;$E141,OFFSET('Costs 03'!K26,0,-$E141),0))</f>
        <v>0</v>
      </c>
      <c r="L141" s="722">
        <f ca="1">IF(EOMONTH(Enddatum,$E141+1)&lt;=L$5,0,IF(L$7&gt;$E141,OFFSET('Costs 03'!L26,0,-$E141),0))</f>
        <v>0</v>
      </c>
      <c r="M141" s="722">
        <f ca="1">IF(EOMONTH(Enddatum,$E141+1)&lt;=M$5,0,IF(M$7&gt;$E141,OFFSET('Costs 03'!M26,0,-$E141),0))</f>
        <v>0</v>
      </c>
      <c r="N141" s="722">
        <f ca="1">IF(EOMONTH(Enddatum,$E141+1)&lt;=N$5,0,IF(N$7&gt;$E141,OFFSET('Costs 03'!N26,0,-$E141),0))</f>
        <v>0</v>
      </c>
      <c r="O141" s="722">
        <f ca="1">IF(EOMONTH(Enddatum,$E141+1)&lt;=O$5,0,IF(O$7&gt;$E141,OFFSET('Costs 03'!O26,0,-$E141),0))</f>
        <v>0</v>
      </c>
      <c r="P141" s="722">
        <f ca="1">IF(EOMONTH(Enddatum,$E141+1)&lt;=P$5,0,IF(P$7&gt;$E141,OFFSET('Costs 03'!P26,0,-$E141),0))</f>
        <v>0</v>
      </c>
      <c r="Q141" s="722">
        <f ca="1">IF(EOMONTH(Enddatum,$E141+1)&lt;=Q$5,0,IF(Q$7&gt;$E141,OFFSET('Costs 03'!Q26,0,-$E141),0))</f>
        <v>0</v>
      </c>
      <c r="R141" s="722">
        <f ca="1">IF(EOMONTH(Enddatum,$E141+1)&lt;=R$5,0,IF(R$7&gt;$E141,OFFSET('Costs 03'!R26,0,-$E141),0))</f>
        <v>0</v>
      </c>
      <c r="S141" s="722">
        <f ca="1">IF(EOMONTH(Enddatum,$E141+1)&lt;=S$5,0,IF(S$7&gt;$E141,OFFSET('Costs 03'!S26,0,-$E141),0))</f>
        <v>0</v>
      </c>
      <c r="T141" s="722">
        <f ca="1">IF(EOMONTH(Enddatum,$E141+1)&lt;=T$5,0,IF(T$7&gt;$E141,OFFSET('Costs 03'!T26,0,-$E141),0))</f>
        <v>0</v>
      </c>
      <c r="U141" s="722">
        <f ca="1">IF(EOMONTH(Enddatum,$E141+1)&lt;=U$5,0,IF(U$7&gt;$E141,OFFSET('Costs 03'!U26,0,-$E141),0))</f>
        <v>0</v>
      </c>
      <c r="V141" s="722">
        <f ca="1">IF(EOMONTH(Enddatum,$E141+1)&lt;=V$5,0,IF(V$7&gt;$E141,OFFSET('Costs 03'!V26,0,-$E141),0))</f>
        <v>0</v>
      </c>
      <c r="W141" s="722">
        <f ca="1">IF(EOMONTH(Enddatum,$E141+1)&lt;=W$5,0,IF(W$7&gt;$E141,OFFSET('Costs 03'!W26,0,-$E141),0))</f>
        <v>0</v>
      </c>
      <c r="X141" s="722">
        <f ca="1">IF(EOMONTH(Enddatum,$E141+1)&lt;=X$5,0,IF(X$7&gt;$E141,OFFSET('Costs 03'!X26,0,-$E141),0))</f>
        <v>0</v>
      </c>
      <c r="Y141" s="722">
        <f ca="1">IF(EOMONTH(Enddatum,$E141+1)&lt;=Y$5,0,IF(Y$7&gt;$E141,OFFSET('Costs 03'!Y26,0,-$E141),0))</f>
        <v>0</v>
      </c>
      <c r="Z141" s="722">
        <f ca="1">IF(EOMONTH(Enddatum,$E141+1)&lt;=Z$5,0,IF(Z$7&gt;$E141,OFFSET('Costs 03'!Z26,0,-$E141),0))</f>
        <v>0</v>
      </c>
      <c r="AA141" s="722">
        <f ca="1">IF(EOMONTH(Enddatum,$E141+1)&lt;=AA$5,0,IF(AA$7&gt;$E141,OFFSET('Costs 03'!AA26,0,-$E141),0))</f>
        <v>0</v>
      </c>
      <c r="AB141" s="722">
        <f ca="1">IF(EOMONTH(Enddatum,$E141+1)&lt;=AB$5,0,IF(AB$7&gt;$E141,OFFSET('Costs 03'!AB26,0,-$E141),0))</f>
        <v>0</v>
      </c>
      <c r="AC141" s="722">
        <f ca="1">IF(EOMONTH(Enddatum,$E141+1)&lt;=AC$5,0,IF(AC$7&gt;$E141,OFFSET('Costs 03'!AC26,0,-$E141),0))</f>
        <v>0</v>
      </c>
      <c r="AD141" s="722">
        <f ca="1">IF(EOMONTH(Enddatum,$E141+1)&lt;=AD$5,0,IF(AD$7&gt;$E141,OFFSET('Costs 03'!AD26,0,-$E141),0))</f>
        <v>0</v>
      </c>
      <c r="AE141" s="722">
        <f ca="1">IF(EOMONTH(Enddatum,$E141+1)&lt;=AE$5,0,IF(AE$7&gt;$E141,OFFSET('Costs 03'!AE26,0,-$E141),0))</f>
        <v>0</v>
      </c>
      <c r="AF141" s="722">
        <f ca="1">IF(EOMONTH(Enddatum,$E141+1)&lt;=AF$5,0,IF(AF$7&gt;$E141,OFFSET('Costs 03'!AF26,0,-$E141),0))</f>
        <v>0</v>
      </c>
      <c r="AG141" s="722">
        <f ca="1">IF(EOMONTH(Enddatum,$E141+1)&lt;=AG$5,0,IF(AG$7&gt;$E141,OFFSET('Costs 03'!AG26,0,-$E141),0))</f>
        <v>0</v>
      </c>
    </row>
    <row r="142" spans="1:33" s="649" customFormat="1" ht="18" customHeight="1" outlineLevel="1">
      <c r="A142" s="894"/>
      <c r="B142" s="287"/>
      <c r="C142" s="24" t="str">
        <f>'Costs 03'!C27</f>
        <v xml:space="preserve">Repairs and maintenance </v>
      </c>
      <c r="D142" s="8" t="str">
        <f t="shared" si="45"/>
        <v>USD</v>
      </c>
      <c r="E142" s="714">
        <f>'Costs 03'!F27</f>
        <v>0</v>
      </c>
      <c r="F142" s="894"/>
      <c r="G142" s="287"/>
      <c r="H142" s="287"/>
      <c r="I142" s="71">
        <f t="shared" ca="1" si="46"/>
        <v>0</v>
      </c>
      <c r="J142" s="722">
        <f ca="1">IF(EOMONTH(Enddatum,$E142+1)&lt;=J$5,0,IF(J$7&gt;$E142,OFFSET('Costs 03'!J27,0,-$E142),0))</f>
        <v>0</v>
      </c>
      <c r="K142" s="722">
        <f ca="1">IF(EOMONTH(Enddatum,$E142+1)&lt;=K$5,0,IF(K$7&gt;$E142,OFFSET('Costs 03'!K27,0,-$E142),0))</f>
        <v>0</v>
      </c>
      <c r="L142" s="722">
        <f ca="1">IF(EOMONTH(Enddatum,$E142+1)&lt;=L$5,0,IF(L$7&gt;$E142,OFFSET('Costs 03'!L27,0,-$E142),0))</f>
        <v>0</v>
      </c>
      <c r="M142" s="722">
        <f ca="1">IF(EOMONTH(Enddatum,$E142+1)&lt;=M$5,0,IF(M$7&gt;$E142,OFFSET('Costs 03'!M27,0,-$E142),0))</f>
        <v>0</v>
      </c>
      <c r="N142" s="722">
        <f ca="1">IF(EOMONTH(Enddatum,$E142+1)&lt;=N$5,0,IF(N$7&gt;$E142,OFFSET('Costs 03'!N27,0,-$E142),0))</f>
        <v>0</v>
      </c>
      <c r="O142" s="722">
        <f ca="1">IF(EOMONTH(Enddatum,$E142+1)&lt;=O$5,0,IF(O$7&gt;$E142,OFFSET('Costs 03'!O27,0,-$E142),0))</f>
        <v>0</v>
      </c>
      <c r="P142" s="722">
        <f ca="1">IF(EOMONTH(Enddatum,$E142+1)&lt;=P$5,0,IF(P$7&gt;$E142,OFFSET('Costs 03'!P27,0,-$E142),0))</f>
        <v>0</v>
      </c>
      <c r="Q142" s="722">
        <f ca="1">IF(EOMONTH(Enddatum,$E142+1)&lt;=Q$5,0,IF(Q$7&gt;$E142,OFFSET('Costs 03'!Q27,0,-$E142),0))</f>
        <v>0</v>
      </c>
      <c r="R142" s="722">
        <f ca="1">IF(EOMONTH(Enddatum,$E142+1)&lt;=R$5,0,IF(R$7&gt;$E142,OFFSET('Costs 03'!R27,0,-$E142),0))</f>
        <v>0</v>
      </c>
      <c r="S142" s="722">
        <f ca="1">IF(EOMONTH(Enddatum,$E142+1)&lt;=S$5,0,IF(S$7&gt;$E142,OFFSET('Costs 03'!S27,0,-$E142),0))</f>
        <v>0</v>
      </c>
      <c r="T142" s="722">
        <f ca="1">IF(EOMONTH(Enddatum,$E142+1)&lt;=T$5,0,IF(T$7&gt;$E142,OFFSET('Costs 03'!T27,0,-$E142),0))</f>
        <v>0</v>
      </c>
      <c r="U142" s="722">
        <f ca="1">IF(EOMONTH(Enddatum,$E142+1)&lt;=U$5,0,IF(U$7&gt;$E142,OFFSET('Costs 03'!U27,0,-$E142),0))</f>
        <v>0</v>
      </c>
      <c r="V142" s="722">
        <f ca="1">IF(EOMONTH(Enddatum,$E142+1)&lt;=V$5,0,IF(V$7&gt;$E142,OFFSET('Costs 03'!V27,0,-$E142),0))</f>
        <v>0</v>
      </c>
      <c r="W142" s="722">
        <f ca="1">IF(EOMONTH(Enddatum,$E142+1)&lt;=W$5,0,IF(W$7&gt;$E142,OFFSET('Costs 03'!W27,0,-$E142),0))</f>
        <v>0</v>
      </c>
      <c r="X142" s="722">
        <f ca="1">IF(EOMONTH(Enddatum,$E142+1)&lt;=X$5,0,IF(X$7&gt;$E142,OFFSET('Costs 03'!X27,0,-$E142),0))</f>
        <v>0</v>
      </c>
      <c r="Y142" s="722">
        <f ca="1">IF(EOMONTH(Enddatum,$E142+1)&lt;=Y$5,0,IF(Y$7&gt;$E142,OFFSET('Costs 03'!Y27,0,-$E142),0))</f>
        <v>0</v>
      </c>
      <c r="Z142" s="722">
        <f ca="1">IF(EOMONTH(Enddatum,$E142+1)&lt;=Z$5,0,IF(Z$7&gt;$E142,OFFSET('Costs 03'!Z27,0,-$E142),0))</f>
        <v>0</v>
      </c>
      <c r="AA142" s="722">
        <f ca="1">IF(EOMONTH(Enddatum,$E142+1)&lt;=AA$5,0,IF(AA$7&gt;$E142,OFFSET('Costs 03'!AA27,0,-$E142),0))</f>
        <v>0</v>
      </c>
      <c r="AB142" s="722">
        <f ca="1">IF(EOMONTH(Enddatum,$E142+1)&lt;=AB$5,0,IF(AB$7&gt;$E142,OFFSET('Costs 03'!AB27,0,-$E142),0))</f>
        <v>0</v>
      </c>
      <c r="AC142" s="722">
        <f ca="1">IF(EOMONTH(Enddatum,$E142+1)&lt;=AC$5,0,IF(AC$7&gt;$E142,OFFSET('Costs 03'!AC27,0,-$E142),0))</f>
        <v>0</v>
      </c>
      <c r="AD142" s="722">
        <f ca="1">IF(EOMONTH(Enddatum,$E142+1)&lt;=AD$5,0,IF(AD$7&gt;$E142,OFFSET('Costs 03'!AD27,0,-$E142),0))</f>
        <v>0</v>
      </c>
      <c r="AE142" s="722">
        <f ca="1">IF(EOMONTH(Enddatum,$E142+1)&lt;=AE$5,0,IF(AE$7&gt;$E142,OFFSET('Costs 03'!AE27,0,-$E142),0))</f>
        <v>0</v>
      </c>
      <c r="AF142" s="722">
        <f ca="1">IF(EOMONTH(Enddatum,$E142+1)&lt;=AF$5,0,IF(AF$7&gt;$E142,OFFSET('Costs 03'!AF27,0,-$E142),0))</f>
        <v>0</v>
      </c>
      <c r="AG142" s="722">
        <f ca="1">IF(EOMONTH(Enddatum,$E142+1)&lt;=AG$5,0,IF(AG$7&gt;$E142,OFFSET('Costs 03'!AG27,0,-$E142),0))</f>
        <v>0</v>
      </c>
    </row>
    <row r="143" spans="1:33" s="649" customFormat="1" ht="18" customHeight="1" outlineLevel="1">
      <c r="A143" s="894"/>
      <c r="B143" s="287"/>
      <c r="C143" s="24" t="str">
        <f>'Costs 03'!C28</f>
        <v>Licence fees</v>
      </c>
      <c r="D143" s="8" t="str">
        <f t="shared" si="45"/>
        <v>USD</v>
      </c>
      <c r="E143" s="714">
        <f>'Costs 03'!F28</f>
        <v>0</v>
      </c>
      <c r="F143" s="894"/>
      <c r="G143" s="287"/>
      <c r="H143" s="287"/>
      <c r="I143" s="71">
        <f t="shared" ca="1" si="46"/>
        <v>0</v>
      </c>
      <c r="J143" s="722">
        <f ca="1">IF(EOMONTH(Enddatum,$E143+1)&lt;=J$5,0,IF(J$7&gt;$E143,OFFSET('Costs 03'!J28,0,-$E143),0))</f>
        <v>0</v>
      </c>
      <c r="K143" s="722">
        <f ca="1">IF(EOMONTH(Enddatum,$E143+1)&lt;=K$5,0,IF(K$7&gt;$E143,OFFSET('Costs 03'!K28,0,-$E143),0))</f>
        <v>0</v>
      </c>
      <c r="L143" s="722">
        <f ca="1">IF(EOMONTH(Enddatum,$E143+1)&lt;=L$5,0,IF(L$7&gt;$E143,OFFSET('Costs 03'!L28,0,-$E143),0))</f>
        <v>0</v>
      </c>
      <c r="M143" s="722">
        <f ca="1">IF(EOMONTH(Enddatum,$E143+1)&lt;=M$5,0,IF(M$7&gt;$E143,OFFSET('Costs 03'!M28,0,-$E143),0))</f>
        <v>0</v>
      </c>
      <c r="N143" s="722">
        <f ca="1">IF(EOMONTH(Enddatum,$E143+1)&lt;=N$5,0,IF(N$7&gt;$E143,OFFSET('Costs 03'!N28,0,-$E143),0))</f>
        <v>0</v>
      </c>
      <c r="O143" s="722">
        <f ca="1">IF(EOMONTH(Enddatum,$E143+1)&lt;=O$5,0,IF(O$7&gt;$E143,OFFSET('Costs 03'!O28,0,-$E143),0))</f>
        <v>0</v>
      </c>
      <c r="P143" s="722">
        <f ca="1">IF(EOMONTH(Enddatum,$E143+1)&lt;=P$5,0,IF(P$7&gt;$E143,OFFSET('Costs 03'!P28,0,-$E143),0))</f>
        <v>0</v>
      </c>
      <c r="Q143" s="722">
        <f ca="1">IF(EOMONTH(Enddatum,$E143+1)&lt;=Q$5,0,IF(Q$7&gt;$E143,OFFSET('Costs 03'!Q28,0,-$E143),0))</f>
        <v>0</v>
      </c>
      <c r="R143" s="722">
        <f ca="1">IF(EOMONTH(Enddatum,$E143+1)&lt;=R$5,0,IF(R$7&gt;$E143,OFFSET('Costs 03'!R28,0,-$E143),0))</f>
        <v>0</v>
      </c>
      <c r="S143" s="722">
        <f ca="1">IF(EOMONTH(Enddatum,$E143+1)&lt;=S$5,0,IF(S$7&gt;$E143,OFFSET('Costs 03'!S28,0,-$E143),0))</f>
        <v>0</v>
      </c>
      <c r="T143" s="722">
        <f ca="1">IF(EOMONTH(Enddatum,$E143+1)&lt;=T$5,0,IF(T$7&gt;$E143,OFFSET('Costs 03'!T28,0,-$E143),0))</f>
        <v>0</v>
      </c>
      <c r="U143" s="722">
        <f ca="1">IF(EOMONTH(Enddatum,$E143+1)&lt;=U$5,0,IF(U$7&gt;$E143,OFFSET('Costs 03'!U28,0,-$E143),0))</f>
        <v>0</v>
      </c>
      <c r="V143" s="722">
        <f ca="1">IF(EOMONTH(Enddatum,$E143+1)&lt;=V$5,0,IF(V$7&gt;$E143,OFFSET('Costs 03'!V28,0,-$E143),0))</f>
        <v>0</v>
      </c>
      <c r="W143" s="722">
        <f ca="1">IF(EOMONTH(Enddatum,$E143+1)&lt;=W$5,0,IF(W$7&gt;$E143,OFFSET('Costs 03'!W28,0,-$E143),0))</f>
        <v>0</v>
      </c>
      <c r="X143" s="722">
        <f ca="1">IF(EOMONTH(Enddatum,$E143+1)&lt;=X$5,0,IF(X$7&gt;$E143,OFFSET('Costs 03'!X28,0,-$E143),0))</f>
        <v>0</v>
      </c>
      <c r="Y143" s="722">
        <f ca="1">IF(EOMONTH(Enddatum,$E143+1)&lt;=Y$5,0,IF(Y$7&gt;$E143,OFFSET('Costs 03'!Y28,0,-$E143),0))</f>
        <v>0</v>
      </c>
      <c r="Z143" s="722">
        <f ca="1">IF(EOMONTH(Enddatum,$E143+1)&lt;=Z$5,0,IF(Z$7&gt;$E143,OFFSET('Costs 03'!Z28,0,-$E143),0))</f>
        <v>0</v>
      </c>
      <c r="AA143" s="722">
        <f ca="1">IF(EOMONTH(Enddatum,$E143+1)&lt;=AA$5,0,IF(AA$7&gt;$E143,OFFSET('Costs 03'!AA28,0,-$E143),0))</f>
        <v>0</v>
      </c>
      <c r="AB143" s="722">
        <f ca="1">IF(EOMONTH(Enddatum,$E143+1)&lt;=AB$5,0,IF(AB$7&gt;$E143,OFFSET('Costs 03'!AB28,0,-$E143),0))</f>
        <v>0</v>
      </c>
      <c r="AC143" s="722">
        <f ca="1">IF(EOMONTH(Enddatum,$E143+1)&lt;=AC$5,0,IF(AC$7&gt;$E143,OFFSET('Costs 03'!AC28,0,-$E143),0))</f>
        <v>0</v>
      </c>
      <c r="AD143" s="722">
        <f ca="1">IF(EOMONTH(Enddatum,$E143+1)&lt;=AD$5,0,IF(AD$7&gt;$E143,OFFSET('Costs 03'!AD28,0,-$E143),0))</f>
        <v>0</v>
      </c>
      <c r="AE143" s="722">
        <f ca="1">IF(EOMONTH(Enddatum,$E143+1)&lt;=AE$5,0,IF(AE$7&gt;$E143,OFFSET('Costs 03'!AE28,0,-$E143),0))</f>
        <v>0</v>
      </c>
      <c r="AF143" s="722">
        <f ca="1">IF(EOMONTH(Enddatum,$E143+1)&lt;=AF$5,0,IF(AF$7&gt;$E143,OFFSET('Costs 03'!AF28,0,-$E143),0))</f>
        <v>0</v>
      </c>
      <c r="AG143" s="722">
        <f ca="1">IF(EOMONTH(Enddatum,$E143+1)&lt;=AG$5,0,IF(AG$7&gt;$E143,OFFSET('Costs 03'!AG28,0,-$E143),0))</f>
        <v>0</v>
      </c>
    </row>
    <row r="144" spans="1:33" s="649" customFormat="1" ht="18" customHeight="1" outlineLevel="1">
      <c r="A144" s="894"/>
      <c r="B144" s="287"/>
      <c r="C144" s="24" t="str">
        <f>'Costs 03'!C29</f>
        <v>Miscellaneous 01</v>
      </c>
      <c r="D144" s="8" t="str">
        <f t="shared" si="45"/>
        <v>USD</v>
      </c>
      <c r="E144" s="714">
        <f>'Costs 03'!F29</f>
        <v>0</v>
      </c>
      <c r="F144" s="894"/>
      <c r="G144" s="287"/>
      <c r="H144" s="287"/>
      <c r="I144" s="71">
        <f t="shared" ca="1" si="46"/>
        <v>0</v>
      </c>
      <c r="J144" s="722">
        <f ca="1">IF(EOMONTH(Enddatum,$E144+1)&lt;=J$5,0,IF(J$7&gt;$E144,OFFSET('Costs 03'!J29,0,-$E144),0))</f>
        <v>0</v>
      </c>
      <c r="K144" s="722">
        <f ca="1">IF(EOMONTH(Enddatum,$E144+1)&lt;=K$5,0,IF(K$7&gt;$E144,OFFSET('Costs 03'!K29,0,-$E144),0))</f>
        <v>0</v>
      </c>
      <c r="L144" s="722">
        <f ca="1">IF(EOMONTH(Enddatum,$E144+1)&lt;=L$5,0,IF(L$7&gt;$E144,OFFSET('Costs 03'!L29,0,-$E144),0))</f>
        <v>0</v>
      </c>
      <c r="M144" s="722">
        <f ca="1">IF(EOMONTH(Enddatum,$E144+1)&lt;=M$5,0,IF(M$7&gt;$E144,OFFSET('Costs 03'!M29,0,-$E144),0))</f>
        <v>0</v>
      </c>
      <c r="N144" s="722">
        <f ca="1">IF(EOMONTH(Enddatum,$E144+1)&lt;=N$5,0,IF(N$7&gt;$E144,OFFSET('Costs 03'!N29,0,-$E144),0))</f>
        <v>0</v>
      </c>
      <c r="O144" s="722">
        <f ca="1">IF(EOMONTH(Enddatum,$E144+1)&lt;=O$5,0,IF(O$7&gt;$E144,OFFSET('Costs 03'!O29,0,-$E144),0))</f>
        <v>0</v>
      </c>
      <c r="P144" s="722">
        <f ca="1">IF(EOMONTH(Enddatum,$E144+1)&lt;=P$5,0,IF(P$7&gt;$E144,OFFSET('Costs 03'!P29,0,-$E144),0))</f>
        <v>0</v>
      </c>
      <c r="Q144" s="722">
        <f ca="1">IF(EOMONTH(Enddatum,$E144+1)&lt;=Q$5,0,IF(Q$7&gt;$E144,OFFSET('Costs 03'!Q29,0,-$E144),0))</f>
        <v>0</v>
      </c>
      <c r="R144" s="722">
        <f ca="1">IF(EOMONTH(Enddatum,$E144+1)&lt;=R$5,0,IF(R$7&gt;$E144,OFFSET('Costs 03'!R29,0,-$E144),0))</f>
        <v>0</v>
      </c>
      <c r="S144" s="722">
        <f ca="1">IF(EOMONTH(Enddatum,$E144+1)&lt;=S$5,0,IF(S$7&gt;$E144,OFFSET('Costs 03'!S29,0,-$E144),0))</f>
        <v>0</v>
      </c>
      <c r="T144" s="722">
        <f ca="1">IF(EOMONTH(Enddatum,$E144+1)&lt;=T$5,0,IF(T$7&gt;$E144,OFFSET('Costs 03'!T29,0,-$E144),0))</f>
        <v>0</v>
      </c>
      <c r="U144" s="722">
        <f ca="1">IF(EOMONTH(Enddatum,$E144+1)&lt;=U$5,0,IF(U$7&gt;$E144,OFFSET('Costs 03'!U29,0,-$E144),0))</f>
        <v>0</v>
      </c>
      <c r="V144" s="722">
        <f ca="1">IF(EOMONTH(Enddatum,$E144+1)&lt;=V$5,0,IF(V$7&gt;$E144,OFFSET('Costs 03'!V29,0,-$E144),0))</f>
        <v>0</v>
      </c>
      <c r="W144" s="722">
        <f ca="1">IF(EOMONTH(Enddatum,$E144+1)&lt;=W$5,0,IF(W$7&gt;$E144,OFFSET('Costs 03'!W29,0,-$E144),0))</f>
        <v>0</v>
      </c>
      <c r="X144" s="722">
        <f ca="1">IF(EOMONTH(Enddatum,$E144+1)&lt;=X$5,0,IF(X$7&gt;$E144,OFFSET('Costs 03'!X29,0,-$E144),0))</f>
        <v>0</v>
      </c>
      <c r="Y144" s="722">
        <f ca="1">IF(EOMONTH(Enddatum,$E144+1)&lt;=Y$5,0,IF(Y$7&gt;$E144,OFFSET('Costs 03'!Y29,0,-$E144),0))</f>
        <v>0</v>
      </c>
      <c r="Z144" s="722">
        <f ca="1">IF(EOMONTH(Enddatum,$E144+1)&lt;=Z$5,0,IF(Z$7&gt;$E144,OFFSET('Costs 03'!Z29,0,-$E144),0))</f>
        <v>0</v>
      </c>
      <c r="AA144" s="722">
        <f ca="1">IF(EOMONTH(Enddatum,$E144+1)&lt;=AA$5,0,IF(AA$7&gt;$E144,OFFSET('Costs 03'!AA29,0,-$E144),0))</f>
        <v>0</v>
      </c>
      <c r="AB144" s="722">
        <f ca="1">IF(EOMONTH(Enddatum,$E144+1)&lt;=AB$5,0,IF(AB$7&gt;$E144,OFFSET('Costs 03'!AB29,0,-$E144),0))</f>
        <v>0</v>
      </c>
      <c r="AC144" s="722">
        <f ca="1">IF(EOMONTH(Enddatum,$E144+1)&lt;=AC$5,0,IF(AC$7&gt;$E144,OFFSET('Costs 03'!AC29,0,-$E144),0))</f>
        <v>0</v>
      </c>
      <c r="AD144" s="722">
        <f ca="1">IF(EOMONTH(Enddatum,$E144+1)&lt;=AD$5,0,IF(AD$7&gt;$E144,OFFSET('Costs 03'!AD29,0,-$E144),0))</f>
        <v>0</v>
      </c>
      <c r="AE144" s="722">
        <f ca="1">IF(EOMONTH(Enddatum,$E144+1)&lt;=AE$5,0,IF(AE$7&gt;$E144,OFFSET('Costs 03'!AE29,0,-$E144),0))</f>
        <v>0</v>
      </c>
      <c r="AF144" s="722">
        <f ca="1">IF(EOMONTH(Enddatum,$E144+1)&lt;=AF$5,0,IF(AF$7&gt;$E144,OFFSET('Costs 03'!AF29,0,-$E144),0))</f>
        <v>0</v>
      </c>
      <c r="AG144" s="722">
        <f ca="1">IF(EOMONTH(Enddatum,$E144+1)&lt;=AG$5,0,IF(AG$7&gt;$E144,OFFSET('Costs 03'!AG29,0,-$E144),0))</f>
        <v>0</v>
      </c>
    </row>
    <row r="145" spans="1:33" s="649" customFormat="1" ht="18" customHeight="1" outlineLevel="1">
      <c r="A145" s="894"/>
      <c r="B145" s="287"/>
      <c r="C145" s="24" t="str">
        <f>'Costs 03'!C30</f>
        <v>Miscellaneous 02</v>
      </c>
      <c r="D145" s="8" t="str">
        <f t="shared" si="45"/>
        <v>USD</v>
      </c>
      <c r="E145" s="714">
        <f>'Costs 03'!F30</f>
        <v>0</v>
      </c>
      <c r="F145" s="894"/>
      <c r="G145" s="287"/>
      <c r="H145" s="287"/>
      <c r="I145" s="71">
        <f t="shared" ca="1" si="46"/>
        <v>0</v>
      </c>
      <c r="J145" s="722">
        <f ca="1">IF(EOMONTH(Enddatum,$E145+1)&lt;=J$5,0,IF(J$7&gt;$E145,OFFSET('Costs 03'!J30,0,-$E145),0))</f>
        <v>0</v>
      </c>
      <c r="K145" s="722">
        <f ca="1">IF(EOMONTH(Enddatum,$E145+1)&lt;=K$5,0,IF(K$7&gt;$E145,OFFSET('Costs 03'!K30,0,-$E145),0))</f>
        <v>0</v>
      </c>
      <c r="L145" s="722">
        <f ca="1">IF(EOMONTH(Enddatum,$E145+1)&lt;=L$5,0,IF(L$7&gt;$E145,OFFSET('Costs 03'!L30,0,-$E145),0))</f>
        <v>0</v>
      </c>
      <c r="M145" s="722">
        <f ca="1">IF(EOMONTH(Enddatum,$E145+1)&lt;=M$5,0,IF(M$7&gt;$E145,OFFSET('Costs 03'!M30,0,-$E145),0))</f>
        <v>0</v>
      </c>
      <c r="N145" s="722">
        <f ca="1">IF(EOMONTH(Enddatum,$E145+1)&lt;=N$5,0,IF(N$7&gt;$E145,OFFSET('Costs 03'!N30,0,-$E145),0))</f>
        <v>0</v>
      </c>
      <c r="O145" s="722">
        <f ca="1">IF(EOMONTH(Enddatum,$E145+1)&lt;=O$5,0,IF(O$7&gt;$E145,OFFSET('Costs 03'!O30,0,-$E145),0))</f>
        <v>0</v>
      </c>
      <c r="P145" s="722">
        <f ca="1">IF(EOMONTH(Enddatum,$E145+1)&lt;=P$5,0,IF(P$7&gt;$E145,OFFSET('Costs 03'!P30,0,-$E145),0))</f>
        <v>0</v>
      </c>
      <c r="Q145" s="722">
        <f ca="1">IF(EOMONTH(Enddatum,$E145+1)&lt;=Q$5,0,IF(Q$7&gt;$E145,OFFSET('Costs 03'!Q30,0,-$E145),0))</f>
        <v>0</v>
      </c>
      <c r="R145" s="722">
        <f ca="1">IF(EOMONTH(Enddatum,$E145+1)&lt;=R$5,0,IF(R$7&gt;$E145,OFFSET('Costs 03'!R30,0,-$E145),0))</f>
        <v>0</v>
      </c>
      <c r="S145" s="722">
        <f ca="1">IF(EOMONTH(Enddatum,$E145+1)&lt;=S$5,0,IF(S$7&gt;$E145,OFFSET('Costs 03'!S30,0,-$E145),0))</f>
        <v>0</v>
      </c>
      <c r="T145" s="722">
        <f ca="1">IF(EOMONTH(Enddatum,$E145+1)&lt;=T$5,0,IF(T$7&gt;$E145,OFFSET('Costs 03'!T30,0,-$E145),0))</f>
        <v>0</v>
      </c>
      <c r="U145" s="722">
        <f ca="1">IF(EOMONTH(Enddatum,$E145+1)&lt;=U$5,0,IF(U$7&gt;$E145,OFFSET('Costs 03'!U30,0,-$E145),0))</f>
        <v>0</v>
      </c>
      <c r="V145" s="722">
        <f ca="1">IF(EOMONTH(Enddatum,$E145+1)&lt;=V$5,0,IF(V$7&gt;$E145,OFFSET('Costs 03'!V30,0,-$E145),0))</f>
        <v>0</v>
      </c>
      <c r="W145" s="722">
        <f ca="1">IF(EOMONTH(Enddatum,$E145+1)&lt;=W$5,0,IF(W$7&gt;$E145,OFFSET('Costs 03'!W30,0,-$E145),0))</f>
        <v>0</v>
      </c>
      <c r="X145" s="722">
        <f ca="1">IF(EOMONTH(Enddatum,$E145+1)&lt;=X$5,0,IF(X$7&gt;$E145,OFFSET('Costs 03'!X30,0,-$E145),0))</f>
        <v>0</v>
      </c>
      <c r="Y145" s="722">
        <f ca="1">IF(EOMONTH(Enddatum,$E145+1)&lt;=Y$5,0,IF(Y$7&gt;$E145,OFFSET('Costs 03'!Y30,0,-$E145),0))</f>
        <v>0</v>
      </c>
      <c r="Z145" s="722">
        <f ca="1">IF(EOMONTH(Enddatum,$E145+1)&lt;=Z$5,0,IF(Z$7&gt;$E145,OFFSET('Costs 03'!Z30,0,-$E145),0))</f>
        <v>0</v>
      </c>
      <c r="AA145" s="722">
        <f ca="1">IF(EOMONTH(Enddatum,$E145+1)&lt;=AA$5,0,IF(AA$7&gt;$E145,OFFSET('Costs 03'!AA30,0,-$E145),0))</f>
        <v>0</v>
      </c>
      <c r="AB145" s="722">
        <f ca="1">IF(EOMONTH(Enddatum,$E145+1)&lt;=AB$5,0,IF(AB$7&gt;$E145,OFFSET('Costs 03'!AB30,0,-$E145),0))</f>
        <v>0</v>
      </c>
      <c r="AC145" s="722">
        <f ca="1">IF(EOMONTH(Enddatum,$E145+1)&lt;=AC$5,0,IF(AC$7&gt;$E145,OFFSET('Costs 03'!AC30,0,-$E145),0))</f>
        <v>0</v>
      </c>
      <c r="AD145" s="722">
        <f ca="1">IF(EOMONTH(Enddatum,$E145+1)&lt;=AD$5,0,IF(AD$7&gt;$E145,OFFSET('Costs 03'!AD30,0,-$E145),0))</f>
        <v>0</v>
      </c>
      <c r="AE145" s="722">
        <f ca="1">IF(EOMONTH(Enddatum,$E145+1)&lt;=AE$5,0,IF(AE$7&gt;$E145,OFFSET('Costs 03'!AE30,0,-$E145),0))</f>
        <v>0</v>
      </c>
      <c r="AF145" s="722">
        <f ca="1">IF(EOMONTH(Enddatum,$E145+1)&lt;=AF$5,0,IF(AF$7&gt;$E145,OFFSET('Costs 03'!AF30,0,-$E145),0))</f>
        <v>0</v>
      </c>
      <c r="AG145" s="722">
        <f ca="1">IF(EOMONTH(Enddatum,$E145+1)&lt;=AG$5,0,IF(AG$7&gt;$E145,OFFSET('Costs 03'!AG30,0,-$E145),0))</f>
        <v>0</v>
      </c>
    </row>
    <row r="146" spans="1:33" s="649" customFormat="1" ht="18" customHeight="1" outlineLevel="1">
      <c r="A146" s="894"/>
      <c r="B146" s="287"/>
      <c r="C146" s="717" t="str">
        <f>'Costs 03'!C33</f>
        <v>Salesforce Expenses</v>
      </c>
      <c r="D146" s="287"/>
      <c r="E146" s="287"/>
      <c r="F146" s="894"/>
      <c r="G146" s="287"/>
      <c r="H146" s="287"/>
      <c r="I146" s="287"/>
      <c r="J146" s="723"/>
      <c r="K146" s="723"/>
      <c r="L146" s="723"/>
      <c r="M146" s="723"/>
      <c r="N146" s="723"/>
      <c r="O146" s="723"/>
      <c r="P146" s="723"/>
      <c r="Q146" s="723"/>
      <c r="R146" s="723"/>
      <c r="S146" s="723"/>
      <c r="T146" s="723"/>
      <c r="U146" s="723"/>
      <c r="V146" s="723"/>
      <c r="W146" s="723"/>
      <c r="X146" s="723"/>
      <c r="Y146" s="723"/>
      <c r="Z146" s="723"/>
      <c r="AA146" s="723"/>
      <c r="AB146" s="723"/>
      <c r="AC146" s="723"/>
      <c r="AD146" s="723"/>
      <c r="AE146" s="723"/>
      <c r="AF146" s="723"/>
      <c r="AG146" s="723"/>
    </row>
    <row r="147" spans="1:33" s="649" customFormat="1" ht="18" customHeight="1" outlineLevel="1">
      <c r="A147" s="894"/>
      <c r="B147" s="287"/>
      <c r="C147" s="24" t="str">
        <f>'Costs 03'!C35</f>
        <v>Freight/distribution expenses</v>
      </c>
      <c r="D147" s="8" t="str">
        <f t="shared" ref="D147:D153" si="47">Currency_Label</f>
        <v>USD</v>
      </c>
      <c r="E147" s="714">
        <f>'Costs 03'!F35</f>
        <v>0</v>
      </c>
      <c r="F147" s="894"/>
      <c r="G147" s="287"/>
      <c r="H147" s="287"/>
      <c r="I147" s="71">
        <f t="shared" ref="I147:I153" ca="1" si="48">SUM(J147:AG147)</f>
        <v>57680</v>
      </c>
      <c r="J147" s="722">
        <f ca="1">IF(EOMONTH(Enddatum,$E147+1)&lt;=J$5,0,IF(J$7&gt;$E147,OFFSET('Costs 03'!J35,0,-$E147),0))</f>
        <v>2640</v>
      </c>
      <c r="K147" s="722">
        <f ca="1">IF(EOMONTH(Enddatum,$E147+1)&lt;=K$5,0,IF(K$7&gt;$E147,OFFSET('Costs 03'!K35,0,-$E147),0))</f>
        <v>2640</v>
      </c>
      <c r="L147" s="722">
        <f ca="1">IF(EOMONTH(Enddatum,$E147+1)&lt;=L$5,0,IF(L$7&gt;$E147,OFFSET('Costs 03'!L35,0,-$E147),0))</f>
        <v>2640</v>
      </c>
      <c r="M147" s="722">
        <f ca="1">IF(EOMONTH(Enddatum,$E147+1)&lt;=M$5,0,IF(M$7&gt;$E147,OFFSET('Costs 03'!M35,0,-$E147),0))</f>
        <v>2640</v>
      </c>
      <c r="N147" s="722">
        <f ca="1">IF(EOMONTH(Enddatum,$E147+1)&lt;=N$5,0,IF(N$7&gt;$E147,OFFSET('Costs 03'!N35,0,-$E147),0))</f>
        <v>2640</v>
      </c>
      <c r="O147" s="722">
        <f ca="1">IF(EOMONTH(Enddatum,$E147+1)&lt;=O$5,0,IF(O$7&gt;$E147,OFFSET('Costs 03'!O35,0,-$E147),0))</f>
        <v>2640</v>
      </c>
      <c r="P147" s="722">
        <f ca="1">IF(EOMONTH(Enddatum,$E147+1)&lt;=P$5,0,IF(P$7&gt;$E147,OFFSET('Costs 03'!P35,0,-$E147),0))</f>
        <v>2640</v>
      </c>
      <c r="Q147" s="722">
        <f ca="1">IF(EOMONTH(Enddatum,$E147+1)&lt;=Q$5,0,IF(Q$7&gt;$E147,OFFSET('Costs 03'!Q35,0,-$E147),0))</f>
        <v>2800</v>
      </c>
      <c r="R147" s="722">
        <f ca="1">IF(EOMONTH(Enddatum,$E147+1)&lt;=R$5,0,IF(R$7&gt;$E147,OFFSET('Costs 03'!R35,0,-$E147),0))</f>
        <v>2800</v>
      </c>
      <c r="S147" s="722">
        <f ca="1">IF(EOMONTH(Enddatum,$E147+1)&lt;=S$5,0,IF(S$7&gt;$E147,OFFSET('Costs 03'!S35,0,-$E147),0))</f>
        <v>2800</v>
      </c>
      <c r="T147" s="722">
        <f ca="1">IF(EOMONTH(Enddatum,$E147+1)&lt;=T$5,0,IF(T$7&gt;$E147,OFFSET('Costs 03'!T35,0,-$E147),0))</f>
        <v>2800</v>
      </c>
      <c r="U147" s="722">
        <f ca="1">IF(EOMONTH(Enddatum,$E147+1)&lt;=U$5,0,IF(U$7&gt;$E147,OFFSET('Costs 03'!U35,0,-$E147),0))</f>
        <v>2800</v>
      </c>
      <c r="V147" s="722">
        <f ca="1">IF(EOMONTH(Enddatum,$E147+1)&lt;=V$5,0,IF(V$7&gt;$E147,OFFSET('Costs 03'!V35,0,-$E147),0))</f>
        <v>2800</v>
      </c>
      <c r="W147" s="722">
        <f ca="1">IF(EOMONTH(Enddatum,$E147+1)&lt;=W$5,0,IF(W$7&gt;$E147,OFFSET('Costs 03'!W35,0,-$E147),0))</f>
        <v>2800</v>
      </c>
      <c r="X147" s="722">
        <f ca="1">IF(EOMONTH(Enddatum,$E147+1)&lt;=X$5,0,IF(X$7&gt;$E147,OFFSET('Costs 03'!X35,0,-$E147),0))</f>
        <v>2800</v>
      </c>
      <c r="Y147" s="722">
        <f ca="1">IF(EOMONTH(Enddatum,$E147+1)&lt;=Y$5,0,IF(Y$7&gt;$E147,OFFSET('Costs 03'!Y35,0,-$E147),0))</f>
        <v>2800</v>
      </c>
      <c r="Z147" s="722">
        <f ca="1">IF(EOMONTH(Enddatum,$E147+1)&lt;=Z$5,0,IF(Z$7&gt;$E147,OFFSET('Costs 03'!Z35,0,-$E147),0))</f>
        <v>2800</v>
      </c>
      <c r="AA147" s="722">
        <f ca="1">IF(EOMONTH(Enddatum,$E147+1)&lt;=AA$5,0,IF(AA$7&gt;$E147,OFFSET('Costs 03'!AA35,0,-$E147),0))</f>
        <v>2800</v>
      </c>
      <c r="AB147" s="722">
        <f ca="1">IF(EOMONTH(Enddatum,$E147+1)&lt;=AB$5,0,IF(AB$7&gt;$E147,OFFSET('Costs 03'!AB35,0,-$E147),0))</f>
        <v>2800</v>
      </c>
      <c r="AC147" s="722">
        <f ca="1">IF(EOMONTH(Enddatum,$E147+1)&lt;=AC$5,0,IF(AC$7&gt;$E147,OFFSET('Costs 03'!AC35,0,-$E147),0))</f>
        <v>2800</v>
      </c>
      <c r="AD147" s="722">
        <f ca="1">IF(EOMONTH(Enddatum,$E147+1)&lt;=AD$5,0,IF(AD$7&gt;$E147,OFFSET('Costs 03'!AD35,0,-$E147),0))</f>
        <v>2800</v>
      </c>
      <c r="AE147" s="722">
        <f ca="1">IF(EOMONTH(Enddatum,$E147+1)&lt;=AE$5,0,IF(AE$7&gt;$E147,OFFSET('Costs 03'!AE35,0,-$E147),0))</f>
        <v>0</v>
      </c>
      <c r="AF147" s="722">
        <f ca="1">IF(EOMONTH(Enddatum,$E147+1)&lt;=AF$5,0,IF(AF$7&gt;$E147,OFFSET('Costs 03'!AF35,0,-$E147),0))</f>
        <v>0</v>
      </c>
      <c r="AG147" s="722">
        <f ca="1">IF(EOMONTH(Enddatum,$E147+1)&lt;=AG$5,0,IF(AG$7&gt;$E147,OFFSET('Costs 03'!AG35,0,-$E147),0))</f>
        <v>0</v>
      </c>
    </row>
    <row r="148" spans="1:33" s="649" customFormat="1" ht="18" customHeight="1" outlineLevel="1">
      <c r="A148" s="894"/>
      <c r="B148" s="287"/>
      <c r="C148" s="24" t="str">
        <f>'Costs 03'!C36</f>
        <v>Selling expenses/commission</v>
      </c>
      <c r="D148" s="8" t="str">
        <f t="shared" si="47"/>
        <v>USD</v>
      </c>
      <c r="E148" s="714">
        <f>'Costs 03'!F36</f>
        <v>0</v>
      </c>
      <c r="F148" s="894"/>
      <c r="G148" s="287"/>
      <c r="H148" s="287"/>
      <c r="I148" s="71">
        <f t="shared" ca="1" si="48"/>
        <v>74740.6687598914</v>
      </c>
      <c r="J148" s="722">
        <f ca="1">IF(EOMONTH(Enddatum,$E148+1)&lt;=J$5,0,IF(J$7&gt;$E148,OFFSET('Costs 03'!J36,0,-$E148),0))</f>
        <v>2872.44</v>
      </c>
      <c r="K148" s="722">
        <f ca="1">IF(EOMONTH(Enddatum,$E148+1)&lt;=K$5,0,IF(K$7&gt;$E148,OFFSET('Costs 03'!K36,0,-$E148),0))</f>
        <v>3029.2309999999998</v>
      </c>
      <c r="L148" s="722">
        <f ca="1">IF(EOMONTH(Enddatum,$E148+1)&lt;=L$5,0,IF(L$7&gt;$E148,OFFSET('Costs 03'!L36,0,-$E148),0))</f>
        <v>3033.0599099999999</v>
      </c>
      <c r="M148" s="722">
        <f ca="1">IF(EOMONTH(Enddatum,$E148+1)&lt;=M$5,0,IF(M$7&gt;$E148,OFFSET('Costs 03'!M36,0,-$E148),0))</f>
        <v>3036.9271091000005</v>
      </c>
      <c r="N148" s="722">
        <f ca="1">IF(EOMONTH(Enddatum,$E148+1)&lt;=N$5,0,IF(N$7&gt;$E148,OFFSET('Costs 03'!N36,0,-$E148),0))</f>
        <v>3040.8329801909999</v>
      </c>
      <c r="O148" s="722">
        <f ca="1">IF(EOMONTH(Enddatum,$E148+1)&lt;=O$5,0,IF(O$7&gt;$E148,OFFSET('Costs 03'!O36,0,-$E148),0))</f>
        <v>3044.7779099929098</v>
      </c>
      <c r="P148" s="722">
        <f ca="1">IF(EOMONTH(Enddatum,$E148+1)&lt;=P$5,0,IF(P$7&gt;$E148,OFFSET('Costs 03'!P36,0,-$E148),0))</f>
        <v>5049.1622890928393</v>
      </c>
      <c r="Q148" s="722">
        <f ca="1">IF(EOMONTH(Enddatum,$E148+1)&lt;=Q$5,0,IF(Q$7&gt;$E148,OFFSET('Costs 03'!Q36,0,-$E148),0))</f>
        <v>2963.5865119837681</v>
      </c>
      <c r="R148" s="722">
        <f ca="1">IF(EOMONTH(Enddatum,$E148+1)&lt;=R$5,0,IF(R$7&gt;$E148,OFFSET('Costs 03'!R36,0,-$E148),0))</f>
        <v>3017.6509771036053</v>
      </c>
      <c r="S148" s="722">
        <f ca="1">IF(EOMONTH(Enddatum,$E148+1)&lt;=S$5,0,IF(S$7&gt;$E148,OFFSET('Costs 03'!S36,0,-$E148),0))</f>
        <v>5114.3560868746417</v>
      </c>
      <c r="T148" s="722">
        <f ca="1">IF(EOMONTH(Enddatum,$E148+1)&lt;=T$5,0,IF(T$7&gt;$E148,OFFSET('Costs 03'!T36,0,-$E148),0))</f>
        <v>3118.9022477433878</v>
      </c>
      <c r="U148" s="722">
        <f ca="1">IF(EOMONTH(Enddatum,$E148+1)&lt;=U$5,0,IF(U$7&gt;$E148,OFFSET('Costs 03'!U36,0,-$E148),0))</f>
        <v>3098.6598702208221</v>
      </c>
      <c r="V148" s="722">
        <f ca="1">IF(EOMONTH(Enddatum,$E148+1)&lt;=V$5,0,IF(V$7&gt;$E148,OFFSET('Costs 03'!V36,0,-$E148),0))</f>
        <v>5104.7094689230298</v>
      </c>
      <c r="W148" s="722">
        <f ca="1">IF(EOMONTH(Enddatum,$E148+1)&lt;=W$5,0,IF(W$7&gt;$E148,OFFSET('Costs 03'!W36,0,-$E148),0))</f>
        <v>3109.2115636122608</v>
      </c>
      <c r="X148" s="722">
        <f ca="1">IF(EOMONTH(Enddatum,$E148+1)&lt;=X$5,0,IF(X$7&gt;$E148,OFFSET('Costs 03'!X36,0,-$E148),0))</f>
        <v>3114.566679248383</v>
      </c>
      <c r="Y148" s="722">
        <f ca="1">IF(EOMONTH(Enddatum,$E148+1)&lt;=Y$5,0,IF(Y$7&gt;$E148,OFFSET('Costs 03'!Y36,0,-$E148),0))</f>
        <v>5120.9753460408665</v>
      </c>
      <c r="Z148" s="722">
        <f ca="1">IF(EOMONTH(Enddatum,$E148+1)&lt;=Z$5,0,IF(Z$7&gt;$E148,OFFSET('Costs 03'!Z36,0,-$E148),0))</f>
        <v>3138.6380995012755</v>
      </c>
      <c r="AA148" s="722">
        <f ca="1">IF(EOMONTH(Enddatum,$E148+1)&lt;=AA$5,0,IF(AA$7&gt;$E148,OFFSET('Costs 03'!AA36,0,-$E148),0))</f>
        <v>3144.155480496288</v>
      </c>
      <c r="AB148" s="722">
        <f ca="1">IF(EOMONTH(Enddatum,$E148+1)&lt;=AB$5,0,IF(AB$7&gt;$E148,OFFSET('Costs 03'!AB36,0,-$E148),0))</f>
        <v>5150.9280353012509</v>
      </c>
      <c r="AC148" s="722">
        <f ca="1">IF(EOMONTH(Enddatum,$E148+1)&lt;=AC$5,0,IF(AC$7&gt;$E148,OFFSET('Costs 03'!AC36,0,-$E148),0))</f>
        <v>3109.3563156542637</v>
      </c>
      <c r="AD148" s="722">
        <f ca="1">IF(EOMONTH(Enddatum,$E148+1)&lt;=AD$5,0,IF(AD$7&gt;$E148,OFFSET('Costs 03'!AD36,0,-$E148),0))</f>
        <v>3328.5408788108066</v>
      </c>
      <c r="AE148" s="722">
        <f ca="1">IF(EOMONTH(Enddatum,$E148+1)&lt;=AE$5,0,IF(AE$7&gt;$E148,OFFSET('Costs 03'!AE36,0,-$E148),0))</f>
        <v>0</v>
      </c>
      <c r="AF148" s="722">
        <f ca="1">IF(EOMONTH(Enddatum,$E148+1)&lt;=AF$5,0,IF(AF$7&gt;$E148,OFFSET('Costs 03'!AF36,0,-$E148),0))</f>
        <v>0</v>
      </c>
      <c r="AG148" s="722">
        <f ca="1">IF(EOMONTH(Enddatum,$E148+1)&lt;=AG$5,0,IF(AG$7&gt;$E148,OFFSET('Costs 03'!AG36,0,-$E148),0))</f>
        <v>0</v>
      </c>
    </row>
    <row r="149" spans="1:33" s="649" customFormat="1" ht="18" customHeight="1" outlineLevel="1">
      <c r="A149" s="894"/>
      <c r="B149" s="287"/>
      <c r="C149" s="24" t="str">
        <f>'Costs 03'!C37</f>
        <v>Promotional materials (advertising, brochures etc.)</v>
      </c>
      <c r="D149" s="8" t="str">
        <f t="shared" si="47"/>
        <v>USD</v>
      </c>
      <c r="E149" s="714">
        <f>'Costs 03'!F37</f>
        <v>0</v>
      </c>
      <c r="F149" s="894"/>
      <c r="G149" s="287"/>
      <c r="H149" s="287"/>
      <c r="I149" s="71">
        <f t="shared" ca="1" si="48"/>
        <v>11550</v>
      </c>
      <c r="J149" s="722">
        <f ca="1">IF(EOMONTH(Enddatum,$E149+1)&lt;=J$5,0,IF(J$7&gt;$E149,OFFSET('Costs 03'!J37,0,-$E149),0))</f>
        <v>550</v>
      </c>
      <c r="K149" s="722">
        <f ca="1">IF(EOMONTH(Enddatum,$E149+1)&lt;=K$5,0,IF(K$7&gt;$E149,OFFSET('Costs 03'!K37,0,-$E149),0))</f>
        <v>550</v>
      </c>
      <c r="L149" s="722">
        <f ca="1">IF(EOMONTH(Enddatum,$E149+1)&lt;=L$5,0,IF(L$7&gt;$E149,OFFSET('Costs 03'!L37,0,-$E149),0))</f>
        <v>550</v>
      </c>
      <c r="M149" s="722">
        <f ca="1">IF(EOMONTH(Enddatum,$E149+1)&lt;=M$5,0,IF(M$7&gt;$E149,OFFSET('Costs 03'!M37,0,-$E149),0))</f>
        <v>550</v>
      </c>
      <c r="N149" s="722">
        <f ca="1">IF(EOMONTH(Enddatum,$E149+1)&lt;=N$5,0,IF(N$7&gt;$E149,OFFSET('Costs 03'!N37,0,-$E149),0))</f>
        <v>550</v>
      </c>
      <c r="O149" s="722">
        <f ca="1">IF(EOMONTH(Enddatum,$E149+1)&lt;=O$5,0,IF(O$7&gt;$E149,OFFSET('Costs 03'!O37,0,-$E149),0))</f>
        <v>550</v>
      </c>
      <c r="P149" s="722">
        <f ca="1">IF(EOMONTH(Enddatum,$E149+1)&lt;=P$5,0,IF(P$7&gt;$E149,OFFSET('Costs 03'!P37,0,-$E149),0))</f>
        <v>550</v>
      </c>
      <c r="Q149" s="722">
        <f ca="1">IF(EOMONTH(Enddatum,$E149+1)&lt;=Q$5,0,IF(Q$7&gt;$E149,OFFSET('Costs 03'!Q37,0,-$E149),0))</f>
        <v>550</v>
      </c>
      <c r="R149" s="722">
        <f ca="1">IF(EOMONTH(Enddatum,$E149+1)&lt;=R$5,0,IF(R$7&gt;$E149,OFFSET('Costs 03'!R37,0,-$E149),0))</f>
        <v>550</v>
      </c>
      <c r="S149" s="722">
        <f ca="1">IF(EOMONTH(Enddatum,$E149+1)&lt;=S$5,0,IF(S$7&gt;$E149,OFFSET('Costs 03'!S37,0,-$E149),0))</f>
        <v>550</v>
      </c>
      <c r="T149" s="722">
        <f ca="1">IF(EOMONTH(Enddatum,$E149+1)&lt;=T$5,0,IF(T$7&gt;$E149,OFFSET('Costs 03'!T37,0,-$E149),0))</f>
        <v>550</v>
      </c>
      <c r="U149" s="722">
        <f ca="1">IF(EOMONTH(Enddatum,$E149+1)&lt;=U$5,0,IF(U$7&gt;$E149,OFFSET('Costs 03'!U37,0,-$E149),0))</f>
        <v>550</v>
      </c>
      <c r="V149" s="722">
        <f ca="1">IF(EOMONTH(Enddatum,$E149+1)&lt;=V$5,0,IF(V$7&gt;$E149,OFFSET('Costs 03'!V37,0,-$E149),0))</f>
        <v>550</v>
      </c>
      <c r="W149" s="722">
        <f ca="1">IF(EOMONTH(Enddatum,$E149+1)&lt;=W$5,0,IF(W$7&gt;$E149,OFFSET('Costs 03'!W37,0,-$E149),0))</f>
        <v>550</v>
      </c>
      <c r="X149" s="722">
        <f ca="1">IF(EOMONTH(Enddatum,$E149+1)&lt;=X$5,0,IF(X$7&gt;$E149,OFFSET('Costs 03'!X37,0,-$E149),0))</f>
        <v>550</v>
      </c>
      <c r="Y149" s="722">
        <f ca="1">IF(EOMONTH(Enddatum,$E149+1)&lt;=Y$5,0,IF(Y$7&gt;$E149,OFFSET('Costs 03'!Y37,0,-$E149),0))</f>
        <v>550</v>
      </c>
      <c r="Z149" s="722">
        <f ca="1">IF(EOMONTH(Enddatum,$E149+1)&lt;=Z$5,0,IF(Z$7&gt;$E149,OFFSET('Costs 03'!Z37,0,-$E149),0))</f>
        <v>550</v>
      </c>
      <c r="AA149" s="722">
        <f ca="1">IF(EOMONTH(Enddatum,$E149+1)&lt;=AA$5,0,IF(AA$7&gt;$E149,OFFSET('Costs 03'!AA37,0,-$E149),0))</f>
        <v>550</v>
      </c>
      <c r="AB149" s="722">
        <f ca="1">IF(EOMONTH(Enddatum,$E149+1)&lt;=AB$5,0,IF(AB$7&gt;$E149,OFFSET('Costs 03'!AB37,0,-$E149),0))</f>
        <v>550</v>
      </c>
      <c r="AC149" s="722">
        <f ca="1">IF(EOMONTH(Enddatum,$E149+1)&lt;=AC$5,0,IF(AC$7&gt;$E149,OFFSET('Costs 03'!AC37,0,-$E149),0))</f>
        <v>550</v>
      </c>
      <c r="AD149" s="722">
        <f ca="1">IF(EOMONTH(Enddatum,$E149+1)&lt;=AD$5,0,IF(AD$7&gt;$E149,OFFSET('Costs 03'!AD37,0,-$E149),0))</f>
        <v>550</v>
      </c>
      <c r="AE149" s="722">
        <f ca="1">IF(EOMONTH(Enddatum,$E149+1)&lt;=AE$5,0,IF(AE$7&gt;$E149,OFFSET('Costs 03'!AE37,0,-$E149),0))</f>
        <v>0</v>
      </c>
      <c r="AF149" s="722">
        <f ca="1">IF(EOMONTH(Enddatum,$E149+1)&lt;=AF$5,0,IF(AF$7&gt;$E149,OFFSET('Costs 03'!AF37,0,-$E149),0))</f>
        <v>0</v>
      </c>
      <c r="AG149" s="722">
        <f ca="1">IF(EOMONTH(Enddatum,$E149+1)&lt;=AG$5,0,IF(AG$7&gt;$E149,OFFSET('Costs 03'!AG37,0,-$E149),0))</f>
        <v>0</v>
      </c>
    </row>
    <row r="150" spans="1:33" s="649" customFormat="1" ht="18" customHeight="1" outlineLevel="1">
      <c r="A150" s="894"/>
      <c r="B150" s="287"/>
      <c r="C150" s="24" t="str">
        <f>'Costs 03'!C38</f>
        <v>Public relations, exhibitions</v>
      </c>
      <c r="D150" s="8" t="str">
        <f t="shared" si="47"/>
        <v>USD</v>
      </c>
      <c r="E150" s="714">
        <f>'Costs 03'!F38</f>
        <v>0</v>
      </c>
      <c r="F150" s="894"/>
      <c r="G150" s="287"/>
      <c r="H150" s="287"/>
      <c r="I150" s="71">
        <f t="shared" ca="1" si="48"/>
        <v>0</v>
      </c>
      <c r="J150" s="722">
        <f ca="1">IF(EOMONTH(Enddatum,$E150+1)&lt;=J$5,0,IF(J$7&gt;$E150,OFFSET('Costs 03'!J38,0,-$E150),0))</f>
        <v>0</v>
      </c>
      <c r="K150" s="722">
        <f ca="1">IF(EOMONTH(Enddatum,$E150+1)&lt;=K$5,0,IF(K$7&gt;$E150,OFFSET('Costs 03'!K38,0,-$E150),0))</f>
        <v>0</v>
      </c>
      <c r="L150" s="722">
        <f ca="1">IF(EOMONTH(Enddatum,$E150+1)&lt;=L$5,0,IF(L$7&gt;$E150,OFFSET('Costs 03'!L38,0,-$E150),0))</f>
        <v>0</v>
      </c>
      <c r="M150" s="722">
        <f ca="1">IF(EOMONTH(Enddatum,$E150+1)&lt;=M$5,0,IF(M$7&gt;$E150,OFFSET('Costs 03'!M38,0,-$E150),0))</f>
        <v>0</v>
      </c>
      <c r="N150" s="722">
        <f ca="1">IF(EOMONTH(Enddatum,$E150+1)&lt;=N$5,0,IF(N$7&gt;$E150,OFFSET('Costs 03'!N38,0,-$E150),0))</f>
        <v>0</v>
      </c>
      <c r="O150" s="722">
        <f ca="1">IF(EOMONTH(Enddatum,$E150+1)&lt;=O$5,0,IF(O$7&gt;$E150,OFFSET('Costs 03'!O38,0,-$E150),0))</f>
        <v>0</v>
      </c>
      <c r="P150" s="722">
        <f ca="1">IF(EOMONTH(Enddatum,$E150+1)&lt;=P$5,0,IF(P$7&gt;$E150,OFFSET('Costs 03'!P38,0,-$E150),0))</f>
        <v>0</v>
      </c>
      <c r="Q150" s="722">
        <f ca="1">IF(EOMONTH(Enddatum,$E150+1)&lt;=Q$5,0,IF(Q$7&gt;$E150,OFFSET('Costs 03'!Q38,0,-$E150),0))</f>
        <v>0</v>
      </c>
      <c r="R150" s="722">
        <f ca="1">IF(EOMONTH(Enddatum,$E150+1)&lt;=R$5,0,IF(R$7&gt;$E150,OFFSET('Costs 03'!R38,0,-$E150),0))</f>
        <v>0</v>
      </c>
      <c r="S150" s="722">
        <f ca="1">IF(EOMONTH(Enddatum,$E150+1)&lt;=S$5,0,IF(S$7&gt;$E150,OFFSET('Costs 03'!S38,0,-$E150),0))</f>
        <v>0</v>
      </c>
      <c r="T150" s="722">
        <f ca="1">IF(EOMONTH(Enddatum,$E150+1)&lt;=T$5,0,IF(T$7&gt;$E150,OFFSET('Costs 03'!T38,0,-$E150),0))</f>
        <v>0</v>
      </c>
      <c r="U150" s="722">
        <f ca="1">IF(EOMONTH(Enddatum,$E150+1)&lt;=U$5,0,IF(U$7&gt;$E150,OFFSET('Costs 03'!U38,0,-$E150),0))</f>
        <v>0</v>
      </c>
      <c r="V150" s="722">
        <f ca="1">IF(EOMONTH(Enddatum,$E150+1)&lt;=V$5,0,IF(V$7&gt;$E150,OFFSET('Costs 03'!V38,0,-$E150),0))</f>
        <v>0</v>
      </c>
      <c r="W150" s="722">
        <f ca="1">IF(EOMONTH(Enddatum,$E150+1)&lt;=W$5,0,IF(W$7&gt;$E150,OFFSET('Costs 03'!W38,0,-$E150),0))</f>
        <v>0</v>
      </c>
      <c r="X150" s="722">
        <f ca="1">IF(EOMONTH(Enddatum,$E150+1)&lt;=X$5,0,IF(X$7&gt;$E150,OFFSET('Costs 03'!X38,0,-$E150),0))</f>
        <v>0</v>
      </c>
      <c r="Y150" s="722">
        <f ca="1">IF(EOMONTH(Enddatum,$E150+1)&lt;=Y$5,0,IF(Y$7&gt;$E150,OFFSET('Costs 03'!Y38,0,-$E150),0))</f>
        <v>0</v>
      </c>
      <c r="Z150" s="722">
        <f ca="1">IF(EOMONTH(Enddatum,$E150+1)&lt;=Z$5,0,IF(Z$7&gt;$E150,OFFSET('Costs 03'!Z38,0,-$E150),0))</f>
        <v>0</v>
      </c>
      <c r="AA150" s="722">
        <f ca="1">IF(EOMONTH(Enddatum,$E150+1)&lt;=AA$5,0,IF(AA$7&gt;$E150,OFFSET('Costs 03'!AA38,0,-$E150),0))</f>
        <v>0</v>
      </c>
      <c r="AB150" s="722">
        <f ca="1">IF(EOMONTH(Enddatum,$E150+1)&lt;=AB$5,0,IF(AB$7&gt;$E150,OFFSET('Costs 03'!AB38,0,-$E150),0))</f>
        <v>0</v>
      </c>
      <c r="AC150" s="722">
        <f ca="1">IF(EOMONTH(Enddatum,$E150+1)&lt;=AC$5,0,IF(AC$7&gt;$E150,OFFSET('Costs 03'!AC38,0,-$E150),0))</f>
        <v>0</v>
      </c>
      <c r="AD150" s="722">
        <f ca="1">IF(EOMONTH(Enddatum,$E150+1)&lt;=AD$5,0,IF(AD$7&gt;$E150,OFFSET('Costs 03'!AD38,0,-$E150),0))</f>
        <v>0</v>
      </c>
      <c r="AE150" s="722">
        <f ca="1">IF(EOMONTH(Enddatum,$E150+1)&lt;=AE$5,0,IF(AE$7&gt;$E150,OFFSET('Costs 03'!AE38,0,-$E150),0))</f>
        <v>0</v>
      </c>
      <c r="AF150" s="722">
        <f ca="1">IF(EOMONTH(Enddatum,$E150+1)&lt;=AF$5,0,IF(AF$7&gt;$E150,OFFSET('Costs 03'!AF38,0,-$E150),0))</f>
        <v>0</v>
      </c>
      <c r="AG150" s="722">
        <f ca="1">IF(EOMONTH(Enddatum,$E150+1)&lt;=AG$5,0,IF(AG$7&gt;$E150,OFFSET('Costs 03'!AG38,0,-$E150),0))</f>
        <v>0</v>
      </c>
    </row>
    <row r="151" spans="1:33" s="649" customFormat="1" ht="18" customHeight="1" outlineLevel="1">
      <c r="A151" s="894"/>
      <c r="B151" s="287"/>
      <c r="C151" s="24" t="str">
        <f>'Costs 03'!C39</f>
        <v>Travel expenses</v>
      </c>
      <c r="D151" s="8" t="str">
        <f t="shared" si="47"/>
        <v>USD</v>
      </c>
      <c r="E151" s="714">
        <f>'Costs 03'!F39</f>
        <v>0</v>
      </c>
      <c r="F151" s="894"/>
      <c r="G151" s="287"/>
      <c r="H151" s="287"/>
      <c r="I151" s="71">
        <f t="shared" ca="1" si="48"/>
        <v>0</v>
      </c>
      <c r="J151" s="722">
        <f ca="1">IF(EOMONTH(Enddatum,$E151+1)&lt;=J$5,0,IF(J$7&gt;$E151,OFFSET('Costs 03'!J39,0,-$E151),0))</f>
        <v>0</v>
      </c>
      <c r="K151" s="722">
        <f ca="1">IF(EOMONTH(Enddatum,$E151+1)&lt;=K$5,0,IF(K$7&gt;$E151,OFFSET('Costs 03'!K39,0,-$E151),0))</f>
        <v>0</v>
      </c>
      <c r="L151" s="722">
        <f ca="1">IF(EOMONTH(Enddatum,$E151+1)&lt;=L$5,0,IF(L$7&gt;$E151,OFFSET('Costs 03'!L39,0,-$E151),0))</f>
        <v>0</v>
      </c>
      <c r="M151" s="722">
        <f ca="1">IF(EOMONTH(Enddatum,$E151+1)&lt;=M$5,0,IF(M$7&gt;$E151,OFFSET('Costs 03'!M39,0,-$E151),0))</f>
        <v>0</v>
      </c>
      <c r="N151" s="722">
        <f ca="1">IF(EOMONTH(Enddatum,$E151+1)&lt;=N$5,0,IF(N$7&gt;$E151,OFFSET('Costs 03'!N39,0,-$E151),0))</f>
        <v>0</v>
      </c>
      <c r="O151" s="722">
        <f ca="1">IF(EOMONTH(Enddatum,$E151+1)&lt;=O$5,0,IF(O$7&gt;$E151,OFFSET('Costs 03'!O39,0,-$E151),0))</f>
        <v>0</v>
      </c>
      <c r="P151" s="722">
        <f ca="1">IF(EOMONTH(Enddatum,$E151+1)&lt;=P$5,0,IF(P$7&gt;$E151,OFFSET('Costs 03'!P39,0,-$E151),0))</f>
        <v>0</v>
      </c>
      <c r="Q151" s="722">
        <f ca="1">IF(EOMONTH(Enddatum,$E151+1)&lt;=Q$5,0,IF(Q$7&gt;$E151,OFFSET('Costs 03'!Q39,0,-$E151),0))</f>
        <v>0</v>
      </c>
      <c r="R151" s="722">
        <f ca="1">IF(EOMONTH(Enddatum,$E151+1)&lt;=R$5,0,IF(R$7&gt;$E151,OFFSET('Costs 03'!R39,0,-$E151),0))</f>
        <v>0</v>
      </c>
      <c r="S151" s="722">
        <f ca="1">IF(EOMONTH(Enddatum,$E151+1)&lt;=S$5,0,IF(S$7&gt;$E151,OFFSET('Costs 03'!S39,0,-$E151),0))</f>
        <v>0</v>
      </c>
      <c r="T151" s="722">
        <f ca="1">IF(EOMONTH(Enddatum,$E151+1)&lt;=T$5,0,IF(T$7&gt;$E151,OFFSET('Costs 03'!T39,0,-$E151),0))</f>
        <v>0</v>
      </c>
      <c r="U151" s="722">
        <f ca="1">IF(EOMONTH(Enddatum,$E151+1)&lt;=U$5,0,IF(U$7&gt;$E151,OFFSET('Costs 03'!U39,0,-$E151),0))</f>
        <v>0</v>
      </c>
      <c r="V151" s="722">
        <f ca="1">IF(EOMONTH(Enddatum,$E151+1)&lt;=V$5,0,IF(V$7&gt;$E151,OFFSET('Costs 03'!V39,0,-$E151),0))</f>
        <v>0</v>
      </c>
      <c r="W151" s="722">
        <f ca="1">IF(EOMONTH(Enddatum,$E151+1)&lt;=W$5,0,IF(W$7&gt;$E151,OFFSET('Costs 03'!W39,0,-$E151),0))</f>
        <v>0</v>
      </c>
      <c r="X151" s="722">
        <f ca="1">IF(EOMONTH(Enddatum,$E151+1)&lt;=X$5,0,IF(X$7&gt;$E151,OFFSET('Costs 03'!X39,0,-$E151),0))</f>
        <v>0</v>
      </c>
      <c r="Y151" s="722">
        <f ca="1">IF(EOMONTH(Enddatum,$E151+1)&lt;=Y$5,0,IF(Y$7&gt;$E151,OFFSET('Costs 03'!Y39,0,-$E151),0))</f>
        <v>0</v>
      </c>
      <c r="Z151" s="722">
        <f ca="1">IF(EOMONTH(Enddatum,$E151+1)&lt;=Z$5,0,IF(Z$7&gt;$E151,OFFSET('Costs 03'!Z39,0,-$E151),0))</f>
        <v>0</v>
      </c>
      <c r="AA151" s="722">
        <f ca="1">IF(EOMONTH(Enddatum,$E151+1)&lt;=AA$5,0,IF(AA$7&gt;$E151,OFFSET('Costs 03'!AA39,0,-$E151),0))</f>
        <v>0</v>
      </c>
      <c r="AB151" s="722">
        <f ca="1">IF(EOMONTH(Enddatum,$E151+1)&lt;=AB$5,0,IF(AB$7&gt;$E151,OFFSET('Costs 03'!AB39,0,-$E151),0))</f>
        <v>0</v>
      </c>
      <c r="AC151" s="722">
        <f ca="1">IF(EOMONTH(Enddatum,$E151+1)&lt;=AC$5,0,IF(AC$7&gt;$E151,OFFSET('Costs 03'!AC39,0,-$E151),0))</f>
        <v>0</v>
      </c>
      <c r="AD151" s="722">
        <f ca="1">IF(EOMONTH(Enddatum,$E151+1)&lt;=AD$5,0,IF(AD$7&gt;$E151,OFFSET('Costs 03'!AD39,0,-$E151),0))</f>
        <v>0</v>
      </c>
      <c r="AE151" s="722">
        <f ca="1">IF(EOMONTH(Enddatum,$E151+1)&lt;=AE$5,0,IF(AE$7&gt;$E151,OFFSET('Costs 03'!AE39,0,-$E151),0))</f>
        <v>0</v>
      </c>
      <c r="AF151" s="722">
        <f ca="1">IF(EOMONTH(Enddatum,$E151+1)&lt;=AF$5,0,IF(AF$7&gt;$E151,OFFSET('Costs 03'!AF39,0,-$E151),0))</f>
        <v>0</v>
      </c>
      <c r="AG151" s="722">
        <f ca="1">IF(EOMONTH(Enddatum,$E151+1)&lt;=AG$5,0,IF(AG$7&gt;$E151,OFFSET('Costs 03'!AG39,0,-$E151),0))</f>
        <v>0</v>
      </c>
    </row>
    <row r="152" spans="1:33" s="649" customFormat="1" ht="18" customHeight="1" outlineLevel="1">
      <c r="A152" s="894"/>
      <c r="B152" s="287"/>
      <c r="C152" s="24" t="str">
        <f>'Costs 03'!C40</f>
        <v>Marketing campaign / Promotion 01</v>
      </c>
      <c r="D152" s="8" t="str">
        <f t="shared" si="47"/>
        <v>USD</v>
      </c>
      <c r="E152" s="714">
        <f>'Costs 03'!F40</f>
        <v>0</v>
      </c>
      <c r="F152" s="894"/>
      <c r="G152" s="287"/>
      <c r="H152" s="287"/>
      <c r="I152" s="71">
        <f t="shared" ca="1" si="48"/>
        <v>2650</v>
      </c>
      <c r="J152" s="722">
        <f ca="1">IF(EOMONTH(Enddatum,$E152+1)&lt;=J$5,0,IF(J$7&gt;$E152,OFFSET('Costs 03'!J40,0,-$E152),0))</f>
        <v>330</v>
      </c>
      <c r="K152" s="722">
        <f ca="1">IF(EOMONTH(Enddatum,$E152+1)&lt;=K$5,0,IF(K$7&gt;$E152,OFFSET('Costs 03'!K40,0,-$E152),0))</f>
        <v>0</v>
      </c>
      <c r="L152" s="722">
        <f ca="1">IF(EOMONTH(Enddatum,$E152+1)&lt;=L$5,0,IF(L$7&gt;$E152,OFFSET('Costs 03'!L40,0,-$E152),0))</f>
        <v>0</v>
      </c>
      <c r="M152" s="722">
        <f ca="1">IF(EOMONTH(Enddatum,$E152+1)&lt;=M$5,0,IF(M$7&gt;$E152,OFFSET('Costs 03'!M40,0,-$E152),0))</f>
        <v>330</v>
      </c>
      <c r="N152" s="722">
        <f ca="1">IF(EOMONTH(Enddatum,$E152+1)&lt;=N$5,0,IF(N$7&gt;$E152,OFFSET('Costs 03'!N40,0,-$E152),0))</f>
        <v>0</v>
      </c>
      <c r="O152" s="722">
        <f ca="1">IF(EOMONTH(Enddatum,$E152+1)&lt;=O$5,0,IF(O$7&gt;$E152,OFFSET('Costs 03'!O40,0,-$E152),0))</f>
        <v>0</v>
      </c>
      <c r="P152" s="722">
        <f ca="1">IF(EOMONTH(Enddatum,$E152+1)&lt;=P$5,0,IF(P$7&gt;$E152,OFFSET('Costs 03'!P40,0,-$E152),0))</f>
        <v>500</v>
      </c>
      <c r="Q152" s="722">
        <f ca="1">IF(EOMONTH(Enddatum,$E152+1)&lt;=Q$5,0,IF(Q$7&gt;$E152,OFFSET('Costs 03'!Q40,0,-$E152),0))</f>
        <v>0</v>
      </c>
      <c r="R152" s="722">
        <f ca="1">IF(EOMONTH(Enddatum,$E152+1)&lt;=R$5,0,IF(R$7&gt;$E152,OFFSET('Costs 03'!R40,0,-$E152),0))</f>
        <v>330</v>
      </c>
      <c r="S152" s="722">
        <f ca="1">IF(EOMONTH(Enddatum,$E152+1)&lt;=S$5,0,IF(S$7&gt;$E152,OFFSET('Costs 03'!S40,0,-$E152),0))</f>
        <v>0</v>
      </c>
      <c r="T152" s="722">
        <f ca="1">IF(EOMONTH(Enddatum,$E152+1)&lt;=T$5,0,IF(T$7&gt;$E152,OFFSET('Costs 03'!T40,0,-$E152),0))</f>
        <v>0</v>
      </c>
      <c r="U152" s="722">
        <f ca="1">IF(EOMONTH(Enddatum,$E152+1)&lt;=U$5,0,IF(U$7&gt;$E152,OFFSET('Costs 03'!U40,0,-$E152),0))</f>
        <v>330</v>
      </c>
      <c r="V152" s="722">
        <f ca="1">IF(EOMONTH(Enddatum,$E152+1)&lt;=V$5,0,IF(V$7&gt;$E152,OFFSET('Costs 03'!V40,0,-$E152),0))</f>
        <v>0</v>
      </c>
      <c r="W152" s="722">
        <f ca="1">IF(EOMONTH(Enddatum,$E152+1)&lt;=W$5,0,IF(W$7&gt;$E152,OFFSET('Costs 03'!W40,0,-$E152),0))</f>
        <v>0</v>
      </c>
      <c r="X152" s="722">
        <f ca="1">IF(EOMONTH(Enddatum,$E152+1)&lt;=X$5,0,IF(X$7&gt;$E152,OFFSET('Costs 03'!X40,0,-$E152),0))</f>
        <v>500</v>
      </c>
      <c r="Y152" s="722">
        <f ca="1">IF(EOMONTH(Enddatum,$E152+1)&lt;=Y$5,0,IF(Y$7&gt;$E152,OFFSET('Costs 03'!Y40,0,-$E152),0))</f>
        <v>0</v>
      </c>
      <c r="Z152" s="722">
        <f ca="1">IF(EOMONTH(Enddatum,$E152+1)&lt;=Z$5,0,IF(Z$7&gt;$E152,OFFSET('Costs 03'!Z40,0,-$E152),0))</f>
        <v>0</v>
      </c>
      <c r="AA152" s="722">
        <f ca="1">IF(EOMONTH(Enddatum,$E152+1)&lt;=AA$5,0,IF(AA$7&gt;$E152,OFFSET('Costs 03'!AA40,0,-$E152),0))</f>
        <v>0</v>
      </c>
      <c r="AB152" s="722">
        <f ca="1">IF(EOMONTH(Enddatum,$E152+1)&lt;=AB$5,0,IF(AB$7&gt;$E152,OFFSET('Costs 03'!AB40,0,-$E152),0))</f>
        <v>0</v>
      </c>
      <c r="AC152" s="722">
        <f ca="1">IF(EOMONTH(Enddatum,$E152+1)&lt;=AC$5,0,IF(AC$7&gt;$E152,OFFSET('Costs 03'!AC40,0,-$E152),0))</f>
        <v>330</v>
      </c>
      <c r="AD152" s="722">
        <f ca="1">IF(EOMONTH(Enddatum,$E152+1)&lt;=AD$5,0,IF(AD$7&gt;$E152,OFFSET('Costs 03'!AD40,0,-$E152),0))</f>
        <v>0</v>
      </c>
      <c r="AE152" s="722">
        <f ca="1">IF(EOMONTH(Enddatum,$E152+1)&lt;=AE$5,0,IF(AE$7&gt;$E152,OFFSET('Costs 03'!AE40,0,-$E152),0))</f>
        <v>0</v>
      </c>
      <c r="AF152" s="722">
        <f ca="1">IF(EOMONTH(Enddatum,$E152+1)&lt;=AF$5,0,IF(AF$7&gt;$E152,OFFSET('Costs 03'!AF40,0,-$E152),0))</f>
        <v>0</v>
      </c>
      <c r="AG152" s="722">
        <f ca="1">IF(EOMONTH(Enddatum,$E152+1)&lt;=AG$5,0,IF(AG$7&gt;$E152,OFFSET('Costs 03'!AG40,0,-$E152),0))</f>
        <v>0</v>
      </c>
    </row>
    <row r="153" spans="1:33" s="649" customFormat="1" ht="18" customHeight="1" outlineLevel="1">
      <c r="A153" s="894"/>
      <c r="B153" s="287"/>
      <c r="C153" s="24" t="str">
        <f>'Costs 03'!C41</f>
        <v>Marketing campaign / Promotion 02</v>
      </c>
      <c r="D153" s="8" t="str">
        <f t="shared" si="47"/>
        <v>USD</v>
      </c>
      <c r="E153" s="714">
        <f>'Costs 03'!F41</f>
        <v>0</v>
      </c>
      <c r="F153" s="894"/>
      <c r="G153" s="287"/>
      <c r="H153" s="287"/>
      <c r="I153" s="71">
        <f t="shared" ca="1" si="48"/>
        <v>0</v>
      </c>
      <c r="J153" s="722">
        <f ca="1">IF(EOMONTH(Enddatum,$E153+1)&lt;=J$5,0,IF(J$7&gt;$E153,OFFSET('Costs 03'!J41,0,-$E153),0))</f>
        <v>0</v>
      </c>
      <c r="K153" s="722">
        <f ca="1">IF(EOMONTH(Enddatum,$E153+1)&lt;=K$5,0,IF(K$7&gt;$E153,OFFSET('Costs 03'!K41,0,-$E153),0))</f>
        <v>0</v>
      </c>
      <c r="L153" s="722">
        <f ca="1">IF(EOMONTH(Enddatum,$E153+1)&lt;=L$5,0,IF(L$7&gt;$E153,OFFSET('Costs 03'!L41,0,-$E153),0))</f>
        <v>0</v>
      </c>
      <c r="M153" s="722">
        <f ca="1">IF(EOMONTH(Enddatum,$E153+1)&lt;=M$5,0,IF(M$7&gt;$E153,OFFSET('Costs 03'!M41,0,-$E153),0))</f>
        <v>0</v>
      </c>
      <c r="N153" s="722">
        <f ca="1">IF(EOMONTH(Enddatum,$E153+1)&lt;=N$5,0,IF(N$7&gt;$E153,OFFSET('Costs 03'!N41,0,-$E153),0))</f>
        <v>0</v>
      </c>
      <c r="O153" s="722">
        <f ca="1">IF(EOMONTH(Enddatum,$E153+1)&lt;=O$5,0,IF(O$7&gt;$E153,OFFSET('Costs 03'!O41,0,-$E153),0))</f>
        <v>0</v>
      </c>
      <c r="P153" s="722">
        <f ca="1">IF(EOMONTH(Enddatum,$E153+1)&lt;=P$5,0,IF(P$7&gt;$E153,OFFSET('Costs 03'!P41,0,-$E153),0))</f>
        <v>0</v>
      </c>
      <c r="Q153" s="722">
        <f ca="1">IF(EOMONTH(Enddatum,$E153+1)&lt;=Q$5,0,IF(Q$7&gt;$E153,OFFSET('Costs 03'!Q41,0,-$E153),0))</f>
        <v>0</v>
      </c>
      <c r="R153" s="722">
        <f ca="1">IF(EOMONTH(Enddatum,$E153+1)&lt;=R$5,0,IF(R$7&gt;$E153,OFFSET('Costs 03'!R41,0,-$E153),0))</f>
        <v>0</v>
      </c>
      <c r="S153" s="722">
        <f ca="1">IF(EOMONTH(Enddatum,$E153+1)&lt;=S$5,0,IF(S$7&gt;$E153,OFFSET('Costs 03'!S41,0,-$E153),0))</f>
        <v>0</v>
      </c>
      <c r="T153" s="722">
        <f ca="1">IF(EOMONTH(Enddatum,$E153+1)&lt;=T$5,0,IF(T$7&gt;$E153,OFFSET('Costs 03'!T41,0,-$E153),0))</f>
        <v>0</v>
      </c>
      <c r="U153" s="722">
        <f ca="1">IF(EOMONTH(Enddatum,$E153+1)&lt;=U$5,0,IF(U$7&gt;$E153,OFFSET('Costs 03'!U41,0,-$E153),0))</f>
        <v>0</v>
      </c>
      <c r="V153" s="722">
        <f ca="1">IF(EOMONTH(Enddatum,$E153+1)&lt;=V$5,0,IF(V$7&gt;$E153,OFFSET('Costs 03'!V41,0,-$E153),0))</f>
        <v>0</v>
      </c>
      <c r="W153" s="722">
        <f ca="1">IF(EOMONTH(Enddatum,$E153+1)&lt;=W$5,0,IF(W$7&gt;$E153,OFFSET('Costs 03'!W41,0,-$E153),0))</f>
        <v>0</v>
      </c>
      <c r="X153" s="722">
        <f ca="1">IF(EOMONTH(Enddatum,$E153+1)&lt;=X$5,0,IF(X$7&gt;$E153,OFFSET('Costs 03'!X41,0,-$E153),0))</f>
        <v>0</v>
      </c>
      <c r="Y153" s="722">
        <f ca="1">IF(EOMONTH(Enddatum,$E153+1)&lt;=Y$5,0,IF(Y$7&gt;$E153,OFFSET('Costs 03'!Y41,0,-$E153),0))</f>
        <v>0</v>
      </c>
      <c r="Z153" s="722">
        <f ca="1">IF(EOMONTH(Enddatum,$E153+1)&lt;=Z$5,0,IF(Z$7&gt;$E153,OFFSET('Costs 03'!Z41,0,-$E153),0))</f>
        <v>0</v>
      </c>
      <c r="AA153" s="722">
        <f ca="1">IF(EOMONTH(Enddatum,$E153+1)&lt;=AA$5,0,IF(AA$7&gt;$E153,OFFSET('Costs 03'!AA41,0,-$E153),0))</f>
        <v>0</v>
      </c>
      <c r="AB153" s="722">
        <f ca="1">IF(EOMONTH(Enddatum,$E153+1)&lt;=AB$5,0,IF(AB$7&gt;$E153,OFFSET('Costs 03'!AB41,0,-$E153),0))</f>
        <v>0</v>
      </c>
      <c r="AC153" s="722">
        <f ca="1">IF(EOMONTH(Enddatum,$E153+1)&lt;=AC$5,0,IF(AC$7&gt;$E153,OFFSET('Costs 03'!AC41,0,-$E153),0))</f>
        <v>0</v>
      </c>
      <c r="AD153" s="722">
        <f ca="1">IF(EOMONTH(Enddatum,$E153+1)&lt;=AD$5,0,IF(AD$7&gt;$E153,OFFSET('Costs 03'!AD41,0,-$E153),0))</f>
        <v>0</v>
      </c>
      <c r="AE153" s="722">
        <f ca="1">IF(EOMONTH(Enddatum,$E153+1)&lt;=AE$5,0,IF(AE$7&gt;$E153,OFFSET('Costs 03'!AE41,0,-$E153),0))</f>
        <v>0</v>
      </c>
      <c r="AF153" s="722">
        <f ca="1">IF(EOMONTH(Enddatum,$E153+1)&lt;=AF$5,0,IF(AF$7&gt;$E153,OFFSET('Costs 03'!AF41,0,-$E153),0))</f>
        <v>0</v>
      </c>
      <c r="AG153" s="722">
        <f ca="1">IF(EOMONTH(Enddatum,$E153+1)&lt;=AG$5,0,IF(AG$7&gt;$E153,OFFSET('Costs 03'!AG41,0,-$E153),0))</f>
        <v>0</v>
      </c>
    </row>
    <row r="154" spans="1:33" s="649" customFormat="1" ht="18" customHeight="1" outlineLevel="1">
      <c r="A154" s="894"/>
      <c r="B154" s="287"/>
      <c r="C154" s="717" t="str">
        <f>'Costs 03'!C44</f>
        <v>Research &amp; Development Expenses</v>
      </c>
      <c r="D154" s="287"/>
      <c r="E154" s="287"/>
      <c r="F154" s="894"/>
      <c r="G154" s="287"/>
      <c r="H154" s="287"/>
      <c r="I154" s="287"/>
      <c r="J154" s="723"/>
      <c r="K154" s="723"/>
      <c r="L154" s="723"/>
      <c r="M154" s="723"/>
      <c r="N154" s="723"/>
      <c r="O154" s="723"/>
      <c r="P154" s="723"/>
      <c r="Q154" s="723"/>
      <c r="R154" s="723"/>
      <c r="S154" s="723"/>
      <c r="T154" s="723"/>
      <c r="U154" s="723"/>
      <c r="V154" s="723"/>
      <c r="W154" s="723"/>
      <c r="X154" s="723"/>
      <c r="Y154" s="723"/>
      <c r="Z154" s="723"/>
      <c r="AA154" s="723"/>
      <c r="AB154" s="723"/>
      <c r="AC154" s="723"/>
      <c r="AD154" s="723"/>
      <c r="AE154" s="723"/>
      <c r="AF154" s="723"/>
      <c r="AG154" s="723"/>
    </row>
    <row r="155" spans="1:33" s="649" customFormat="1" ht="18" customHeight="1" outlineLevel="1">
      <c r="A155" s="894"/>
      <c r="B155" s="287"/>
      <c r="C155" s="24" t="str">
        <f>'Costs 03'!C46</f>
        <v>Consultancy</v>
      </c>
      <c r="D155" s="8" t="str">
        <f t="shared" ref="D155:D161" si="49">Currency_Label</f>
        <v>USD</v>
      </c>
      <c r="E155" s="714">
        <f>'Costs 03'!F46</f>
        <v>0</v>
      </c>
      <c r="F155" s="894"/>
      <c r="G155" s="287"/>
      <c r="H155" s="287"/>
      <c r="I155" s="71">
        <f t="shared" ref="I155:I161" ca="1" si="50">SUM(J155:AG155)</f>
        <v>0</v>
      </c>
      <c r="J155" s="722">
        <f ca="1">IF(EOMONTH(Enddatum,$E155+1)&lt;=J$5,0,IF(J$7&gt;$E155,OFFSET('Costs 03'!J46,0,-$E155),0))</f>
        <v>0</v>
      </c>
      <c r="K155" s="722">
        <f ca="1">IF(EOMONTH(Enddatum,$E155+1)&lt;=K$5,0,IF(K$7&gt;$E155,OFFSET('Costs 03'!K46,0,-$E155),0))</f>
        <v>0</v>
      </c>
      <c r="L155" s="722">
        <f ca="1">IF(EOMONTH(Enddatum,$E155+1)&lt;=L$5,0,IF(L$7&gt;$E155,OFFSET('Costs 03'!L46,0,-$E155),0))</f>
        <v>0</v>
      </c>
      <c r="M155" s="722">
        <f ca="1">IF(EOMONTH(Enddatum,$E155+1)&lt;=M$5,0,IF(M$7&gt;$E155,OFFSET('Costs 03'!M46,0,-$E155),0))</f>
        <v>0</v>
      </c>
      <c r="N155" s="722">
        <f ca="1">IF(EOMONTH(Enddatum,$E155+1)&lt;=N$5,0,IF(N$7&gt;$E155,OFFSET('Costs 03'!N46,0,-$E155),0))</f>
        <v>0</v>
      </c>
      <c r="O155" s="722">
        <f ca="1">IF(EOMONTH(Enddatum,$E155+1)&lt;=O$5,0,IF(O$7&gt;$E155,OFFSET('Costs 03'!O46,0,-$E155),0))</f>
        <v>0</v>
      </c>
      <c r="P155" s="722">
        <f ca="1">IF(EOMONTH(Enddatum,$E155+1)&lt;=P$5,0,IF(P$7&gt;$E155,OFFSET('Costs 03'!P46,0,-$E155),0))</f>
        <v>0</v>
      </c>
      <c r="Q155" s="722">
        <f ca="1">IF(EOMONTH(Enddatum,$E155+1)&lt;=Q$5,0,IF(Q$7&gt;$E155,OFFSET('Costs 03'!Q46,0,-$E155),0))</f>
        <v>0</v>
      </c>
      <c r="R155" s="722">
        <f ca="1">IF(EOMONTH(Enddatum,$E155+1)&lt;=R$5,0,IF(R$7&gt;$E155,OFFSET('Costs 03'!R46,0,-$E155),0))</f>
        <v>0</v>
      </c>
      <c r="S155" s="722">
        <f ca="1">IF(EOMONTH(Enddatum,$E155+1)&lt;=S$5,0,IF(S$7&gt;$E155,OFFSET('Costs 03'!S46,0,-$E155),0))</f>
        <v>0</v>
      </c>
      <c r="T155" s="722">
        <f ca="1">IF(EOMONTH(Enddatum,$E155+1)&lt;=T$5,0,IF(T$7&gt;$E155,OFFSET('Costs 03'!T46,0,-$E155),0))</f>
        <v>0</v>
      </c>
      <c r="U155" s="722">
        <f ca="1">IF(EOMONTH(Enddatum,$E155+1)&lt;=U$5,0,IF(U$7&gt;$E155,OFFSET('Costs 03'!U46,0,-$E155),0))</f>
        <v>0</v>
      </c>
      <c r="V155" s="722">
        <f ca="1">IF(EOMONTH(Enddatum,$E155+1)&lt;=V$5,0,IF(V$7&gt;$E155,OFFSET('Costs 03'!V46,0,-$E155),0))</f>
        <v>0</v>
      </c>
      <c r="W155" s="722">
        <f ca="1">IF(EOMONTH(Enddatum,$E155+1)&lt;=W$5,0,IF(W$7&gt;$E155,OFFSET('Costs 03'!W46,0,-$E155),0))</f>
        <v>0</v>
      </c>
      <c r="X155" s="722">
        <f ca="1">IF(EOMONTH(Enddatum,$E155+1)&lt;=X$5,0,IF(X$7&gt;$E155,OFFSET('Costs 03'!X46,0,-$E155),0))</f>
        <v>0</v>
      </c>
      <c r="Y155" s="722">
        <f ca="1">IF(EOMONTH(Enddatum,$E155+1)&lt;=Y$5,0,IF(Y$7&gt;$E155,OFFSET('Costs 03'!Y46,0,-$E155),0))</f>
        <v>0</v>
      </c>
      <c r="Z155" s="722">
        <f ca="1">IF(EOMONTH(Enddatum,$E155+1)&lt;=Z$5,0,IF(Z$7&gt;$E155,OFFSET('Costs 03'!Z46,0,-$E155),0))</f>
        <v>0</v>
      </c>
      <c r="AA155" s="722">
        <f ca="1">IF(EOMONTH(Enddatum,$E155+1)&lt;=AA$5,0,IF(AA$7&gt;$E155,OFFSET('Costs 03'!AA46,0,-$E155),0))</f>
        <v>0</v>
      </c>
      <c r="AB155" s="722">
        <f ca="1">IF(EOMONTH(Enddatum,$E155+1)&lt;=AB$5,0,IF(AB$7&gt;$E155,OFFSET('Costs 03'!AB46,0,-$E155),0))</f>
        <v>0</v>
      </c>
      <c r="AC155" s="722">
        <f ca="1">IF(EOMONTH(Enddatum,$E155+1)&lt;=AC$5,0,IF(AC$7&gt;$E155,OFFSET('Costs 03'!AC46,0,-$E155),0))</f>
        <v>0</v>
      </c>
      <c r="AD155" s="722">
        <f ca="1">IF(EOMONTH(Enddatum,$E155+1)&lt;=AD$5,0,IF(AD$7&gt;$E155,OFFSET('Costs 03'!AD46,0,-$E155),0))</f>
        <v>0</v>
      </c>
      <c r="AE155" s="722">
        <f ca="1">IF(EOMONTH(Enddatum,$E155+1)&lt;=AE$5,0,IF(AE$7&gt;$E155,OFFSET('Costs 03'!AE46,0,-$E155),0))</f>
        <v>0</v>
      </c>
      <c r="AF155" s="722">
        <f ca="1">IF(EOMONTH(Enddatum,$E155+1)&lt;=AF$5,0,IF(AF$7&gt;$E155,OFFSET('Costs 03'!AF46,0,-$E155),0))</f>
        <v>0</v>
      </c>
      <c r="AG155" s="722">
        <f ca="1">IF(EOMONTH(Enddatum,$E155+1)&lt;=AG$5,0,IF(AG$7&gt;$E155,OFFSET('Costs 03'!AG46,0,-$E155),0))</f>
        <v>0</v>
      </c>
    </row>
    <row r="156" spans="1:33" s="649" customFormat="1" ht="18" customHeight="1" outlineLevel="1">
      <c r="A156" s="894"/>
      <c r="B156" s="287"/>
      <c r="C156" s="24" t="str">
        <f>'Costs 03'!C47</f>
        <v>Materials</v>
      </c>
      <c r="D156" s="8" t="str">
        <f t="shared" si="49"/>
        <v>USD</v>
      </c>
      <c r="E156" s="714">
        <f>'Costs 03'!F47</f>
        <v>0</v>
      </c>
      <c r="F156" s="894"/>
      <c r="G156" s="287"/>
      <c r="H156" s="287"/>
      <c r="I156" s="71">
        <f t="shared" ca="1" si="50"/>
        <v>0</v>
      </c>
      <c r="J156" s="722">
        <f ca="1">IF(EOMONTH(Enddatum,$E156+1)&lt;=J$5,0,IF(J$7&gt;$E156,OFFSET('Costs 03'!J47,0,-$E156),0))</f>
        <v>0</v>
      </c>
      <c r="K156" s="722">
        <f ca="1">IF(EOMONTH(Enddatum,$E156+1)&lt;=K$5,0,IF(K$7&gt;$E156,OFFSET('Costs 03'!K47,0,-$E156),0))</f>
        <v>0</v>
      </c>
      <c r="L156" s="722">
        <f ca="1">IF(EOMONTH(Enddatum,$E156+1)&lt;=L$5,0,IF(L$7&gt;$E156,OFFSET('Costs 03'!L47,0,-$E156),0))</f>
        <v>0</v>
      </c>
      <c r="M156" s="722">
        <f ca="1">IF(EOMONTH(Enddatum,$E156+1)&lt;=M$5,0,IF(M$7&gt;$E156,OFFSET('Costs 03'!M47,0,-$E156),0))</f>
        <v>0</v>
      </c>
      <c r="N156" s="722">
        <f ca="1">IF(EOMONTH(Enddatum,$E156+1)&lt;=N$5,0,IF(N$7&gt;$E156,OFFSET('Costs 03'!N47,0,-$E156),0))</f>
        <v>0</v>
      </c>
      <c r="O156" s="722">
        <f ca="1">IF(EOMONTH(Enddatum,$E156+1)&lt;=O$5,0,IF(O$7&gt;$E156,OFFSET('Costs 03'!O47,0,-$E156),0))</f>
        <v>0</v>
      </c>
      <c r="P156" s="722">
        <f ca="1">IF(EOMONTH(Enddatum,$E156+1)&lt;=P$5,0,IF(P$7&gt;$E156,OFFSET('Costs 03'!P47,0,-$E156),0))</f>
        <v>0</v>
      </c>
      <c r="Q156" s="722">
        <f ca="1">IF(EOMONTH(Enddatum,$E156+1)&lt;=Q$5,0,IF(Q$7&gt;$E156,OFFSET('Costs 03'!Q47,0,-$E156),0))</f>
        <v>0</v>
      </c>
      <c r="R156" s="722">
        <f ca="1">IF(EOMONTH(Enddatum,$E156+1)&lt;=R$5,0,IF(R$7&gt;$E156,OFFSET('Costs 03'!R47,0,-$E156),0))</f>
        <v>0</v>
      </c>
      <c r="S156" s="722">
        <f ca="1">IF(EOMONTH(Enddatum,$E156+1)&lt;=S$5,0,IF(S$7&gt;$E156,OFFSET('Costs 03'!S47,0,-$E156),0))</f>
        <v>0</v>
      </c>
      <c r="T156" s="722">
        <f ca="1">IF(EOMONTH(Enddatum,$E156+1)&lt;=T$5,0,IF(T$7&gt;$E156,OFFSET('Costs 03'!T47,0,-$E156),0))</f>
        <v>0</v>
      </c>
      <c r="U156" s="722">
        <f ca="1">IF(EOMONTH(Enddatum,$E156+1)&lt;=U$5,0,IF(U$7&gt;$E156,OFFSET('Costs 03'!U47,0,-$E156),0))</f>
        <v>0</v>
      </c>
      <c r="V156" s="722">
        <f ca="1">IF(EOMONTH(Enddatum,$E156+1)&lt;=V$5,0,IF(V$7&gt;$E156,OFFSET('Costs 03'!V47,0,-$E156),0))</f>
        <v>0</v>
      </c>
      <c r="W156" s="722">
        <f ca="1">IF(EOMONTH(Enddatum,$E156+1)&lt;=W$5,0,IF(W$7&gt;$E156,OFFSET('Costs 03'!W47,0,-$E156),0))</f>
        <v>0</v>
      </c>
      <c r="X156" s="722">
        <f ca="1">IF(EOMONTH(Enddatum,$E156+1)&lt;=X$5,0,IF(X$7&gt;$E156,OFFSET('Costs 03'!X47,0,-$E156),0))</f>
        <v>0</v>
      </c>
      <c r="Y156" s="722">
        <f ca="1">IF(EOMONTH(Enddatum,$E156+1)&lt;=Y$5,0,IF(Y$7&gt;$E156,OFFSET('Costs 03'!Y47,0,-$E156),0))</f>
        <v>0</v>
      </c>
      <c r="Z156" s="722">
        <f ca="1">IF(EOMONTH(Enddatum,$E156+1)&lt;=Z$5,0,IF(Z$7&gt;$E156,OFFSET('Costs 03'!Z47,0,-$E156),0))</f>
        <v>0</v>
      </c>
      <c r="AA156" s="722">
        <f ca="1">IF(EOMONTH(Enddatum,$E156+1)&lt;=AA$5,0,IF(AA$7&gt;$E156,OFFSET('Costs 03'!AA47,0,-$E156),0))</f>
        <v>0</v>
      </c>
      <c r="AB156" s="722">
        <f ca="1">IF(EOMONTH(Enddatum,$E156+1)&lt;=AB$5,0,IF(AB$7&gt;$E156,OFFSET('Costs 03'!AB47,0,-$E156),0))</f>
        <v>0</v>
      </c>
      <c r="AC156" s="722">
        <f ca="1">IF(EOMONTH(Enddatum,$E156+1)&lt;=AC$5,0,IF(AC$7&gt;$E156,OFFSET('Costs 03'!AC47,0,-$E156),0))</f>
        <v>0</v>
      </c>
      <c r="AD156" s="722">
        <f ca="1">IF(EOMONTH(Enddatum,$E156+1)&lt;=AD$5,0,IF(AD$7&gt;$E156,OFFSET('Costs 03'!AD47,0,-$E156),0))</f>
        <v>0</v>
      </c>
      <c r="AE156" s="722">
        <f ca="1">IF(EOMONTH(Enddatum,$E156+1)&lt;=AE$5,0,IF(AE$7&gt;$E156,OFFSET('Costs 03'!AE47,0,-$E156),0))</f>
        <v>0</v>
      </c>
      <c r="AF156" s="722">
        <f ca="1">IF(EOMONTH(Enddatum,$E156+1)&lt;=AF$5,0,IF(AF$7&gt;$E156,OFFSET('Costs 03'!AF47,0,-$E156),0))</f>
        <v>0</v>
      </c>
      <c r="AG156" s="722">
        <f ca="1">IF(EOMONTH(Enddatum,$E156+1)&lt;=AG$5,0,IF(AG$7&gt;$E156,OFFSET('Costs 03'!AG47,0,-$E156),0))</f>
        <v>0</v>
      </c>
    </row>
    <row r="157" spans="1:33" s="649" customFormat="1" ht="18" customHeight="1" outlineLevel="1">
      <c r="A157" s="894"/>
      <c r="B157" s="287"/>
      <c r="C157" s="24" t="str">
        <f>'Costs 03'!C48</f>
        <v>Design, construction &amp; testing of prototypes</v>
      </c>
      <c r="D157" s="8" t="str">
        <f t="shared" si="49"/>
        <v>USD</v>
      </c>
      <c r="E157" s="714">
        <f>'Costs 03'!F48</f>
        <v>0</v>
      </c>
      <c r="F157" s="894"/>
      <c r="G157" s="287"/>
      <c r="H157" s="287"/>
      <c r="I157" s="71">
        <f t="shared" ca="1" si="50"/>
        <v>0</v>
      </c>
      <c r="J157" s="722">
        <f ca="1">IF(EOMONTH(Enddatum,$E157+1)&lt;=J$5,0,IF(J$7&gt;$E157,OFFSET('Costs 03'!J48,0,-$E157),0))</f>
        <v>0</v>
      </c>
      <c r="K157" s="722">
        <f ca="1">IF(EOMONTH(Enddatum,$E157+1)&lt;=K$5,0,IF(K$7&gt;$E157,OFFSET('Costs 03'!K48,0,-$E157),0))</f>
        <v>0</v>
      </c>
      <c r="L157" s="722">
        <f ca="1">IF(EOMONTH(Enddatum,$E157+1)&lt;=L$5,0,IF(L$7&gt;$E157,OFFSET('Costs 03'!L48,0,-$E157),0))</f>
        <v>0</v>
      </c>
      <c r="M157" s="722">
        <f ca="1">IF(EOMONTH(Enddatum,$E157+1)&lt;=M$5,0,IF(M$7&gt;$E157,OFFSET('Costs 03'!M48,0,-$E157),0))</f>
        <v>0</v>
      </c>
      <c r="N157" s="722">
        <f ca="1">IF(EOMONTH(Enddatum,$E157+1)&lt;=N$5,0,IF(N$7&gt;$E157,OFFSET('Costs 03'!N48,0,-$E157),0))</f>
        <v>0</v>
      </c>
      <c r="O157" s="722">
        <f ca="1">IF(EOMONTH(Enddatum,$E157+1)&lt;=O$5,0,IF(O$7&gt;$E157,OFFSET('Costs 03'!O48,0,-$E157),0))</f>
        <v>0</v>
      </c>
      <c r="P157" s="722">
        <f ca="1">IF(EOMONTH(Enddatum,$E157+1)&lt;=P$5,0,IF(P$7&gt;$E157,OFFSET('Costs 03'!P48,0,-$E157),0))</f>
        <v>0</v>
      </c>
      <c r="Q157" s="722">
        <f ca="1">IF(EOMONTH(Enddatum,$E157+1)&lt;=Q$5,0,IF(Q$7&gt;$E157,OFFSET('Costs 03'!Q48,0,-$E157),0))</f>
        <v>0</v>
      </c>
      <c r="R157" s="722">
        <f ca="1">IF(EOMONTH(Enddatum,$E157+1)&lt;=R$5,0,IF(R$7&gt;$E157,OFFSET('Costs 03'!R48,0,-$E157),0))</f>
        <v>0</v>
      </c>
      <c r="S157" s="722">
        <f ca="1">IF(EOMONTH(Enddatum,$E157+1)&lt;=S$5,0,IF(S$7&gt;$E157,OFFSET('Costs 03'!S48,0,-$E157),0))</f>
        <v>0</v>
      </c>
      <c r="T157" s="722">
        <f ca="1">IF(EOMONTH(Enddatum,$E157+1)&lt;=T$5,0,IF(T$7&gt;$E157,OFFSET('Costs 03'!T48,0,-$E157),0))</f>
        <v>0</v>
      </c>
      <c r="U157" s="722">
        <f ca="1">IF(EOMONTH(Enddatum,$E157+1)&lt;=U$5,0,IF(U$7&gt;$E157,OFFSET('Costs 03'!U48,0,-$E157),0))</f>
        <v>0</v>
      </c>
      <c r="V157" s="722">
        <f ca="1">IF(EOMONTH(Enddatum,$E157+1)&lt;=V$5,0,IF(V$7&gt;$E157,OFFSET('Costs 03'!V48,0,-$E157),0))</f>
        <v>0</v>
      </c>
      <c r="W157" s="722">
        <f ca="1">IF(EOMONTH(Enddatum,$E157+1)&lt;=W$5,0,IF(W$7&gt;$E157,OFFSET('Costs 03'!W48,0,-$E157),0))</f>
        <v>0</v>
      </c>
      <c r="X157" s="722">
        <f ca="1">IF(EOMONTH(Enddatum,$E157+1)&lt;=X$5,0,IF(X$7&gt;$E157,OFFSET('Costs 03'!X48,0,-$E157),0))</f>
        <v>0</v>
      </c>
      <c r="Y157" s="722">
        <f ca="1">IF(EOMONTH(Enddatum,$E157+1)&lt;=Y$5,0,IF(Y$7&gt;$E157,OFFSET('Costs 03'!Y48,0,-$E157),0))</f>
        <v>0</v>
      </c>
      <c r="Z157" s="722">
        <f ca="1">IF(EOMONTH(Enddatum,$E157+1)&lt;=Z$5,0,IF(Z$7&gt;$E157,OFFSET('Costs 03'!Z48,0,-$E157),0))</f>
        <v>0</v>
      </c>
      <c r="AA157" s="722">
        <f ca="1">IF(EOMONTH(Enddatum,$E157+1)&lt;=AA$5,0,IF(AA$7&gt;$E157,OFFSET('Costs 03'!AA48,0,-$E157),0))</f>
        <v>0</v>
      </c>
      <c r="AB157" s="722">
        <f ca="1">IF(EOMONTH(Enddatum,$E157+1)&lt;=AB$5,0,IF(AB$7&gt;$E157,OFFSET('Costs 03'!AB48,0,-$E157),0))</f>
        <v>0</v>
      </c>
      <c r="AC157" s="722">
        <f ca="1">IF(EOMONTH(Enddatum,$E157+1)&lt;=AC$5,0,IF(AC$7&gt;$E157,OFFSET('Costs 03'!AC48,0,-$E157),0))</f>
        <v>0</v>
      </c>
      <c r="AD157" s="722">
        <f ca="1">IF(EOMONTH(Enddatum,$E157+1)&lt;=AD$5,0,IF(AD$7&gt;$E157,OFFSET('Costs 03'!AD48,0,-$E157),0))</f>
        <v>0</v>
      </c>
      <c r="AE157" s="722">
        <f ca="1">IF(EOMONTH(Enddatum,$E157+1)&lt;=AE$5,0,IF(AE$7&gt;$E157,OFFSET('Costs 03'!AE48,0,-$E157),0))</f>
        <v>0</v>
      </c>
      <c r="AF157" s="722">
        <f ca="1">IF(EOMONTH(Enddatum,$E157+1)&lt;=AF$5,0,IF(AF$7&gt;$E157,OFFSET('Costs 03'!AF48,0,-$E157),0))</f>
        <v>0</v>
      </c>
      <c r="AG157" s="722">
        <f ca="1">IF(EOMONTH(Enddatum,$E157+1)&lt;=AG$5,0,IF(AG$7&gt;$E157,OFFSET('Costs 03'!AG48,0,-$E157),0))</f>
        <v>0</v>
      </c>
    </row>
    <row r="158" spans="1:33" s="649" customFormat="1" ht="18" customHeight="1" outlineLevel="1">
      <c r="A158" s="894"/>
      <c r="B158" s="287"/>
      <c r="C158" s="24" t="str">
        <f>'Costs 03'!C49</f>
        <v>Miscellaneous 01</v>
      </c>
      <c r="D158" s="8" t="str">
        <f t="shared" si="49"/>
        <v>USD</v>
      </c>
      <c r="E158" s="714">
        <f>'Costs 03'!F49</f>
        <v>0</v>
      </c>
      <c r="F158" s="894"/>
      <c r="G158" s="287"/>
      <c r="H158" s="287"/>
      <c r="I158" s="71">
        <f t="shared" ca="1" si="50"/>
        <v>0</v>
      </c>
      <c r="J158" s="722">
        <f ca="1">IF(EOMONTH(Enddatum,$E158+1)&lt;=J$5,0,IF(J$7&gt;$E158,OFFSET('Costs 03'!J49,0,-$E158),0))</f>
        <v>0</v>
      </c>
      <c r="K158" s="722">
        <f ca="1">IF(EOMONTH(Enddatum,$E158+1)&lt;=K$5,0,IF(K$7&gt;$E158,OFFSET('Costs 03'!K49,0,-$E158),0))</f>
        <v>0</v>
      </c>
      <c r="L158" s="722">
        <f ca="1">IF(EOMONTH(Enddatum,$E158+1)&lt;=L$5,0,IF(L$7&gt;$E158,OFFSET('Costs 03'!L49,0,-$E158),0))</f>
        <v>0</v>
      </c>
      <c r="M158" s="722">
        <f ca="1">IF(EOMONTH(Enddatum,$E158+1)&lt;=M$5,0,IF(M$7&gt;$E158,OFFSET('Costs 03'!M49,0,-$E158),0))</f>
        <v>0</v>
      </c>
      <c r="N158" s="722">
        <f ca="1">IF(EOMONTH(Enddatum,$E158+1)&lt;=N$5,0,IF(N$7&gt;$E158,OFFSET('Costs 03'!N49,0,-$E158),0))</f>
        <v>0</v>
      </c>
      <c r="O158" s="722">
        <f ca="1">IF(EOMONTH(Enddatum,$E158+1)&lt;=O$5,0,IF(O$7&gt;$E158,OFFSET('Costs 03'!O49,0,-$E158),0))</f>
        <v>0</v>
      </c>
      <c r="P158" s="722">
        <f ca="1">IF(EOMONTH(Enddatum,$E158+1)&lt;=P$5,0,IF(P$7&gt;$E158,OFFSET('Costs 03'!P49,0,-$E158),0))</f>
        <v>0</v>
      </c>
      <c r="Q158" s="722">
        <f ca="1">IF(EOMONTH(Enddatum,$E158+1)&lt;=Q$5,0,IF(Q$7&gt;$E158,OFFSET('Costs 03'!Q49,0,-$E158),0))</f>
        <v>0</v>
      </c>
      <c r="R158" s="722">
        <f ca="1">IF(EOMONTH(Enddatum,$E158+1)&lt;=R$5,0,IF(R$7&gt;$E158,OFFSET('Costs 03'!R49,0,-$E158),0))</f>
        <v>0</v>
      </c>
      <c r="S158" s="722">
        <f ca="1">IF(EOMONTH(Enddatum,$E158+1)&lt;=S$5,0,IF(S$7&gt;$E158,OFFSET('Costs 03'!S49,0,-$E158),0))</f>
        <v>0</v>
      </c>
      <c r="T158" s="722">
        <f ca="1">IF(EOMONTH(Enddatum,$E158+1)&lt;=T$5,0,IF(T$7&gt;$E158,OFFSET('Costs 03'!T49,0,-$E158),0))</f>
        <v>0</v>
      </c>
      <c r="U158" s="722">
        <f ca="1">IF(EOMONTH(Enddatum,$E158+1)&lt;=U$5,0,IF(U$7&gt;$E158,OFFSET('Costs 03'!U49,0,-$E158),0))</f>
        <v>0</v>
      </c>
      <c r="V158" s="722">
        <f ca="1">IF(EOMONTH(Enddatum,$E158+1)&lt;=V$5,0,IF(V$7&gt;$E158,OFFSET('Costs 03'!V49,0,-$E158),0))</f>
        <v>0</v>
      </c>
      <c r="W158" s="722">
        <f ca="1">IF(EOMONTH(Enddatum,$E158+1)&lt;=W$5,0,IF(W$7&gt;$E158,OFFSET('Costs 03'!W49,0,-$E158),0))</f>
        <v>0</v>
      </c>
      <c r="X158" s="722">
        <f ca="1">IF(EOMONTH(Enddatum,$E158+1)&lt;=X$5,0,IF(X$7&gt;$E158,OFFSET('Costs 03'!X49,0,-$E158),0))</f>
        <v>0</v>
      </c>
      <c r="Y158" s="722">
        <f ca="1">IF(EOMONTH(Enddatum,$E158+1)&lt;=Y$5,0,IF(Y$7&gt;$E158,OFFSET('Costs 03'!Y49,0,-$E158),0))</f>
        <v>0</v>
      </c>
      <c r="Z158" s="722">
        <f ca="1">IF(EOMONTH(Enddatum,$E158+1)&lt;=Z$5,0,IF(Z$7&gt;$E158,OFFSET('Costs 03'!Z49,0,-$E158),0))</f>
        <v>0</v>
      </c>
      <c r="AA158" s="722">
        <f ca="1">IF(EOMONTH(Enddatum,$E158+1)&lt;=AA$5,0,IF(AA$7&gt;$E158,OFFSET('Costs 03'!AA49,0,-$E158),0))</f>
        <v>0</v>
      </c>
      <c r="AB158" s="722">
        <f ca="1">IF(EOMONTH(Enddatum,$E158+1)&lt;=AB$5,0,IF(AB$7&gt;$E158,OFFSET('Costs 03'!AB49,0,-$E158),0))</f>
        <v>0</v>
      </c>
      <c r="AC158" s="722">
        <f ca="1">IF(EOMONTH(Enddatum,$E158+1)&lt;=AC$5,0,IF(AC$7&gt;$E158,OFFSET('Costs 03'!AC49,0,-$E158),0))</f>
        <v>0</v>
      </c>
      <c r="AD158" s="722">
        <f ca="1">IF(EOMONTH(Enddatum,$E158+1)&lt;=AD$5,0,IF(AD$7&gt;$E158,OFFSET('Costs 03'!AD49,0,-$E158),0))</f>
        <v>0</v>
      </c>
      <c r="AE158" s="722">
        <f ca="1">IF(EOMONTH(Enddatum,$E158+1)&lt;=AE$5,0,IF(AE$7&gt;$E158,OFFSET('Costs 03'!AE49,0,-$E158),0))</f>
        <v>0</v>
      </c>
      <c r="AF158" s="722">
        <f ca="1">IF(EOMONTH(Enddatum,$E158+1)&lt;=AF$5,0,IF(AF$7&gt;$E158,OFFSET('Costs 03'!AF49,0,-$E158),0))</f>
        <v>0</v>
      </c>
      <c r="AG158" s="722">
        <f ca="1">IF(EOMONTH(Enddatum,$E158+1)&lt;=AG$5,0,IF(AG$7&gt;$E158,OFFSET('Costs 03'!AG49,0,-$E158),0))</f>
        <v>0</v>
      </c>
    </row>
    <row r="159" spans="1:33" s="649" customFormat="1" ht="18" customHeight="1" outlineLevel="1">
      <c r="A159" s="894"/>
      <c r="B159" s="287"/>
      <c r="C159" s="24" t="str">
        <f>'Costs 03'!C50</f>
        <v>Miscellaneous 02</v>
      </c>
      <c r="D159" s="8" t="str">
        <f t="shared" si="49"/>
        <v>USD</v>
      </c>
      <c r="E159" s="714">
        <f>'Costs 03'!F50</f>
        <v>0</v>
      </c>
      <c r="F159" s="894"/>
      <c r="G159" s="287"/>
      <c r="H159" s="287"/>
      <c r="I159" s="71">
        <f t="shared" ca="1" si="50"/>
        <v>0</v>
      </c>
      <c r="J159" s="722">
        <f ca="1">IF(EOMONTH(Enddatum,$E159+1)&lt;=J$5,0,IF(J$7&gt;$E159,OFFSET('Costs 03'!J50,0,-$E159),0))</f>
        <v>0</v>
      </c>
      <c r="K159" s="722">
        <f ca="1">IF(EOMONTH(Enddatum,$E159+1)&lt;=K$5,0,IF(K$7&gt;$E159,OFFSET('Costs 03'!K50,0,-$E159),0))</f>
        <v>0</v>
      </c>
      <c r="L159" s="722">
        <f ca="1">IF(EOMONTH(Enddatum,$E159+1)&lt;=L$5,0,IF(L$7&gt;$E159,OFFSET('Costs 03'!L50,0,-$E159),0))</f>
        <v>0</v>
      </c>
      <c r="M159" s="722">
        <f ca="1">IF(EOMONTH(Enddatum,$E159+1)&lt;=M$5,0,IF(M$7&gt;$E159,OFFSET('Costs 03'!M50,0,-$E159),0))</f>
        <v>0</v>
      </c>
      <c r="N159" s="722">
        <f ca="1">IF(EOMONTH(Enddatum,$E159+1)&lt;=N$5,0,IF(N$7&gt;$E159,OFFSET('Costs 03'!N50,0,-$E159),0))</f>
        <v>0</v>
      </c>
      <c r="O159" s="722">
        <f ca="1">IF(EOMONTH(Enddatum,$E159+1)&lt;=O$5,0,IF(O$7&gt;$E159,OFFSET('Costs 03'!O50,0,-$E159),0))</f>
        <v>0</v>
      </c>
      <c r="P159" s="722">
        <f ca="1">IF(EOMONTH(Enddatum,$E159+1)&lt;=P$5,0,IF(P$7&gt;$E159,OFFSET('Costs 03'!P50,0,-$E159),0))</f>
        <v>0</v>
      </c>
      <c r="Q159" s="722">
        <f ca="1">IF(EOMONTH(Enddatum,$E159+1)&lt;=Q$5,0,IF(Q$7&gt;$E159,OFFSET('Costs 03'!Q50,0,-$E159),0))</f>
        <v>0</v>
      </c>
      <c r="R159" s="722">
        <f ca="1">IF(EOMONTH(Enddatum,$E159+1)&lt;=R$5,0,IF(R$7&gt;$E159,OFFSET('Costs 03'!R50,0,-$E159),0))</f>
        <v>0</v>
      </c>
      <c r="S159" s="722">
        <f ca="1">IF(EOMONTH(Enddatum,$E159+1)&lt;=S$5,0,IF(S$7&gt;$E159,OFFSET('Costs 03'!S50,0,-$E159),0))</f>
        <v>0</v>
      </c>
      <c r="T159" s="722">
        <f ca="1">IF(EOMONTH(Enddatum,$E159+1)&lt;=T$5,0,IF(T$7&gt;$E159,OFFSET('Costs 03'!T50,0,-$E159),0))</f>
        <v>0</v>
      </c>
      <c r="U159" s="722">
        <f ca="1">IF(EOMONTH(Enddatum,$E159+1)&lt;=U$5,0,IF(U$7&gt;$E159,OFFSET('Costs 03'!U50,0,-$E159),0))</f>
        <v>0</v>
      </c>
      <c r="V159" s="722">
        <f ca="1">IF(EOMONTH(Enddatum,$E159+1)&lt;=V$5,0,IF(V$7&gt;$E159,OFFSET('Costs 03'!V50,0,-$E159),0))</f>
        <v>0</v>
      </c>
      <c r="W159" s="722">
        <f ca="1">IF(EOMONTH(Enddatum,$E159+1)&lt;=W$5,0,IF(W$7&gt;$E159,OFFSET('Costs 03'!W50,0,-$E159),0))</f>
        <v>0</v>
      </c>
      <c r="X159" s="722">
        <f ca="1">IF(EOMONTH(Enddatum,$E159+1)&lt;=X$5,0,IF(X$7&gt;$E159,OFFSET('Costs 03'!X50,0,-$E159),0))</f>
        <v>0</v>
      </c>
      <c r="Y159" s="722">
        <f ca="1">IF(EOMONTH(Enddatum,$E159+1)&lt;=Y$5,0,IF(Y$7&gt;$E159,OFFSET('Costs 03'!Y50,0,-$E159),0))</f>
        <v>0</v>
      </c>
      <c r="Z159" s="722">
        <f ca="1">IF(EOMONTH(Enddatum,$E159+1)&lt;=Z$5,0,IF(Z$7&gt;$E159,OFFSET('Costs 03'!Z50,0,-$E159),0))</f>
        <v>0</v>
      </c>
      <c r="AA159" s="722">
        <f ca="1">IF(EOMONTH(Enddatum,$E159+1)&lt;=AA$5,0,IF(AA$7&gt;$E159,OFFSET('Costs 03'!AA50,0,-$E159),0))</f>
        <v>0</v>
      </c>
      <c r="AB159" s="722">
        <f ca="1">IF(EOMONTH(Enddatum,$E159+1)&lt;=AB$5,0,IF(AB$7&gt;$E159,OFFSET('Costs 03'!AB50,0,-$E159),0))</f>
        <v>0</v>
      </c>
      <c r="AC159" s="722">
        <f ca="1">IF(EOMONTH(Enddatum,$E159+1)&lt;=AC$5,0,IF(AC$7&gt;$E159,OFFSET('Costs 03'!AC50,0,-$E159),0))</f>
        <v>0</v>
      </c>
      <c r="AD159" s="722">
        <f ca="1">IF(EOMONTH(Enddatum,$E159+1)&lt;=AD$5,0,IF(AD$7&gt;$E159,OFFSET('Costs 03'!AD50,0,-$E159),0))</f>
        <v>0</v>
      </c>
      <c r="AE159" s="722">
        <f ca="1">IF(EOMONTH(Enddatum,$E159+1)&lt;=AE$5,0,IF(AE$7&gt;$E159,OFFSET('Costs 03'!AE50,0,-$E159),0))</f>
        <v>0</v>
      </c>
      <c r="AF159" s="722">
        <f ca="1">IF(EOMONTH(Enddatum,$E159+1)&lt;=AF$5,0,IF(AF$7&gt;$E159,OFFSET('Costs 03'!AF50,0,-$E159),0))</f>
        <v>0</v>
      </c>
      <c r="AG159" s="722">
        <f ca="1">IF(EOMONTH(Enddatum,$E159+1)&lt;=AG$5,0,IF(AG$7&gt;$E159,OFFSET('Costs 03'!AG50,0,-$E159),0))</f>
        <v>0</v>
      </c>
    </row>
    <row r="160" spans="1:33" s="649" customFormat="1" ht="18" customHeight="1" outlineLevel="1">
      <c r="A160" s="894"/>
      <c r="B160" s="287"/>
      <c r="C160" s="24" t="str">
        <f>'Costs 03'!C51</f>
        <v>Miscellaneous 03</v>
      </c>
      <c r="D160" s="8" t="str">
        <f t="shared" si="49"/>
        <v>USD</v>
      </c>
      <c r="E160" s="714">
        <f>'Costs 03'!F51</f>
        <v>0</v>
      </c>
      <c r="F160" s="894"/>
      <c r="G160" s="287"/>
      <c r="H160" s="287"/>
      <c r="I160" s="71">
        <f t="shared" ca="1" si="50"/>
        <v>0</v>
      </c>
      <c r="J160" s="722">
        <f ca="1">IF(EOMONTH(Enddatum,$E160+1)&lt;=J$5,0,IF(J$7&gt;$E160,OFFSET('Costs 03'!J51,0,-$E160),0))</f>
        <v>0</v>
      </c>
      <c r="K160" s="722">
        <f ca="1">IF(EOMONTH(Enddatum,$E160+1)&lt;=K$5,0,IF(K$7&gt;$E160,OFFSET('Costs 03'!K51,0,-$E160),0))</f>
        <v>0</v>
      </c>
      <c r="L160" s="722">
        <f ca="1">IF(EOMONTH(Enddatum,$E160+1)&lt;=L$5,0,IF(L$7&gt;$E160,OFFSET('Costs 03'!L51,0,-$E160),0))</f>
        <v>0</v>
      </c>
      <c r="M160" s="722">
        <f ca="1">IF(EOMONTH(Enddatum,$E160+1)&lt;=M$5,0,IF(M$7&gt;$E160,OFFSET('Costs 03'!M51,0,-$E160),0))</f>
        <v>0</v>
      </c>
      <c r="N160" s="722">
        <f ca="1">IF(EOMONTH(Enddatum,$E160+1)&lt;=N$5,0,IF(N$7&gt;$E160,OFFSET('Costs 03'!N51,0,-$E160),0))</f>
        <v>0</v>
      </c>
      <c r="O160" s="722">
        <f ca="1">IF(EOMONTH(Enddatum,$E160+1)&lt;=O$5,0,IF(O$7&gt;$E160,OFFSET('Costs 03'!O51,0,-$E160),0))</f>
        <v>0</v>
      </c>
      <c r="P160" s="722">
        <f ca="1">IF(EOMONTH(Enddatum,$E160+1)&lt;=P$5,0,IF(P$7&gt;$E160,OFFSET('Costs 03'!P51,0,-$E160),0))</f>
        <v>0</v>
      </c>
      <c r="Q160" s="722">
        <f ca="1">IF(EOMONTH(Enddatum,$E160+1)&lt;=Q$5,0,IF(Q$7&gt;$E160,OFFSET('Costs 03'!Q51,0,-$E160),0))</f>
        <v>0</v>
      </c>
      <c r="R160" s="722">
        <f ca="1">IF(EOMONTH(Enddatum,$E160+1)&lt;=R$5,0,IF(R$7&gt;$E160,OFFSET('Costs 03'!R51,0,-$E160),0))</f>
        <v>0</v>
      </c>
      <c r="S160" s="722">
        <f ca="1">IF(EOMONTH(Enddatum,$E160+1)&lt;=S$5,0,IF(S$7&gt;$E160,OFFSET('Costs 03'!S51,0,-$E160),0))</f>
        <v>0</v>
      </c>
      <c r="T160" s="722">
        <f ca="1">IF(EOMONTH(Enddatum,$E160+1)&lt;=T$5,0,IF(T$7&gt;$E160,OFFSET('Costs 03'!T51,0,-$E160),0))</f>
        <v>0</v>
      </c>
      <c r="U160" s="722">
        <f ca="1">IF(EOMONTH(Enddatum,$E160+1)&lt;=U$5,0,IF(U$7&gt;$E160,OFFSET('Costs 03'!U51,0,-$E160),0))</f>
        <v>0</v>
      </c>
      <c r="V160" s="722">
        <f ca="1">IF(EOMONTH(Enddatum,$E160+1)&lt;=V$5,0,IF(V$7&gt;$E160,OFFSET('Costs 03'!V51,0,-$E160),0))</f>
        <v>0</v>
      </c>
      <c r="W160" s="722">
        <f ca="1">IF(EOMONTH(Enddatum,$E160+1)&lt;=W$5,0,IF(W$7&gt;$E160,OFFSET('Costs 03'!W51,0,-$E160),0))</f>
        <v>0</v>
      </c>
      <c r="X160" s="722">
        <f ca="1">IF(EOMONTH(Enddatum,$E160+1)&lt;=X$5,0,IF(X$7&gt;$E160,OFFSET('Costs 03'!X51,0,-$E160),0))</f>
        <v>0</v>
      </c>
      <c r="Y160" s="722">
        <f ca="1">IF(EOMONTH(Enddatum,$E160+1)&lt;=Y$5,0,IF(Y$7&gt;$E160,OFFSET('Costs 03'!Y51,0,-$E160),0))</f>
        <v>0</v>
      </c>
      <c r="Z160" s="722">
        <f ca="1">IF(EOMONTH(Enddatum,$E160+1)&lt;=Z$5,0,IF(Z$7&gt;$E160,OFFSET('Costs 03'!Z51,0,-$E160),0))</f>
        <v>0</v>
      </c>
      <c r="AA160" s="722">
        <f ca="1">IF(EOMONTH(Enddatum,$E160+1)&lt;=AA$5,0,IF(AA$7&gt;$E160,OFFSET('Costs 03'!AA51,0,-$E160),0))</f>
        <v>0</v>
      </c>
      <c r="AB160" s="722">
        <f ca="1">IF(EOMONTH(Enddatum,$E160+1)&lt;=AB$5,0,IF(AB$7&gt;$E160,OFFSET('Costs 03'!AB51,0,-$E160),0))</f>
        <v>0</v>
      </c>
      <c r="AC160" s="722">
        <f ca="1">IF(EOMONTH(Enddatum,$E160+1)&lt;=AC$5,0,IF(AC$7&gt;$E160,OFFSET('Costs 03'!AC51,0,-$E160),0))</f>
        <v>0</v>
      </c>
      <c r="AD160" s="722">
        <f ca="1">IF(EOMONTH(Enddatum,$E160+1)&lt;=AD$5,0,IF(AD$7&gt;$E160,OFFSET('Costs 03'!AD51,0,-$E160),0))</f>
        <v>0</v>
      </c>
      <c r="AE160" s="722">
        <f ca="1">IF(EOMONTH(Enddatum,$E160+1)&lt;=AE$5,0,IF(AE$7&gt;$E160,OFFSET('Costs 03'!AE51,0,-$E160),0))</f>
        <v>0</v>
      </c>
      <c r="AF160" s="722">
        <f ca="1">IF(EOMONTH(Enddatum,$E160+1)&lt;=AF$5,0,IF(AF$7&gt;$E160,OFFSET('Costs 03'!AF51,0,-$E160),0))</f>
        <v>0</v>
      </c>
      <c r="AG160" s="722">
        <f ca="1">IF(EOMONTH(Enddatum,$E160+1)&lt;=AG$5,0,IF(AG$7&gt;$E160,OFFSET('Costs 03'!AG51,0,-$E160),0))</f>
        <v>0</v>
      </c>
    </row>
    <row r="161" spans="1:33" s="649" customFormat="1" ht="18" customHeight="1" outlineLevel="1">
      <c r="A161" s="894"/>
      <c r="B161" s="287"/>
      <c r="C161" s="24" t="str">
        <f>'Costs 03'!C52</f>
        <v>Miscellaneous 04</v>
      </c>
      <c r="D161" s="8" t="str">
        <f t="shared" si="49"/>
        <v>USD</v>
      </c>
      <c r="E161" s="714">
        <f>'Costs 03'!F52</f>
        <v>0</v>
      </c>
      <c r="F161" s="894"/>
      <c r="G161" s="287"/>
      <c r="H161" s="287"/>
      <c r="I161" s="71">
        <f t="shared" ca="1" si="50"/>
        <v>0</v>
      </c>
      <c r="J161" s="722">
        <f ca="1">IF(EOMONTH(Enddatum,$E161+1)&lt;=J$5,0,IF(J$7&gt;$E161,OFFSET('Costs 03'!J52,0,-$E161),0))</f>
        <v>0</v>
      </c>
      <c r="K161" s="722">
        <f ca="1">IF(EOMONTH(Enddatum,$E161+1)&lt;=K$5,0,IF(K$7&gt;$E161,OFFSET('Costs 03'!K52,0,-$E161),0))</f>
        <v>0</v>
      </c>
      <c r="L161" s="722">
        <f ca="1">IF(EOMONTH(Enddatum,$E161+1)&lt;=L$5,0,IF(L$7&gt;$E161,OFFSET('Costs 03'!L52,0,-$E161),0))</f>
        <v>0</v>
      </c>
      <c r="M161" s="722">
        <f ca="1">IF(EOMONTH(Enddatum,$E161+1)&lt;=M$5,0,IF(M$7&gt;$E161,OFFSET('Costs 03'!M52,0,-$E161),0))</f>
        <v>0</v>
      </c>
      <c r="N161" s="722">
        <f ca="1">IF(EOMONTH(Enddatum,$E161+1)&lt;=N$5,0,IF(N$7&gt;$E161,OFFSET('Costs 03'!N52,0,-$E161),0))</f>
        <v>0</v>
      </c>
      <c r="O161" s="722">
        <f ca="1">IF(EOMONTH(Enddatum,$E161+1)&lt;=O$5,0,IF(O$7&gt;$E161,OFFSET('Costs 03'!O52,0,-$E161),0))</f>
        <v>0</v>
      </c>
      <c r="P161" s="722">
        <f ca="1">IF(EOMONTH(Enddatum,$E161+1)&lt;=P$5,0,IF(P$7&gt;$E161,OFFSET('Costs 03'!P52,0,-$E161),0))</f>
        <v>0</v>
      </c>
      <c r="Q161" s="722">
        <f ca="1">IF(EOMONTH(Enddatum,$E161+1)&lt;=Q$5,0,IF(Q$7&gt;$E161,OFFSET('Costs 03'!Q52,0,-$E161),0))</f>
        <v>0</v>
      </c>
      <c r="R161" s="722">
        <f ca="1">IF(EOMONTH(Enddatum,$E161+1)&lt;=R$5,0,IF(R$7&gt;$E161,OFFSET('Costs 03'!R52,0,-$E161),0))</f>
        <v>0</v>
      </c>
      <c r="S161" s="722">
        <f ca="1">IF(EOMONTH(Enddatum,$E161+1)&lt;=S$5,0,IF(S$7&gt;$E161,OFFSET('Costs 03'!S52,0,-$E161),0))</f>
        <v>0</v>
      </c>
      <c r="T161" s="722">
        <f ca="1">IF(EOMONTH(Enddatum,$E161+1)&lt;=T$5,0,IF(T$7&gt;$E161,OFFSET('Costs 03'!T52,0,-$E161),0))</f>
        <v>0</v>
      </c>
      <c r="U161" s="722">
        <f ca="1">IF(EOMONTH(Enddatum,$E161+1)&lt;=U$5,0,IF(U$7&gt;$E161,OFFSET('Costs 03'!U52,0,-$E161),0))</f>
        <v>0</v>
      </c>
      <c r="V161" s="722">
        <f ca="1">IF(EOMONTH(Enddatum,$E161+1)&lt;=V$5,0,IF(V$7&gt;$E161,OFFSET('Costs 03'!V52,0,-$E161),0))</f>
        <v>0</v>
      </c>
      <c r="W161" s="722">
        <f ca="1">IF(EOMONTH(Enddatum,$E161+1)&lt;=W$5,0,IF(W$7&gt;$E161,OFFSET('Costs 03'!W52,0,-$E161),0))</f>
        <v>0</v>
      </c>
      <c r="X161" s="722">
        <f ca="1">IF(EOMONTH(Enddatum,$E161+1)&lt;=X$5,0,IF(X$7&gt;$E161,OFFSET('Costs 03'!X52,0,-$E161),0))</f>
        <v>0</v>
      </c>
      <c r="Y161" s="722">
        <f ca="1">IF(EOMONTH(Enddatum,$E161+1)&lt;=Y$5,0,IF(Y$7&gt;$E161,OFFSET('Costs 03'!Y52,0,-$E161),0))</f>
        <v>0</v>
      </c>
      <c r="Z161" s="722">
        <f ca="1">IF(EOMONTH(Enddatum,$E161+1)&lt;=Z$5,0,IF(Z$7&gt;$E161,OFFSET('Costs 03'!Z52,0,-$E161),0))</f>
        <v>0</v>
      </c>
      <c r="AA161" s="722">
        <f ca="1">IF(EOMONTH(Enddatum,$E161+1)&lt;=AA$5,0,IF(AA$7&gt;$E161,OFFSET('Costs 03'!AA52,0,-$E161),0))</f>
        <v>0</v>
      </c>
      <c r="AB161" s="722">
        <f ca="1">IF(EOMONTH(Enddatum,$E161+1)&lt;=AB$5,0,IF(AB$7&gt;$E161,OFFSET('Costs 03'!AB52,0,-$E161),0))</f>
        <v>0</v>
      </c>
      <c r="AC161" s="722">
        <f ca="1">IF(EOMONTH(Enddatum,$E161+1)&lt;=AC$5,0,IF(AC$7&gt;$E161,OFFSET('Costs 03'!AC52,0,-$E161),0))</f>
        <v>0</v>
      </c>
      <c r="AD161" s="722">
        <f ca="1">IF(EOMONTH(Enddatum,$E161+1)&lt;=AD$5,0,IF(AD$7&gt;$E161,OFFSET('Costs 03'!AD52,0,-$E161),0))</f>
        <v>0</v>
      </c>
      <c r="AE161" s="722">
        <f ca="1">IF(EOMONTH(Enddatum,$E161+1)&lt;=AE$5,0,IF(AE$7&gt;$E161,OFFSET('Costs 03'!AE52,0,-$E161),0))</f>
        <v>0</v>
      </c>
      <c r="AF161" s="722">
        <f ca="1">IF(EOMONTH(Enddatum,$E161+1)&lt;=AF$5,0,IF(AF$7&gt;$E161,OFFSET('Costs 03'!AF52,0,-$E161),0))</f>
        <v>0</v>
      </c>
      <c r="AG161" s="722">
        <f ca="1">IF(EOMONTH(Enddatum,$E161+1)&lt;=AG$5,0,IF(AG$7&gt;$E161,OFFSET('Costs 03'!AG52,0,-$E161),0))</f>
        <v>0</v>
      </c>
    </row>
    <row r="162" spans="1:33" s="649" customFormat="1" ht="18" customHeight="1" outlineLevel="1">
      <c r="A162" s="894"/>
      <c r="B162" s="287"/>
      <c r="C162" s="717" t="str">
        <f>'Costs 03'!C55</f>
        <v>General &amp; Other Expenses</v>
      </c>
      <c r="D162" s="287"/>
      <c r="E162" s="287"/>
      <c r="F162" s="894"/>
      <c r="G162" s="287"/>
      <c r="H162" s="287"/>
      <c r="I162" s="287"/>
      <c r="J162" s="723"/>
      <c r="K162" s="723"/>
      <c r="L162" s="723"/>
      <c r="M162" s="723"/>
      <c r="N162" s="723"/>
      <c r="O162" s="723"/>
      <c r="P162" s="723"/>
      <c r="Q162" s="723"/>
      <c r="R162" s="723"/>
      <c r="S162" s="723"/>
      <c r="T162" s="723"/>
      <c r="U162" s="723"/>
      <c r="V162" s="723"/>
      <c r="W162" s="723"/>
      <c r="X162" s="723"/>
      <c r="Y162" s="723"/>
      <c r="Z162" s="723"/>
      <c r="AA162" s="723"/>
      <c r="AB162" s="723"/>
      <c r="AC162" s="723"/>
      <c r="AD162" s="723"/>
      <c r="AE162" s="723"/>
      <c r="AF162" s="723"/>
      <c r="AG162" s="723"/>
    </row>
    <row r="163" spans="1:33" s="649" customFormat="1" ht="18" customHeight="1" outlineLevel="1">
      <c r="A163" s="894"/>
      <c r="B163" s="287"/>
      <c r="C163" s="24" t="str">
        <f>'Costs 03'!C56</f>
        <v>Rent and rates</v>
      </c>
      <c r="D163" s="8" t="str">
        <f t="shared" ref="D163:D172" si="51">Currency_Label</f>
        <v>USD</v>
      </c>
      <c r="E163" s="714">
        <f>'Costs 03'!F56</f>
        <v>1</v>
      </c>
      <c r="F163" s="894"/>
      <c r="G163" s="287"/>
      <c r="H163" s="287"/>
      <c r="I163" s="71">
        <f t="shared" ref="I163:I173" ca="1" si="52">SUM(J163:AG163)</f>
        <v>63000</v>
      </c>
      <c r="J163" s="722">
        <f ca="1">IF(EOMONTH(Enddatum,$E163+1)&lt;=J$5,0,IF(J$7&gt;$E163,OFFSET('Costs 03'!J56,0,-$E163),0))</f>
        <v>0</v>
      </c>
      <c r="K163" s="722">
        <f ca="1">IF(EOMONTH(Enddatum,$E163+1)&lt;=K$5,0,IF(K$7&gt;$E163,OFFSET('Costs 03'!K56,0,-$E163),0))</f>
        <v>3000</v>
      </c>
      <c r="L163" s="722">
        <f ca="1">IF(EOMONTH(Enddatum,$E163+1)&lt;=L$5,0,IF(L$7&gt;$E163,OFFSET('Costs 03'!L56,0,-$E163),0))</f>
        <v>3000</v>
      </c>
      <c r="M163" s="722">
        <f ca="1">IF(EOMONTH(Enddatum,$E163+1)&lt;=M$5,0,IF(M$7&gt;$E163,OFFSET('Costs 03'!M56,0,-$E163),0))</f>
        <v>3000</v>
      </c>
      <c r="N163" s="722">
        <f ca="1">IF(EOMONTH(Enddatum,$E163+1)&lt;=N$5,0,IF(N$7&gt;$E163,OFFSET('Costs 03'!N56,0,-$E163),0))</f>
        <v>3000</v>
      </c>
      <c r="O163" s="722">
        <f ca="1">IF(EOMONTH(Enddatum,$E163+1)&lt;=O$5,0,IF(O$7&gt;$E163,OFFSET('Costs 03'!O56,0,-$E163),0))</f>
        <v>3000</v>
      </c>
      <c r="P163" s="722">
        <f ca="1">IF(EOMONTH(Enddatum,$E163+1)&lt;=P$5,0,IF(P$7&gt;$E163,OFFSET('Costs 03'!P56,0,-$E163),0))</f>
        <v>3000</v>
      </c>
      <c r="Q163" s="722">
        <f ca="1">IF(EOMONTH(Enddatum,$E163+1)&lt;=Q$5,0,IF(Q$7&gt;$E163,OFFSET('Costs 03'!Q56,0,-$E163),0))</f>
        <v>3000</v>
      </c>
      <c r="R163" s="722">
        <f ca="1">IF(EOMONTH(Enddatum,$E163+1)&lt;=R$5,0,IF(R$7&gt;$E163,OFFSET('Costs 03'!R56,0,-$E163),0))</f>
        <v>3000</v>
      </c>
      <c r="S163" s="722">
        <f ca="1">IF(EOMONTH(Enddatum,$E163+1)&lt;=S$5,0,IF(S$7&gt;$E163,OFFSET('Costs 03'!S56,0,-$E163),0))</f>
        <v>3000</v>
      </c>
      <c r="T163" s="722">
        <f ca="1">IF(EOMONTH(Enddatum,$E163+1)&lt;=T$5,0,IF(T$7&gt;$E163,OFFSET('Costs 03'!T56,0,-$E163),0))</f>
        <v>3000</v>
      </c>
      <c r="U163" s="722">
        <f ca="1">IF(EOMONTH(Enddatum,$E163+1)&lt;=U$5,0,IF(U$7&gt;$E163,OFFSET('Costs 03'!U56,0,-$E163),0))</f>
        <v>3000</v>
      </c>
      <c r="V163" s="722">
        <f ca="1">IF(EOMONTH(Enddatum,$E163+1)&lt;=V$5,0,IF(V$7&gt;$E163,OFFSET('Costs 03'!V56,0,-$E163),0))</f>
        <v>3000</v>
      </c>
      <c r="W163" s="722">
        <f ca="1">IF(EOMONTH(Enddatum,$E163+1)&lt;=W$5,0,IF(W$7&gt;$E163,OFFSET('Costs 03'!W56,0,-$E163),0))</f>
        <v>3000</v>
      </c>
      <c r="X163" s="722">
        <f ca="1">IF(EOMONTH(Enddatum,$E163+1)&lt;=X$5,0,IF(X$7&gt;$E163,OFFSET('Costs 03'!X56,0,-$E163),0))</f>
        <v>3000</v>
      </c>
      <c r="Y163" s="722">
        <f ca="1">IF(EOMONTH(Enddatum,$E163+1)&lt;=Y$5,0,IF(Y$7&gt;$E163,OFFSET('Costs 03'!Y56,0,-$E163),0))</f>
        <v>3000</v>
      </c>
      <c r="Z163" s="722">
        <f ca="1">IF(EOMONTH(Enddatum,$E163+1)&lt;=Z$5,0,IF(Z$7&gt;$E163,OFFSET('Costs 03'!Z56,0,-$E163),0))</f>
        <v>3000</v>
      </c>
      <c r="AA163" s="722">
        <f ca="1">IF(EOMONTH(Enddatum,$E163+1)&lt;=AA$5,0,IF(AA$7&gt;$E163,OFFSET('Costs 03'!AA56,0,-$E163),0))</f>
        <v>3000</v>
      </c>
      <c r="AB163" s="722">
        <f ca="1">IF(EOMONTH(Enddatum,$E163+1)&lt;=AB$5,0,IF(AB$7&gt;$E163,OFFSET('Costs 03'!AB56,0,-$E163),0))</f>
        <v>3000</v>
      </c>
      <c r="AC163" s="722">
        <f ca="1">IF(EOMONTH(Enddatum,$E163+1)&lt;=AC$5,0,IF(AC$7&gt;$E163,OFFSET('Costs 03'!AC56,0,-$E163),0))</f>
        <v>3000</v>
      </c>
      <c r="AD163" s="722">
        <f ca="1">IF(EOMONTH(Enddatum,$E163+1)&lt;=AD$5,0,IF(AD$7&gt;$E163,OFFSET('Costs 03'!AD56,0,-$E163),0))</f>
        <v>3000</v>
      </c>
      <c r="AE163" s="722">
        <f ca="1">IF(EOMONTH(Enddatum,$E163+1)&lt;=AE$5,0,IF(AE$7&gt;$E163,OFFSET('Costs 03'!AE56,0,-$E163),0))</f>
        <v>3000</v>
      </c>
      <c r="AF163" s="722">
        <f ca="1">IF(EOMONTH(Enddatum,$E163+1)&lt;=AF$5,0,IF(AF$7&gt;$E163,OFFSET('Costs 03'!AF56,0,-$E163),0))</f>
        <v>0</v>
      </c>
      <c r="AG163" s="722">
        <f ca="1">IF(EOMONTH(Enddatum,$E163+1)&lt;=AG$5,0,IF(AG$7&gt;$E163,OFFSET('Costs 03'!AG56,0,-$E163),0))</f>
        <v>0</v>
      </c>
    </row>
    <row r="164" spans="1:33" s="649" customFormat="1" ht="18" customHeight="1" outlineLevel="1">
      <c r="A164" s="894"/>
      <c r="B164" s="287"/>
      <c r="C164" s="24" t="str">
        <f>'Costs 03'!C57</f>
        <v>Additional property expenses (Heat, Light etc.)</v>
      </c>
      <c r="D164" s="8" t="str">
        <f t="shared" si="51"/>
        <v>USD</v>
      </c>
      <c r="E164" s="714">
        <f>'Costs 03'!F57</f>
        <v>0</v>
      </c>
      <c r="F164" s="894"/>
      <c r="G164" s="287"/>
      <c r="H164" s="287"/>
      <c r="I164" s="71">
        <f t="shared" ca="1" si="52"/>
        <v>18900</v>
      </c>
      <c r="J164" s="722">
        <f ca="1">IF(EOMONTH(Enddatum,$E164+1)&lt;=J$5,0,IF(J$7&gt;$E164,OFFSET('Costs 03'!J57,0,-$E164),0))</f>
        <v>900</v>
      </c>
      <c r="K164" s="722">
        <f ca="1">IF(EOMONTH(Enddatum,$E164+1)&lt;=K$5,0,IF(K$7&gt;$E164,OFFSET('Costs 03'!K57,0,-$E164),0))</f>
        <v>900</v>
      </c>
      <c r="L164" s="722">
        <f ca="1">IF(EOMONTH(Enddatum,$E164+1)&lt;=L$5,0,IF(L$7&gt;$E164,OFFSET('Costs 03'!L57,0,-$E164),0))</f>
        <v>900</v>
      </c>
      <c r="M164" s="722">
        <f ca="1">IF(EOMONTH(Enddatum,$E164+1)&lt;=M$5,0,IF(M$7&gt;$E164,OFFSET('Costs 03'!M57,0,-$E164),0))</f>
        <v>900</v>
      </c>
      <c r="N164" s="722">
        <f ca="1">IF(EOMONTH(Enddatum,$E164+1)&lt;=N$5,0,IF(N$7&gt;$E164,OFFSET('Costs 03'!N57,0,-$E164),0))</f>
        <v>900</v>
      </c>
      <c r="O164" s="722">
        <f ca="1">IF(EOMONTH(Enddatum,$E164+1)&lt;=O$5,0,IF(O$7&gt;$E164,OFFSET('Costs 03'!O57,0,-$E164),0))</f>
        <v>900</v>
      </c>
      <c r="P164" s="722">
        <f ca="1">IF(EOMONTH(Enddatum,$E164+1)&lt;=P$5,0,IF(P$7&gt;$E164,OFFSET('Costs 03'!P57,0,-$E164),0))</f>
        <v>900</v>
      </c>
      <c r="Q164" s="722">
        <f ca="1">IF(EOMONTH(Enddatum,$E164+1)&lt;=Q$5,0,IF(Q$7&gt;$E164,OFFSET('Costs 03'!Q57,0,-$E164),0))</f>
        <v>900</v>
      </c>
      <c r="R164" s="722">
        <f ca="1">IF(EOMONTH(Enddatum,$E164+1)&lt;=R$5,0,IF(R$7&gt;$E164,OFFSET('Costs 03'!R57,0,-$E164),0))</f>
        <v>900</v>
      </c>
      <c r="S164" s="722">
        <f ca="1">IF(EOMONTH(Enddatum,$E164+1)&lt;=S$5,0,IF(S$7&gt;$E164,OFFSET('Costs 03'!S57,0,-$E164),0))</f>
        <v>900</v>
      </c>
      <c r="T164" s="722">
        <f ca="1">IF(EOMONTH(Enddatum,$E164+1)&lt;=T$5,0,IF(T$7&gt;$E164,OFFSET('Costs 03'!T57,0,-$E164),0))</f>
        <v>900</v>
      </c>
      <c r="U164" s="722">
        <f ca="1">IF(EOMONTH(Enddatum,$E164+1)&lt;=U$5,0,IF(U$7&gt;$E164,OFFSET('Costs 03'!U57,0,-$E164),0))</f>
        <v>900</v>
      </c>
      <c r="V164" s="722">
        <f ca="1">IF(EOMONTH(Enddatum,$E164+1)&lt;=V$5,0,IF(V$7&gt;$E164,OFFSET('Costs 03'!V57,0,-$E164),0))</f>
        <v>900</v>
      </c>
      <c r="W164" s="722">
        <f ca="1">IF(EOMONTH(Enddatum,$E164+1)&lt;=W$5,0,IF(W$7&gt;$E164,OFFSET('Costs 03'!W57,0,-$E164),0))</f>
        <v>900</v>
      </c>
      <c r="X164" s="722">
        <f ca="1">IF(EOMONTH(Enddatum,$E164+1)&lt;=X$5,0,IF(X$7&gt;$E164,OFFSET('Costs 03'!X57,0,-$E164),0))</f>
        <v>900</v>
      </c>
      <c r="Y164" s="722">
        <f ca="1">IF(EOMONTH(Enddatum,$E164+1)&lt;=Y$5,0,IF(Y$7&gt;$E164,OFFSET('Costs 03'!Y57,0,-$E164),0))</f>
        <v>900</v>
      </c>
      <c r="Z164" s="722">
        <f ca="1">IF(EOMONTH(Enddatum,$E164+1)&lt;=Z$5,0,IF(Z$7&gt;$E164,OFFSET('Costs 03'!Z57,0,-$E164),0))</f>
        <v>900</v>
      </c>
      <c r="AA164" s="722">
        <f ca="1">IF(EOMONTH(Enddatum,$E164+1)&lt;=AA$5,0,IF(AA$7&gt;$E164,OFFSET('Costs 03'!AA57,0,-$E164),0))</f>
        <v>900</v>
      </c>
      <c r="AB164" s="722">
        <f ca="1">IF(EOMONTH(Enddatum,$E164+1)&lt;=AB$5,0,IF(AB$7&gt;$E164,OFFSET('Costs 03'!AB57,0,-$E164),0))</f>
        <v>900</v>
      </c>
      <c r="AC164" s="722">
        <f ca="1">IF(EOMONTH(Enddatum,$E164+1)&lt;=AC$5,0,IF(AC$7&gt;$E164,OFFSET('Costs 03'!AC57,0,-$E164),0))</f>
        <v>900</v>
      </c>
      <c r="AD164" s="722">
        <f ca="1">IF(EOMONTH(Enddatum,$E164+1)&lt;=AD$5,0,IF(AD$7&gt;$E164,OFFSET('Costs 03'!AD57,0,-$E164),0))</f>
        <v>900</v>
      </c>
      <c r="AE164" s="722">
        <f ca="1">IF(EOMONTH(Enddatum,$E164+1)&lt;=AE$5,0,IF(AE$7&gt;$E164,OFFSET('Costs 03'!AE57,0,-$E164),0))</f>
        <v>0</v>
      </c>
      <c r="AF164" s="722">
        <f ca="1">IF(EOMONTH(Enddatum,$E164+1)&lt;=AF$5,0,IF(AF$7&gt;$E164,OFFSET('Costs 03'!AF57,0,-$E164),0))</f>
        <v>0</v>
      </c>
      <c r="AG164" s="722">
        <f ca="1">IF(EOMONTH(Enddatum,$E164+1)&lt;=AG$5,0,IF(AG$7&gt;$E164,OFFSET('Costs 03'!AG57,0,-$E164),0))</f>
        <v>0</v>
      </c>
    </row>
    <row r="165" spans="1:33" s="649" customFormat="1" ht="18" customHeight="1" outlineLevel="1">
      <c r="A165" s="894"/>
      <c r="B165" s="287"/>
      <c r="C165" s="24" t="str">
        <f>'Costs 03'!C58</f>
        <v>Professional fees (Legal, Tax, Audit etc.)</v>
      </c>
      <c r="D165" s="8" t="str">
        <f t="shared" si="51"/>
        <v>USD</v>
      </c>
      <c r="E165" s="714">
        <f>'Costs 03'!F58</f>
        <v>2</v>
      </c>
      <c r="F165" s="894"/>
      <c r="G165" s="287"/>
      <c r="H165" s="287"/>
      <c r="I165" s="71">
        <f t="shared" ca="1" si="52"/>
        <v>4200</v>
      </c>
      <c r="J165" s="722">
        <f ca="1">IF(EOMONTH(Enddatum,$E165+1)&lt;=J$5,0,IF(J$7&gt;$E165,OFFSET('Costs 03'!J58,0,-$E165),0))</f>
        <v>0</v>
      </c>
      <c r="K165" s="722">
        <f ca="1">IF(EOMONTH(Enddatum,$E165+1)&lt;=K$5,0,IF(K$7&gt;$E165,OFFSET('Costs 03'!K58,0,-$E165),0))</f>
        <v>0</v>
      </c>
      <c r="L165" s="722">
        <f ca="1">IF(EOMONTH(Enddatum,$E165+1)&lt;=L$5,0,IF(L$7&gt;$E165,OFFSET('Costs 03'!L58,0,-$E165),0))</f>
        <v>200</v>
      </c>
      <c r="M165" s="722">
        <f ca="1">IF(EOMONTH(Enddatum,$E165+1)&lt;=M$5,0,IF(M$7&gt;$E165,OFFSET('Costs 03'!M58,0,-$E165),0))</f>
        <v>200</v>
      </c>
      <c r="N165" s="722">
        <f ca="1">IF(EOMONTH(Enddatum,$E165+1)&lt;=N$5,0,IF(N$7&gt;$E165,OFFSET('Costs 03'!N58,0,-$E165),0))</f>
        <v>200</v>
      </c>
      <c r="O165" s="722">
        <f ca="1">IF(EOMONTH(Enddatum,$E165+1)&lt;=O$5,0,IF(O$7&gt;$E165,OFFSET('Costs 03'!O58,0,-$E165),0))</f>
        <v>200</v>
      </c>
      <c r="P165" s="722">
        <f ca="1">IF(EOMONTH(Enddatum,$E165+1)&lt;=P$5,0,IF(P$7&gt;$E165,OFFSET('Costs 03'!P58,0,-$E165),0))</f>
        <v>200</v>
      </c>
      <c r="Q165" s="722">
        <f ca="1">IF(EOMONTH(Enddatum,$E165+1)&lt;=Q$5,0,IF(Q$7&gt;$E165,OFFSET('Costs 03'!Q58,0,-$E165),0))</f>
        <v>200</v>
      </c>
      <c r="R165" s="722">
        <f ca="1">IF(EOMONTH(Enddatum,$E165+1)&lt;=R$5,0,IF(R$7&gt;$E165,OFFSET('Costs 03'!R58,0,-$E165),0))</f>
        <v>200</v>
      </c>
      <c r="S165" s="722">
        <f ca="1">IF(EOMONTH(Enddatum,$E165+1)&lt;=S$5,0,IF(S$7&gt;$E165,OFFSET('Costs 03'!S58,0,-$E165),0))</f>
        <v>200</v>
      </c>
      <c r="T165" s="722">
        <f ca="1">IF(EOMONTH(Enddatum,$E165+1)&lt;=T$5,0,IF(T$7&gt;$E165,OFFSET('Costs 03'!T58,0,-$E165),0))</f>
        <v>200</v>
      </c>
      <c r="U165" s="722">
        <f ca="1">IF(EOMONTH(Enddatum,$E165+1)&lt;=U$5,0,IF(U$7&gt;$E165,OFFSET('Costs 03'!U58,0,-$E165),0))</f>
        <v>200</v>
      </c>
      <c r="V165" s="722">
        <f ca="1">IF(EOMONTH(Enddatum,$E165+1)&lt;=V$5,0,IF(V$7&gt;$E165,OFFSET('Costs 03'!V58,0,-$E165),0))</f>
        <v>200</v>
      </c>
      <c r="W165" s="722">
        <f ca="1">IF(EOMONTH(Enddatum,$E165+1)&lt;=W$5,0,IF(W$7&gt;$E165,OFFSET('Costs 03'!W58,0,-$E165),0))</f>
        <v>200</v>
      </c>
      <c r="X165" s="722">
        <f ca="1">IF(EOMONTH(Enddatum,$E165+1)&lt;=X$5,0,IF(X$7&gt;$E165,OFFSET('Costs 03'!X58,0,-$E165),0))</f>
        <v>200</v>
      </c>
      <c r="Y165" s="722">
        <f ca="1">IF(EOMONTH(Enddatum,$E165+1)&lt;=Y$5,0,IF(Y$7&gt;$E165,OFFSET('Costs 03'!Y58,0,-$E165),0))</f>
        <v>200</v>
      </c>
      <c r="Z165" s="722">
        <f ca="1">IF(EOMONTH(Enddatum,$E165+1)&lt;=Z$5,0,IF(Z$7&gt;$E165,OFFSET('Costs 03'!Z58,0,-$E165),0))</f>
        <v>200</v>
      </c>
      <c r="AA165" s="722">
        <f ca="1">IF(EOMONTH(Enddatum,$E165+1)&lt;=AA$5,0,IF(AA$7&gt;$E165,OFFSET('Costs 03'!AA58,0,-$E165),0))</f>
        <v>200</v>
      </c>
      <c r="AB165" s="722">
        <f ca="1">IF(EOMONTH(Enddatum,$E165+1)&lt;=AB$5,0,IF(AB$7&gt;$E165,OFFSET('Costs 03'!AB58,0,-$E165),0))</f>
        <v>200</v>
      </c>
      <c r="AC165" s="722">
        <f ca="1">IF(EOMONTH(Enddatum,$E165+1)&lt;=AC$5,0,IF(AC$7&gt;$E165,OFFSET('Costs 03'!AC58,0,-$E165),0))</f>
        <v>200</v>
      </c>
      <c r="AD165" s="722">
        <f ca="1">IF(EOMONTH(Enddatum,$E165+1)&lt;=AD$5,0,IF(AD$7&gt;$E165,OFFSET('Costs 03'!AD58,0,-$E165),0))</f>
        <v>200</v>
      </c>
      <c r="AE165" s="722">
        <f ca="1">IF(EOMONTH(Enddatum,$E165+1)&lt;=AE$5,0,IF(AE$7&gt;$E165,OFFSET('Costs 03'!AE58,0,-$E165),0))</f>
        <v>200</v>
      </c>
      <c r="AF165" s="722">
        <f ca="1">IF(EOMONTH(Enddatum,$E165+1)&lt;=AF$5,0,IF(AF$7&gt;$E165,OFFSET('Costs 03'!AF58,0,-$E165),0))</f>
        <v>200</v>
      </c>
      <c r="AG165" s="722">
        <f ca="1">IF(EOMONTH(Enddatum,$E165+1)&lt;=AG$5,0,IF(AG$7&gt;$E165,OFFSET('Costs 03'!AG58,0,-$E165),0))</f>
        <v>0</v>
      </c>
    </row>
    <row r="166" spans="1:33" s="649" customFormat="1" ht="18" customHeight="1" outlineLevel="1">
      <c r="A166" s="894"/>
      <c r="B166" s="287"/>
      <c r="C166" s="24" t="str">
        <f>'Costs 03'!C59</f>
        <v>Insurances  / charges / contributions</v>
      </c>
      <c r="D166" s="8" t="str">
        <f t="shared" si="51"/>
        <v>USD</v>
      </c>
      <c r="E166" s="714">
        <f>'Costs 03'!F59</f>
        <v>0</v>
      </c>
      <c r="F166" s="894"/>
      <c r="G166" s="287"/>
      <c r="H166" s="287"/>
      <c r="I166" s="71">
        <f t="shared" ca="1" si="52"/>
        <v>7350</v>
      </c>
      <c r="J166" s="722">
        <f ca="1">IF(EOMONTH(Enddatum,$E166+1)&lt;=J$5,0,IF(J$7&gt;$E166,OFFSET('Costs 03'!J59,0,-$E166),0))</f>
        <v>350</v>
      </c>
      <c r="K166" s="722">
        <f ca="1">IF(EOMONTH(Enddatum,$E166+1)&lt;=K$5,0,IF(K$7&gt;$E166,OFFSET('Costs 03'!K59,0,-$E166),0))</f>
        <v>350</v>
      </c>
      <c r="L166" s="722">
        <f ca="1">IF(EOMONTH(Enddatum,$E166+1)&lt;=L$5,0,IF(L$7&gt;$E166,OFFSET('Costs 03'!L59,0,-$E166),0))</f>
        <v>350</v>
      </c>
      <c r="M166" s="722">
        <f ca="1">IF(EOMONTH(Enddatum,$E166+1)&lt;=M$5,0,IF(M$7&gt;$E166,OFFSET('Costs 03'!M59,0,-$E166),0))</f>
        <v>350</v>
      </c>
      <c r="N166" s="722">
        <f ca="1">IF(EOMONTH(Enddatum,$E166+1)&lt;=N$5,0,IF(N$7&gt;$E166,OFFSET('Costs 03'!N59,0,-$E166),0))</f>
        <v>350</v>
      </c>
      <c r="O166" s="722">
        <f ca="1">IF(EOMONTH(Enddatum,$E166+1)&lt;=O$5,0,IF(O$7&gt;$E166,OFFSET('Costs 03'!O59,0,-$E166),0))</f>
        <v>350</v>
      </c>
      <c r="P166" s="722">
        <f ca="1">IF(EOMONTH(Enddatum,$E166+1)&lt;=P$5,0,IF(P$7&gt;$E166,OFFSET('Costs 03'!P59,0,-$E166),0))</f>
        <v>350</v>
      </c>
      <c r="Q166" s="722">
        <f ca="1">IF(EOMONTH(Enddatum,$E166+1)&lt;=Q$5,0,IF(Q$7&gt;$E166,OFFSET('Costs 03'!Q59,0,-$E166),0))</f>
        <v>350</v>
      </c>
      <c r="R166" s="722">
        <f ca="1">IF(EOMONTH(Enddatum,$E166+1)&lt;=R$5,0,IF(R$7&gt;$E166,OFFSET('Costs 03'!R59,0,-$E166),0))</f>
        <v>350</v>
      </c>
      <c r="S166" s="722">
        <f ca="1">IF(EOMONTH(Enddatum,$E166+1)&lt;=S$5,0,IF(S$7&gt;$E166,OFFSET('Costs 03'!S59,0,-$E166),0))</f>
        <v>350</v>
      </c>
      <c r="T166" s="722">
        <f ca="1">IF(EOMONTH(Enddatum,$E166+1)&lt;=T$5,0,IF(T$7&gt;$E166,OFFSET('Costs 03'!T59,0,-$E166),0))</f>
        <v>350</v>
      </c>
      <c r="U166" s="722">
        <f ca="1">IF(EOMONTH(Enddatum,$E166+1)&lt;=U$5,0,IF(U$7&gt;$E166,OFFSET('Costs 03'!U59,0,-$E166),0))</f>
        <v>350</v>
      </c>
      <c r="V166" s="722">
        <f ca="1">IF(EOMONTH(Enddatum,$E166+1)&lt;=V$5,0,IF(V$7&gt;$E166,OFFSET('Costs 03'!V59,0,-$E166),0))</f>
        <v>350</v>
      </c>
      <c r="W166" s="722">
        <f ca="1">IF(EOMONTH(Enddatum,$E166+1)&lt;=W$5,0,IF(W$7&gt;$E166,OFFSET('Costs 03'!W59,0,-$E166),0))</f>
        <v>350</v>
      </c>
      <c r="X166" s="722">
        <f ca="1">IF(EOMONTH(Enddatum,$E166+1)&lt;=X$5,0,IF(X$7&gt;$E166,OFFSET('Costs 03'!X59,0,-$E166),0))</f>
        <v>350</v>
      </c>
      <c r="Y166" s="722">
        <f ca="1">IF(EOMONTH(Enddatum,$E166+1)&lt;=Y$5,0,IF(Y$7&gt;$E166,OFFSET('Costs 03'!Y59,0,-$E166),0))</f>
        <v>350</v>
      </c>
      <c r="Z166" s="722">
        <f ca="1">IF(EOMONTH(Enddatum,$E166+1)&lt;=Z$5,0,IF(Z$7&gt;$E166,OFFSET('Costs 03'!Z59,0,-$E166),0))</f>
        <v>350</v>
      </c>
      <c r="AA166" s="722">
        <f ca="1">IF(EOMONTH(Enddatum,$E166+1)&lt;=AA$5,0,IF(AA$7&gt;$E166,OFFSET('Costs 03'!AA59,0,-$E166),0))</f>
        <v>350</v>
      </c>
      <c r="AB166" s="722">
        <f ca="1">IF(EOMONTH(Enddatum,$E166+1)&lt;=AB$5,0,IF(AB$7&gt;$E166,OFFSET('Costs 03'!AB59,0,-$E166),0))</f>
        <v>350</v>
      </c>
      <c r="AC166" s="722">
        <f ca="1">IF(EOMONTH(Enddatum,$E166+1)&lt;=AC$5,0,IF(AC$7&gt;$E166,OFFSET('Costs 03'!AC59,0,-$E166),0))</f>
        <v>350</v>
      </c>
      <c r="AD166" s="722">
        <f ca="1">IF(EOMONTH(Enddatum,$E166+1)&lt;=AD$5,0,IF(AD$7&gt;$E166,OFFSET('Costs 03'!AD59,0,-$E166),0))</f>
        <v>350</v>
      </c>
      <c r="AE166" s="722">
        <f ca="1">IF(EOMONTH(Enddatum,$E166+1)&lt;=AE$5,0,IF(AE$7&gt;$E166,OFFSET('Costs 03'!AE59,0,-$E166),0))</f>
        <v>0</v>
      </c>
      <c r="AF166" s="722">
        <f ca="1">IF(EOMONTH(Enddatum,$E166+1)&lt;=AF$5,0,IF(AF$7&gt;$E166,OFFSET('Costs 03'!AF59,0,-$E166),0))</f>
        <v>0</v>
      </c>
      <c r="AG166" s="722">
        <f ca="1">IF(EOMONTH(Enddatum,$E166+1)&lt;=AG$5,0,IF(AG$7&gt;$E166,OFFSET('Costs 03'!AG59,0,-$E166),0))</f>
        <v>0</v>
      </c>
    </row>
    <row r="167" spans="1:33" s="649" customFormat="1" ht="18" customHeight="1" outlineLevel="1">
      <c r="A167" s="894"/>
      <c r="B167" s="287"/>
      <c r="C167" s="24" t="str">
        <f>'Costs 03'!C60</f>
        <v>Patents &amp; Trademarks</v>
      </c>
      <c r="D167" s="8" t="str">
        <f t="shared" si="51"/>
        <v>USD</v>
      </c>
      <c r="E167" s="714">
        <f>'Costs 03'!F60</f>
        <v>0</v>
      </c>
      <c r="F167" s="894"/>
      <c r="G167" s="287"/>
      <c r="H167" s="287"/>
      <c r="I167" s="71">
        <f t="shared" ca="1" si="52"/>
        <v>0</v>
      </c>
      <c r="J167" s="722">
        <f ca="1">IF(EOMONTH(Enddatum,$E167+1)&lt;=J$5,0,IF(J$7&gt;$E167,OFFSET('Costs 03'!J60,0,-$E167),0))</f>
        <v>0</v>
      </c>
      <c r="K167" s="722">
        <f ca="1">IF(EOMONTH(Enddatum,$E167+1)&lt;=K$5,0,IF(K$7&gt;$E167,OFFSET('Costs 03'!K60,0,-$E167),0))</f>
        <v>0</v>
      </c>
      <c r="L167" s="722">
        <f ca="1">IF(EOMONTH(Enddatum,$E167+1)&lt;=L$5,0,IF(L$7&gt;$E167,OFFSET('Costs 03'!L60,0,-$E167),0))</f>
        <v>0</v>
      </c>
      <c r="M167" s="722">
        <f ca="1">IF(EOMONTH(Enddatum,$E167+1)&lt;=M$5,0,IF(M$7&gt;$E167,OFFSET('Costs 03'!M60,0,-$E167),0))</f>
        <v>0</v>
      </c>
      <c r="N167" s="722">
        <f ca="1">IF(EOMONTH(Enddatum,$E167+1)&lt;=N$5,0,IF(N$7&gt;$E167,OFFSET('Costs 03'!N60,0,-$E167),0))</f>
        <v>0</v>
      </c>
      <c r="O167" s="722">
        <f ca="1">IF(EOMONTH(Enddatum,$E167+1)&lt;=O$5,0,IF(O$7&gt;$E167,OFFSET('Costs 03'!O60,0,-$E167),0))</f>
        <v>0</v>
      </c>
      <c r="P167" s="722">
        <f ca="1">IF(EOMONTH(Enddatum,$E167+1)&lt;=P$5,0,IF(P$7&gt;$E167,OFFSET('Costs 03'!P60,0,-$E167),0))</f>
        <v>0</v>
      </c>
      <c r="Q167" s="722">
        <f ca="1">IF(EOMONTH(Enddatum,$E167+1)&lt;=Q$5,0,IF(Q$7&gt;$E167,OFFSET('Costs 03'!Q60,0,-$E167),0))</f>
        <v>0</v>
      </c>
      <c r="R167" s="722">
        <f ca="1">IF(EOMONTH(Enddatum,$E167+1)&lt;=R$5,0,IF(R$7&gt;$E167,OFFSET('Costs 03'!R60,0,-$E167),0))</f>
        <v>0</v>
      </c>
      <c r="S167" s="722">
        <f ca="1">IF(EOMONTH(Enddatum,$E167+1)&lt;=S$5,0,IF(S$7&gt;$E167,OFFSET('Costs 03'!S60,0,-$E167),0))</f>
        <v>0</v>
      </c>
      <c r="T167" s="722">
        <f ca="1">IF(EOMONTH(Enddatum,$E167+1)&lt;=T$5,0,IF(T$7&gt;$E167,OFFSET('Costs 03'!T60,0,-$E167),0))</f>
        <v>0</v>
      </c>
      <c r="U167" s="722">
        <f ca="1">IF(EOMONTH(Enddatum,$E167+1)&lt;=U$5,0,IF(U$7&gt;$E167,OFFSET('Costs 03'!U60,0,-$E167),0))</f>
        <v>0</v>
      </c>
      <c r="V167" s="722">
        <f ca="1">IF(EOMONTH(Enddatum,$E167+1)&lt;=V$5,0,IF(V$7&gt;$E167,OFFSET('Costs 03'!V60,0,-$E167),0))</f>
        <v>0</v>
      </c>
      <c r="W167" s="722">
        <f ca="1">IF(EOMONTH(Enddatum,$E167+1)&lt;=W$5,0,IF(W$7&gt;$E167,OFFSET('Costs 03'!W60,0,-$E167),0))</f>
        <v>0</v>
      </c>
      <c r="X167" s="722">
        <f ca="1">IF(EOMONTH(Enddatum,$E167+1)&lt;=X$5,0,IF(X$7&gt;$E167,OFFSET('Costs 03'!X60,0,-$E167),0))</f>
        <v>0</v>
      </c>
      <c r="Y167" s="722">
        <f ca="1">IF(EOMONTH(Enddatum,$E167+1)&lt;=Y$5,0,IF(Y$7&gt;$E167,OFFSET('Costs 03'!Y60,0,-$E167),0))</f>
        <v>0</v>
      </c>
      <c r="Z167" s="722">
        <f ca="1">IF(EOMONTH(Enddatum,$E167+1)&lt;=Z$5,0,IF(Z$7&gt;$E167,OFFSET('Costs 03'!Z60,0,-$E167),0))</f>
        <v>0</v>
      </c>
      <c r="AA167" s="722">
        <f ca="1">IF(EOMONTH(Enddatum,$E167+1)&lt;=AA$5,0,IF(AA$7&gt;$E167,OFFSET('Costs 03'!AA60,0,-$E167),0))</f>
        <v>0</v>
      </c>
      <c r="AB167" s="722">
        <f ca="1">IF(EOMONTH(Enddatum,$E167+1)&lt;=AB$5,0,IF(AB$7&gt;$E167,OFFSET('Costs 03'!AB60,0,-$E167),0))</f>
        <v>0</v>
      </c>
      <c r="AC167" s="722">
        <f ca="1">IF(EOMONTH(Enddatum,$E167+1)&lt;=AC$5,0,IF(AC$7&gt;$E167,OFFSET('Costs 03'!AC60,0,-$E167),0))</f>
        <v>0</v>
      </c>
      <c r="AD167" s="722">
        <f ca="1">IF(EOMONTH(Enddatum,$E167+1)&lt;=AD$5,0,IF(AD$7&gt;$E167,OFFSET('Costs 03'!AD60,0,-$E167),0))</f>
        <v>0</v>
      </c>
      <c r="AE167" s="722">
        <f ca="1">IF(EOMONTH(Enddatum,$E167+1)&lt;=AE$5,0,IF(AE$7&gt;$E167,OFFSET('Costs 03'!AE60,0,-$E167),0))</f>
        <v>0</v>
      </c>
      <c r="AF167" s="722">
        <f ca="1">IF(EOMONTH(Enddatum,$E167+1)&lt;=AF$5,0,IF(AF$7&gt;$E167,OFFSET('Costs 03'!AF60,0,-$E167),0))</f>
        <v>0</v>
      </c>
      <c r="AG167" s="722">
        <f ca="1">IF(EOMONTH(Enddatum,$E167+1)&lt;=AG$5,0,IF(AG$7&gt;$E167,OFFSET('Costs 03'!AG60,0,-$E167),0))</f>
        <v>0</v>
      </c>
    </row>
    <row r="168" spans="1:33" s="649" customFormat="1" ht="18" customHeight="1" outlineLevel="1">
      <c r="A168" s="894"/>
      <c r="B168" s="287"/>
      <c r="C168" s="24" t="str">
        <f>'Costs 03'!C61</f>
        <v>Establishment (Start-up costs)</v>
      </c>
      <c r="D168" s="8" t="str">
        <f t="shared" si="51"/>
        <v>USD</v>
      </c>
      <c r="E168" s="714">
        <f>'Costs 03'!F61</f>
        <v>0</v>
      </c>
      <c r="F168" s="894"/>
      <c r="G168" s="287"/>
      <c r="H168" s="287"/>
      <c r="I168" s="71">
        <f t="shared" ca="1" si="52"/>
        <v>0</v>
      </c>
      <c r="J168" s="722">
        <f ca="1">IF(EOMONTH(Enddatum,$E168+1)&lt;=J$5,0,IF(J$7&gt;$E168,OFFSET('Costs 03'!J61,0,-$E168),0))</f>
        <v>0</v>
      </c>
      <c r="K168" s="722">
        <f ca="1">IF(EOMONTH(Enddatum,$E168+1)&lt;=K$5,0,IF(K$7&gt;$E168,OFFSET('Costs 03'!K61,0,-$E168),0))</f>
        <v>0</v>
      </c>
      <c r="L168" s="722">
        <f ca="1">IF(EOMONTH(Enddatum,$E168+1)&lt;=L$5,0,IF(L$7&gt;$E168,OFFSET('Costs 03'!L61,0,-$E168),0))</f>
        <v>0</v>
      </c>
      <c r="M168" s="722">
        <f ca="1">IF(EOMONTH(Enddatum,$E168+1)&lt;=M$5,0,IF(M$7&gt;$E168,OFFSET('Costs 03'!M61,0,-$E168),0))</f>
        <v>0</v>
      </c>
      <c r="N168" s="722">
        <f ca="1">IF(EOMONTH(Enddatum,$E168+1)&lt;=N$5,0,IF(N$7&gt;$E168,OFFSET('Costs 03'!N61,0,-$E168),0))</f>
        <v>0</v>
      </c>
      <c r="O168" s="722">
        <f ca="1">IF(EOMONTH(Enddatum,$E168+1)&lt;=O$5,0,IF(O$7&gt;$E168,OFFSET('Costs 03'!O61,0,-$E168),0))</f>
        <v>0</v>
      </c>
      <c r="P168" s="722">
        <f ca="1">IF(EOMONTH(Enddatum,$E168+1)&lt;=P$5,0,IF(P$7&gt;$E168,OFFSET('Costs 03'!P61,0,-$E168),0))</f>
        <v>0</v>
      </c>
      <c r="Q168" s="722">
        <f ca="1">IF(EOMONTH(Enddatum,$E168+1)&lt;=Q$5,0,IF(Q$7&gt;$E168,OFFSET('Costs 03'!Q61,0,-$E168),0))</f>
        <v>0</v>
      </c>
      <c r="R168" s="722">
        <f ca="1">IF(EOMONTH(Enddatum,$E168+1)&lt;=R$5,0,IF(R$7&gt;$E168,OFFSET('Costs 03'!R61,0,-$E168),0))</f>
        <v>0</v>
      </c>
      <c r="S168" s="722">
        <f ca="1">IF(EOMONTH(Enddatum,$E168+1)&lt;=S$5,0,IF(S$7&gt;$E168,OFFSET('Costs 03'!S61,0,-$E168),0))</f>
        <v>0</v>
      </c>
      <c r="T168" s="722">
        <f ca="1">IF(EOMONTH(Enddatum,$E168+1)&lt;=T$5,0,IF(T$7&gt;$E168,OFFSET('Costs 03'!T61,0,-$E168),0))</f>
        <v>0</v>
      </c>
      <c r="U168" s="722">
        <f ca="1">IF(EOMONTH(Enddatum,$E168+1)&lt;=U$5,0,IF(U$7&gt;$E168,OFFSET('Costs 03'!U61,0,-$E168),0))</f>
        <v>0</v>
      </c>
      <c r="V168" s="722">
        <f ca="1">IF(EOMONTH(Enddatum,$E168+1)&lt;=V$5,0,IF(V$7&gt;$E168,OFFSET('Costs 03'!V61,0,-$E168),0))</f>
        <v>0</v>
      </c>
      <c r="W168" s="722">
        <f ca="1">IF(EOMONTH(Enddatum,$E168+1)&lt;=W$5,0,IF(W$7&gt;$E168,OFFSET('Costs 03'!W61,0,-$E168),0))</f>
        <v>0</v>
      </c>
      <c r="X168" s="722">
        <f ca="1">IF(EOMONTH(Enddatum,$E168+1)&lt;=X$5,0,IF(X$7&gt;$E168,OFFSET('Costs 03'!X61,0,-$E168),0))</f>
        <v>0</v>
      </c>
      <c r="Y168" s="722">
        <f ca="1">IF(EOMONTH(Enddatum,$E168+1)&lt;=Y$5,0,IF(Y$7&gt;$E168,OFFSET('Costs 03'!Y61,0,-$E168),0))</f>
        <v>0</v>
      </c>
      <c r="Z168" s="722">
        <f ca="1">IF(EOMONTH(Enddatum,$E168+1)&lt;=Z$5,0,IF(Z$7&gt;$E168,OFFSET('Costs 03'!Z61,0,-$E168),0))</f>
        <v>0</v>
      </c>
      <c r="AA168" s="722">
        <f ca="1">IF(EOMONTH(Enddatum,$E168+1)&lt;=AA$5,0,IF(AA$7&gt;$E168,OFFSET('Costs 03'!AA61,0,-$E168),0))</f>
        <v>0</v>
      </c>
      <c r="AB168" s="722">
        <f ca="1">IF(EOMONTH(Enddatum,$E168+1)&lt;=AB$5,0,IF(AB$7&gt;$E168,OFFSET('Costs 03'!AB61,0,-$E168),0))</f>
        <v>0</v>
      </c>
      <c r="AC168" s="722">
        <f ca="1">IF(EOMONTH(Enddatum,$E168+1)&lt;=AC$5,0,IF(AC$7&gt;$E168,OFFSET('Costs 03'!AC61,0,-$E168),0))</f>
        <v>0</v>
      </c>
      <c r="AD168" s="722">
        <f ca="1">IF(EOMONTH(Enddatum,$E168+1)&lt;=AD$5,0,IF(AD$7&gt;$E168,OFFSET('Costs 03'!AD61,0,-$E168),0))</f>
        <v>0</v>
      </c>
      <c r="AE168" s="722">
        <f ca="1">IF(EOMONTH(Enddatum,$E168+1)&lt;=AE$5,0,IF(AE$7&gt;$E168,OFFSET('Costs 03'!AE61,0,-$E168),0))</f>
        <v>0</v>
      </c>
      <c r="AF168" s="722">
        <f ca="1">IF(EOMONTH(Enddatum,$E168+1)&lt;=AF$5,0,IF(AF$7&gt;$E168,OFFSET('Costs 03'!AF61,0,-$E168),0))</f>
        <v>0</v>
      </c>
      <c r="AG168" s="722">
        <f ca="1">IF(EOMONTH(Enddatum,$E168+1)&lt;=AG$5,0,IF(AG$7&gt;$E168,OFFSET('Costs 03'!AG61,0,-$E168),0))</f>
        <v>0</v>
      </c>
    </row>
    <row r="169" spans="1:33" s="649" customFormat="1" ht="18" customHeight="1" outlineLevel="1">
      <c r="A169" s="894"/>
      <c r="B169" s="287"/>
      <c r="C169" s="24" t="str">
        <f>'Costs 03'!C62</f>
        <v>Miscellaneous 01</v>
      </c>
      <c r="D169" s="8" t="str">
        <f t="shared" si="51"/>
        <v>USD</v>
      </c>
      <c r="E169" s="714">
        <f>'Costs 03'!F62</f>
        <v>0</v>
      </c>
      <c r="F169" s="894"/>
      <c r="G169" s="287"/>
      <c r="H169" s="287"/>
      <c r="I169" s="71">
        <f t="shared" ca="1" si="52"/>
        <v>0</v>
      </c>
      <c r="J169" s="722">
        <f ca="1">IF(EOMONTH(Enddatum,$E169+1)&lt;=J$5,0,IF(J$7&gt;$E169,OFFSET('Costs 03'!J62,0,-$E169),0))</f>
        <v>0</v>
      </c>
      <c r="K169" s="722">
        <f ca="1">IF(EOMONTH(Enddatum,$E169+1)&lt;=K$5,0,IF(K$7&gt;$E169,OFFSET('Costs 03'!K62,0,-$E169),0))</f>
        <v>0</v>
      </c>
      <c r="L169" s="722">
        <f ca="1">IF(EOMONTH(Enddatum,$E169+1)&lt;=L$5,0,IF(L$7&gt;$E169,OFFSET('Costs 03'!L62,0,-$E169),0))</f>
        <v>0</v>
      </c>
      <c r="M169" s="722">
        <f ca="1">IF(EOMONTH(Enddatum,$E169+1)&lt;=M$5,0,IF(M$7&gt;$E169,OFFSET('Costs 03'!M62,0,-$E169),0))</f>
        <v>0</v>
      </c>
      <c r="N169" s="722">
        <f ca="1">IF(EOMONTH(Enddatum,$E169+1)&lt;=N$5,0,IF(N$7&gt;$E169,OFFSET('Costs 03'!N62,0,-$E169),0))</f>
        <v>0</v>
      </c>
      <c r="O169" s="722">
        <f ca="1">IF(EOMONTH(Enddatum,$E169+1)&lt;=O$5,0,IF(O$7&gt;$E169,OFFSET('Costs 03'!O62,0,-$E169),0))</f>
        <v>0</v>
      </c>
      <c r="P169" s="722">
        <f ca="1">IF(EOMONTH(Enddatum,$E169+1)&lt;=P$5,0,IF(P$7&gt;$E169,OFFSET('Costs 03'!P62,0,-$E169),0))</f>
        <v>0</v>
      </c>
      <c r="Q169" s="722">
        <f ca="1">IF(EOMONTH(Enddatum,$E169+1)&lt;=Q$5,0,IF(Q$7&gt;$E169,OFFSET('Costs 03'!Q62,0,-$E169),0))</f>
        <v>0</v>
      </c>
      <c r="R169" s="722">
        <f ca="1">IF(EOMONTH(Enddatum,$E169+1)&lt;=R$5,0,IF(R$7&gt;$E169,OFFSET('Costs 03'!R62,0,-$E169),0))</f>
        <v>0</v>
      </c>
      <c r="S169" s="722">
        <f ca="1">IF(EOMONTH(Enddatum,$E169+1)&lt;=S$5,0,IF(S$7&gt;$E169,OFFSET('Costs 03'!S62,0,-$E169),0))</f>
        <v>0</v>
      </c>
      <c r="T169" s="722">
        <f ca="1">IF(EOMONTH(Enddatum,$E169+1)&lt;=T$5,0,IF(T$7&gt;$E169,OFFSET('Costs 03'!T62,0,-$E169),0))</f>
        <v>0</v>
      </c>
      <c r="U169" s="722">
        <f ca="1">IF(EOMONTH(Enddatum,$E169+1)&lt;=U$5,0,IF(U$7&gt;$E169,OFFSET('Costs 03'!U62,0,-$E169),0))</f>
        <v>0</v>
      </c>
      <c r="V169" s="722">
        <f ca="1">IF(EOMONTH(Enddatum,$E169+1)&lt;=V$5,0,IF(V$7&gt;$E169,OFFSET('Costs 03'!V62,0,-$E169),0))</f>
        <v>0</v>
      </c>
      <c r="W169" s="722">
        <f ca="1">IF(EOMONTH(Enddatum,$E169+1)&lt;=W$5,0,IF(W$7&gt;$E169,OFFSET('Costs 03'!W62,0,-$E169),0))</f>
        <v>0</v>
      </c>
      <c r="X169" s="722">
        <f ca="1">IF(EOMONTH(Enddatum,$E169+1)&lt;=X$5,0,IF(X$7&gt;$E169,OFFSET('Costs 03'!X62,0,-$E169),0))</f>
        <v>0</v>
      </c>
      <c r="Y169" s="722">
        <f ca="1">IF(EOMONTH(Enddatum,$E169+1)&lt;=Y$5,0,IF(Y$7&gt;$E169,OFFSET('Costs 03'!Y62,0,-$E169),0))</f>
        <v>0</v>
      </c>
      <c r="Z169" s="722">
        <f ca="1">IF(EOMONTH(Enddatum,$E169+1)&lt;=Z$5,0,IF(Z$7&gt;$E169,OFFSET('Costs 03'!Z62,0,-$E169),0))</f>
        <v>0</v>
      </c>
      <c r="AA169" s="722">
        <f ca="1">IF(EOMONTH(Enddatum,$E169+1)&lt;=AA$5,0,IF(AA$7&gt;$E169,OFFSET('Costs 03'!AA62,0,-$E169),0))</f>
        <v>0</v>
      </c>
      <c r="AB169" s="722">
        <f ca="1">IF(EOMONTH(Enddatum,$E169+1)&lt;=AB$5,0,IF(AB$7&gt;$E169,OFFSET('Costs 03'!AB62,0,-$E169),0))</f>
        <v>0</v>
      </c>
      <c r="AC169" s="722">
        <f ca="1">IF(EOMONTH(Enddatum,$E169+1)&lt;=AC$5,0,IF(AC$7&gt;$E169,OFFSET('Costs 03'!AC62,0,-$E169),0))</f>
        <v>0</v>
      </c>
      <c r="AD169" s="722">
        <f ca="1">IF(EOMONTH(Enddatum,$E169+1)&lt;=AD$5,0,IF(AD$7&gt;$E169,OFFSET('Costs 03'!AD62,0,-$E169),0))</f>
        <v>0</v>
      </c>
      <c r="AE169" s="722">
        <f ca="1">IF(EOMONTH(Enddatum,$E169+1)&lt;=AE$5,0,IF(AE$7&gt;$E169,OFFSET('Costs 03'!AE62,0,-$E169),0))</f>
        <v>0</v>
      </c>
      <c r="AF169" s="722">
        <f ca="1">IF(EOMONTH(Enddatum,$E169+1)&lt;=AF$5,0,IF(AF$7&gt;$E169,OFFSET('Costs 03'!AF62,0,-$E169),0))</f>
        <v>0</v>
      </c>
      <c r="AG169" s="722">
        <f ca="1">IF(EOMONTH(Enddatum,$E169+1)&lt;=AG$5,0,IF(AG$7&gt;$E169,OFFSET('Costs 03'!AG62,0,-$E169),0))</f>
        <v>0</v>
      </c>
    </row>
    <row r="170" spans="1:33" s="649" customFormat="1" ht="18" customHeight="1" outlineLevel="1">
      <c r="A170" s="894"/>
      <c r="B170" s="287"/>
      <c r="C170" s="24" t="str">
        <f>'Costs 03'!C63</f>
        <v>Miscellaneous 02</v>
      </c>
      <c r="D170" s="8" t="str">
        <f t="shared" si="51"/>
        <v>USD</v>
      </c>
      <c r="E170" s="714">
        <f>'Costs 03'!F63</f>
        <v>0</v>
      </c>
      <c r="F170" s="894"/>
      <c r="G170" s="287"/>
      <c r="H170" s="287"/>
      <c r="I170" s="71">
        <f t="shared" ca="1" si="52"/>
        <v>0</v>
      </c>
      <c r="J170" s="722">
        <f ca="1">IF(EOMONTH(Enddatum,$E170+1)&lt;=J$5,0,IF(J$7&gt;$E170,OFFSET('Costs 03'!J63,0,-$E170),0))</f>
        <v>0</v>
      </c>
      <c r="K170" s="722">
        <f ca="1">IF(EOMONTH(Enddatum,$E170+1)&lt;=K$5,0,IF(K$7&gt;$E170,OFFSET('Costs 03'!K63,0,-$E170),0))</f>
        <v>0</v>
      </c>
      <c r="L170" s="722">
        <f ca="1">IF(EOMONTH(Enddatum,$E170+1)&lt;=L$5,0,IF(L$7&gt;$E170,OFFSET('Costs 03'!L63,0,-$E170),0))</f>
        <v>0</v>
      </c>
      <c r="M170" s="722">
        <f ca="1">IF(EOMONTH(Enddatum,$E170+1)&lt;=M$5,0,IF(M$7&gt;$E170,OFFSET('Costs 03'!M63,0,-$E170),0))</f>
        <v>0</v>
      </c>
      <c r="N170" s="722">
        <f ca="1">IF(EOMONTH(Enddatum,$E170+1)&lt;=N$5,0,IF(N$7&gt;$E170,OFFSET('Costs 03'!N63,0,-$E170),0))</f>
        <v>0</v>
      </c>
      <c r="O170" s="722">
        <f ca="1">IF(EOMONTH(Enddatum,$E170+1)&lt;=O$5,0,IF(O$7&gt;$E170,OFFSET('Costs 03'!O63,0,-$E170),0))</f>
        <v>0</v>
      </c>
      <c r="P170" s="722">
        <f ca="1">IF(EOMONTH(Enddatum,$E170+1)&lt;=P$5,0,IF(P$7&gt;$E170,OFFSET('Costs 03'!P63,0,-$E170),0))</f>
        <v>0</v>
      </c>
      <c r="Q170" s="722">
        <f ca="1">IF(EOMONTH(Enddatum,$E170+1)&lt;=Q$5,0,IF(Q$7&gt;$E170,OFFSET('Costs 03'!Q63,0,-$E170),0))</f>
        <v>0</v>
      </c>
      <c r="R170" s="722">
        <f ca="1">IF(EOMONTH(Enddatum,$E170+1)&lt;=R$5,0,IF(R$7&gt;$E170,OFFSET('Costs 03'!R63,0,-$E170),0))</f>
        <v>0</v>
      </c>
      <c r="S170" s="722">
        <f ca="1">IF(EOMONTH(Enddatum,$E170+1)&lt;=S$5,0,IF(S$7&gt;$E170,OFFSET('Costs 03'!S63,0,-$E170),0))</f>
        <v>0</v>
      </c>
      <c r="T170" s="722">
        <f ca="1">IF(EOMONTH(Enddatum,$E170+1)&lt;=T$5,0,IF(T$7&gt;$E170,OFFSET('Costs 03'!T63,0,-$E170),0))</f>
        <v>0</v>
      </c>
      <c r="U170" s="722">
        <f ca="1">IF(EOMONTH(Enddatum,$E170+1)&lt;=U$5,0,IF(U$7&gt;$E170,OFFSET('Costs 03'!U63,0,-$E170),0))</f>
        <v>0</v>
      </c>
      <c r="V170" s="722">
        <f ca="1">IF(EOMONTH(Enddatum,$E170+1)&lt;=V$5,0,IF(V$7&gt;$E170,OFFSET('Costs 03'!V63,0,-$E170),0))</f>
        <v>0</v>
      </c>
      <c r="W170" s="722">
        <f ca="1">IF(EOMONTH(Enddatum,$E170+1)&lt;=W$5,0,IF(W$7&gt;$E170,OFFSET('Costs 03'!W63,0,-$E170),0))</f>
        <v>0</v>
      </c>
      <c r="X170" s="722">
        <f ca="1">IF(EOMONTH(Enddatum,$E170+1)&lt;=X$5,0,IF(X$7&gt;$E170,OFFSET('Costs 03'!X63,0,-$E170),0))</f>
        <v>0</v>
      </c>
      <c r="Y170" s="722">
        <f ca="1">IF(EOMONTH(Enddatum,$E170+1)&lt;=Y$5,0,IF(Y$7&gt;$E170,OFFSET('Costs 03'!Y63,0,-$E170),0))</f>
        <v>0</v>
      </c>
      <c r="Z170" s="722">
        <f ca="1">IF(EOMONTH(Enddatum,$E170+1)&lt;=Z$5,0,IF(Z$7&gt;$E170,OFFSET('Costs 03'!Z63,0,-$E170),0))</f>
        <v>0</v>
      </c>
      <c r="AA170" s="722">
        <f ca="1">IF(EOMONTH(Enddatum,$E170+1)&lt;=AA$5,0,IF(AA$7&gt;$E170,OFFSET('Costs 03'!AA63,0,-$E170),0))</f>
        <v>0</v>
      </c>
      <c r="AB170" s="722">
        <f ca="1">IF(EOMONTH(Enddatum,$E170+1)&lt;=AB$5,0,IF(AB$7&gt;$E170,OFFSET('Costs 03'!AB63,0,-$E170),0))</f>
        <v>0</v>
      </c>
      <c r="AC170" s="722">
        <f ca="1">IF(EOMONTH(Enddatum,$E170+1)&lt;=AC$5,0,IF(AC$7&gt;$E170,OFFSET('Costs 03'!AC63,0,-$E170),0))</f>
        <v>0</v>
      </c>
      <c r="AD170" s="722">
        <f ca="1">IF(EOMONTH(Enddatum,$E170+1)&lt;=AD$5,0,IF(AD$7&gt;$E170,OFFSET('Costs 03'!AD63,0,-$E170),0))</f>
        <v>0</v>
      </c>
      <c r="AE170" s="722">
        <f ca="1">IF(EOMONTH(Enddatum,$E170+1)&lt;=AE$5,0,IF(AE$7&gt;$E170,OFFSET('Costs 03'!AE63,0,-$E170),0))</f>
        <v>0</v>
      </c>
      <c r="AF170" s="722">
        <f ca="1">IF(EOMONTH(Enddatum,$E170+1)&lt;=AF$5,0,IF(AF$7&gt;$E170,OFFSET('Costs 03'!AF63,0,-$E170),0))</f>
        <v>0</v>
      </c>
      <c r="AG170" s="722">
        <f ca="1">IF(EOMONTH(Enddatum,$E170+1)&lt;=AG$5,0,IF(AG$7&gt;$E170,OFFSET('Costs 03'!AG63,0,-$E170),0))</f>
        <v>0</v>
      </c>
    </row>
    <row r="171" spans="1:33" s="649" customFormat="1" ht="18" customHeight="1" outlineLevel="1">
      <c r="A171" s="894"/>
      <c r="B171" s="287"/>
      <c r="C171" s="24" t="str">
        <f>'Costs 03'!C64</f>
        <v>Miscellaneous 03</v>
      </c>
      <c r="D171" s="8" t="str">
        <f t="shared" si="51"/>
        <v>USD</v>
      </c>
      <c r="E171" s="714">
        <f>'Costs 03'!F64</f>
        <v>0</v>
      </c>
      <c r="F171" s="894"/>
      <c r="G171" s="287"/>
      <c r="H171" s="287"/>
      <c r="I171" s="71">
        <f t="shared" ca="1" si="52"/>
        <v>0</v>
      </c>
      <c r="J171" s="722">
        <f ca="1">IF(EOMONTH(Enddatum,$E171+1)&lt;=J$5,0,IF(J$7&gt;$E171,OFFSET('Costs 03'!J64,0,-$E171),0))</f>
        <v>0</v>
      </c>
      <c r="K171" s="722">
        <f ca="1">IF(EOMONTH(Enddatum,$E171+1)&lt;=K$5,0,IF(K$7&gt;$E171,OFFSET('Costs 03'!K64,0,-$E171),0))</f>
        <v>0</v>
      </c>
      <c r="L171" s="722">
        <f ca="1">IF(EOMONTH(Enddatum,$E171+1)&lt;=L$5,0,IF(L$7&gt;$E171,OFFSET('Costs 03'!L64,0,-$E171),0))</f>
        <v>0</v>
      </c>
      <c r="M171" s="722">
        <f ca="1">IF(EOMONTH(Enddatum,$E171+1)&lt;=M$5,0,IF(M$7&gt;$E171,OFFSET('Costs 03'!M64,0,-$E171),0))</f>
        <v>0</v>
      </c>
      <c r="N171" s="722">
        <f ca="1">IF(EOMONTH(Enddatum,$E171+1)&lt;=N$5,0,IF(N$7&gt;$E171,OFFSET('Costs 03'!N64,0,-$E171),0))</f>
        <v>0</v>
      </c>
      <c r="O171" s="722">
        <f ca="1">IF(EOMONTH(Enddatum,$E171+1)&lt;=O$5,0,IF(O$7&gt;$E171,OFFSET('Costs 03'!O64,0,-$E171),0))</f>
        <v>0</v>
      </c>
      <c r="P171" s="722">
        <f ca="1">IF(EOMONTH(Enddatum,$E171+1)&lt;=P$5,0,IF(P$7&gt;$E171,OFFSET('Costs 03'!P64,0,-$E171),0))</f>
        <v>0</v>
      </c>
      <c r="Q171" s="722">
        <f ca="1">IF(EOMONTH(Enddatum,$E171+1)&lt;=Q$5,0,IF(Q$7&gt;$E171,OFFSET('Costs 03'!Q64,0,-$E171),0))</f>
        <v>0</v>
      </c>
      <c r="R171" s="722">
        <f ca="1">IF(EOMONTH(Enddatum,$E171+1)&lt;=R$5,0,IF(R$7&gt;$E171,OFFSET('Costs 03'!R64,0,-$E171),0))</f>
        <v>0</v>
      </c>
      <c r="S171" s="722">
        <f ca="1">IF(EOMONTH(Enddatum,$E171+1)&lt;=S$5,0,IF(S$7&gt;$E171,OFFSET('Costs 03'!S64,0,-$E171),0))</f>
        <v>0</v>
      </c>
      <c r="T171" s="722">
        <f ca="1">IF(EOMONTH(Enddatum,$E171+1)&lt;=T$5,0,IF(T$7&gt;$E171,OFFSET('Costs 03'!T64,0,-$E171),0))</f>
        <v>0</v>
      </c>
      <c r="U171" s="722">
        <f ca="1">IF(EOMONTH(Enddatum,$E171+1)&lt;=U$5,0,IF(U$7&gt;$E171,OFFSET('Costs 03'!U64,0,-$E171),0))</f>
        <v>0</v>
      </c>
      <c r="V171" s="722">
        <f ca="1">IF(EOMONTH(Enddatum,$E171+1)&lt;=V$5,0,IF(V$7&gt;$E171,OFFSET('Costs 03'!V64,0,-$E171),0))</f>
        <v>0</v>
      </c>
      <c r="W171" s="722">
        <f ca="1">IF(EOMONTH(Enddatum,$E171+1)&lt;=W$5,0,IF(W$7&gt;$E171,OFFSET('Costs 03'!W64,0,-$E171),0))</f>
        <v>0</v>
      </c>
      <c r="X171" s="722">
        <f ca="1">IF(EOMONTH(Enddatum,$E171+1)&lt;=X$5,0,IF(X$7&gt;$E171,OFFSET('Costs 03'!X64,0,-$E171),0))</f>
        <v>0</v>
      </c>
      <c r="Y171" s="722">
        <f ca="1">IF(EOMONTH(Enddatum,$E171+1)&lt;=Y$5,0,IF(Y$7&gt;$E171,OFFSET('Costs 03'!Y64,0,-$E171),0))</f>
        <v>0</v>
      </c>
      <c r="Z171" s="722">
        <f ca="1">IF(EOMONTH(Enddatum,$E171+1)&lt;=Z$5,0,IF(Z$7&gt;$E171,OFFSET('Costs 03'!Z64,0,-$E171),0))</f>
        <v>0</v>
      </c>
      <c r="AA171" s="722">
        <f ca="1">IF(EOMONTH(Enddatum,$E171+1)&lt;=AA$5,0,IF(AA$7&gt;$E171,OFFSET('Costs 03'!AA64,0,-$E171),0))</f>
        <v>0</v>
      </c>
      <c r="AB171" s="722">
        <f ca="1">IF(EOMONTH(Enddatum,$E171+1)&lt;=AB$5,0,IF(AB$7&gt;$E171,OFFSET('Costs 03'!AB64,0,-$E171),0))</f>
        <v>0</v>
      </c>
      <c r="AC171" s="722">
        <f ca="1">IF(EOMONTH(Enddatum,$E171+1)&lt;=AC$5,0,IF(AC$7&gt;$E171,OFFSET('Costs 03'!AC64,0,-$E171),0))</f>
        <v>0</v>
      </c>
      <c r="AD171" s="722">
        <f ca="1">IF(EOMONTH(Enddatum,$E171+1)&lt;=AD$5,0,IF(AD$7&gt;$E171,OFFSET('Costs 03'!AD64,0,-$E171),0))</f>
        <v>0</v>
      </c>
      <c r="AE171" s="722">
        <f ca="1">IF(EOMONTH(Enddatum,$E171+1)&lt;=AE$5,0,IF(AE$7&gt;$E171,OFFSET('Costs 03'!AE64,0,-$E171),0))</f>
        <v>0</v>
      </c>
      <c r="AF171" s="722">
        <f ca="1">IF(EOMONTH(Enddatum,$E171+1)&lt;=AF$5,0,IF(AF$7&gt;$E171,OFFSET('Costs 03'!AF64,0,-$E171),0))</f>
        <v>0</v>
      </c>
      <c r="AG171" s="722">
        <f ca="1">IF(EOMONTH(Enddatum,$E171+1)&lt;=AG$5,0,IF(AG$7&gt;$E171,OFFSET('Costs 03'!AG64,0,-$E171),0))</f>
        <v>0</v>
      </c>
    </row>
    <row r="172" spans="1:33" s="649" customFormat="1" ht="18" customHeight="1" outlineLevel="1">
      <c r="A172" s="894"/>
      <c r="B172" s="287"/>
      <c r="C172" s="24" t="str">
        <f>'Costs 03'!C65</f>
        <v>Miscellaneous 04</v>
      </c>
      <c r="D172" s="8" t="str">
        <f t="shared" si="51"/>
        <v>USD</v>
      </c>
      <c r="E172" s="714">
        <f>'Costs 03'!F65</f>
        <v>0</v>
      </c>
      <c r="F172" s="894"/>
      <c r="G172" s="287"/>
      <c r="H172" s="287"/>
      <c r="I172" s="71">
        <f t="shared" ca="1" si="52"/>
        <v>0</v>
      </c>
      <c r="J172" s="722">
        <f ca="1">IF(EOMONTH(Enddatum,$E172+1)&lt;=J$5,0,IF(J$7&gt;$E172,OFFSET('Costs 03'!J65,0,-$E172),0))</f>
        <v>0</v>
      </c>
      <c r="K172" s="722">
        <f ca="1">IF(EOMONTH(Enddatum,$E172+1)&lt;=K$5,0,IF(K$7&gt;$E172,OFFSET('Costs 03'!K65,0,-$E172),0))</f>
        <v>0</v>
      </c>
      <c r="L172" s="722">
        <f ca="1">IF(EOMONTH(Enddatum,$E172+1)&lt;=L$5,0,IF(L$7&gt;$E172,OFFSET('Costs 03'!L65,0,-$E172),0))</f>
        <v>0</v>
      </c>
      <c r="M172" s="722">
        <f ca="1">IF(EOMONTH(Enddatum,$E172+1)&lt;=M$5,0,IF(M$7&gt;$E172,OFFSET('Costs 03'!M65,0,-$E172),0))</f>
        <v>0</v>
      </c>
      <c r="N172" s="722">
        <f ca="1">IF(EOMONTH(Enddatum,$E172+1)&lt;=N$5,0,IF(N$7&gt;$E172,OFFSET('Costs 03'!N65,0,-$E172),0))</f>
        <v>0</v>
      </c>
      <c r="O172" s="722">
        <f ca="1">IF(EOMONTH(Enddatum,$E172+1)&lt;=O$5,0,IF(O$7&gt;$E172,OFFSET('Costs 03'!O65,0,-$E172),0))</f>
        <v>0</v>
      </c>
      <c r="P172" s="722">
        <f ca="1">IF(EOMONTH(Enddatum,$E172+1)&lt;=P$5,0,IF(P$7&gt;$E172,OFFSET('Costs 03'!P65,0,-$E172),0))</f>
        <v>0</v>
      </c>
      <c r="Q172" s="722">
        <f ca="1">IF(EOMONTH(Enddatum,$E172+1)&lt;=Q$5,0,IF(Q$7&gt;$E172,OFFSET('Costs 03'!Q65,0,-$E172),0))</f>
        <v>0</v>
      </c>
      <c r="R172" s="722">
        <f ca="1">IF(EOMONTH(Enddatum,$E172+1)&lt;=R$5,0,IF(R$7&gt;$E172,OFFSET('Costs 03'!R65,0,-$E172),0))</f>
        <v>0</v>
      </c>
      <c r="S172" s="722">
        <f ca="1">IF(EOMONTH(Enddatum,$E172+1)&lt;=S$5,0,IF(S$7&gt;$E172,OFFSET('Costs 03'!S65,0,-$E172),0))</f>
        <v>0</v>
      </c>
      <c r="T172" s="722">
        <f ca="1">IF(EOMONTH(Enddatum,$E172+1)&lt;=T$5,0,IF(T$7&gt;$E172,OFFSET('Costs 03'!T65,0,-$E172),0))</f>
        <v>0</v>
      </c>
      <c r="U172" s="722">
        <f ca="1">IF(EOMONTH(Enddatum,$E172+1)&lt;=U$5,0,IF(U$7&gt;$E172,OFFSET('Costs 03'!U65,0,-$E172),0))</f>
        <v>0</v>
      </c>
      <c r="V172" s="722">
        <f ca="1">IF(EOMONTH(Enddatum,$E172+1)&lt;=V$5,0,IF(V$7&gt;$E172,OFFSET('Costs 03'!V65,0,-$E172),0))</f>
        <v>0</v>
      </c>
      <c r="W172" s="722">
        <f ca="1">IF(EOMONTH(Enddatum,$E172+1)&lt;=W$5,0,IF(W$7&gt;$E172,OFFSET('Costs 03'!W65,0,-$E172),0))</f>
        <v>0</v>
      </c>
      <c r="X172" s="722">
        <f ca="1">IF(EOMONTH(Enddatum,$E172+1)&lt;=X$5,0,IF(X$7&gt;$E172,OFFSET('Costs 03'!X65,0,-$E172),0))</f>
        <v>0</v>
      </c>
      <c r="Y172" s="722">
        <f ca="1">IF(EOMONTH(Enddatum,$E172+1)&lt;=Y$5,0,IF(Y$7&gt;$E172,OFFSET('Costs 03'!Y65,0,-$E172),0))</f>
        <v>0</v>
      </c>
      <c r="Z172" s="722">
        <f ca="1">IF(EOMONTH(Enddatum,$E172+1)&lt;=Z$5,0,IF(Z$7&gt;$E172,OFFSET('Costs 03'!Z65,0,-$E172),0))</f>
        <v>0</v>
      </c>
      <c r="AA172" s="722">
        <f ca="1">IF(EOMONTH(Enddatum,$E172+1)&lt;=AA$5,0,IF(AA$7&gt;$E172,OFFSET('Costs 03'!AA65,0,-$E172),0))</f>
        <v>0</v>
      </c>
      <c r="AB172" s="722">
        <f ca="1">IF(EOMONTH(Enddatum,$E172+1)&lt;=AB$5,0,IF(AB$7&gt;$E172,OFFSET('Costs 03'!AB65,0,-$E172),0))</f>
        <v>0</v>
      </c>
      <c r="AC172" s="722">
        <f ca="1">IF(EOMONTH(Enddatum,$E172+1)&lt;=AC$5,0,IF(AC$7&gt;$E172,OFFSET('Costs 03'!AC65,0,-$E172),0))</f>
        <v>0</v>
      </c>
      <c r="AD172" s="722">
        <f ca="1">IF(EOMONTH(Enddatum,$E172+1)&lt;=AD$5,0,IF(AD$7&gt;$E172,OFFSET('Costs 03'!AD65,0,-$E172),0))</f>
        <v>0</v>
      </c>
      <c r="AE172" s="722">
        <f ca="1">IF(EOMONTH(Enddatum,$E172+1)&lt;=AE$5,0,IF(AE$7&gt;$E172,OFFSET('Costs 03'!AE65,0,-$E172),0))</f>
        <v>0</v>
      </c>
      <c r="AF172" s="722">
        <f ca="1">IF(EOMONTH(Enddatum,$E172+1)&lt;=AF$5,0,IF(AF$7&gt;$E172,OFFSET('Costs 03'!AF65,0,-$E172),0))</f>
        <v>0</v>
      </c>
      <c r="AG172" s="722">
        <f ca="1">IF(EOMONTH(Enddatum,$E172+1)&lt;=AG$5,0,IF(AG$7&gt;$E172,OFFSET('Costs 03'!AG65,0,-$E172),0))</f>
        <v>0</v>
      </c>
    </row>
    <row r="173" spans="1:33" s="649" customFormat="1" ht="18" customHeight="1" outlineLevel="1" thickBot="1">
      <c r="A173" s="894"/>
      <c r="B173" s="287"/>
      <c r="C173" s="121" t="s">
        <v>346</v>
      </c>
      <c r="D173" s="8" t="str">
        <f t="shared" ref="D173" si="53">Currency_Label</f>
        <v>USD</v>
      </c>
      <c r="E173" s="8"/>
      <c r="F173" s="8"/>
      <c r="G173" s="8"/>
      <c r="H173" s="8"/>
      <c r="I173" s="71">
        <f t="shared" ca="1" si="52"/>
        <v>290618.50756684033</v>
      </c>
      <c r="J173" s="524">
        <f t="shared" ref="J173:AG173" ca="1" si="54">SUM(J131:J172)</f>
        <v>8292.44</v>
      </c>
      <c r="K173" s="524">
        <f t="shared" ca="1" si="54"/>
        <v>12069.231</v>
      </c>
      <c r="L173" s="524">
        <f t="shared" ca="1" si="54"/>
        <v>12415.05991</v>
      </c>
      <c r="M173" s="524">
        <f t="shared" ca="1" si="54"/>
        <v>12820.947109100001</v>
      </c>
      <c r="N173" s="524">
        <f t="shared" ca="1" si="54"/>
        <v>12566.893180191</v>
      </c>
      <c r="O173" s="524">
        <f t="shared" ca="1" si="54"/>
        <v>12642.89871199291</v>
      </c>
      <c r="P173" s="524">
        <f t="shared" ca="1" si="54"/>
        <v>15219.36429911284</v>
      </c>
      <c r="Q173" s="524">
        <f t="shared" ca="1" si="54"/>
        <v>12865.890542103967</v>
      </c>
      <c r="R173" s="524">
        <f t="shared" ca="1" si="54"/>
        <v>13322.078047525007</v>
      </c>
      <c r="S173" s="524">
        <f t="shared" ca="1" si="54"/>
        <v>15160.927428000257</v>
      </c>
      <c r="T173" s="524">
        <f t="shared" ca="1" si="54"/>
        <v>13237.63930228026</v>
      </c>
      <c r="U173" s="524">
        <f t="shared" ca="1" si="54"/>
        <v>13619.584295303062</v>
      </c>
      <c r="V173" s="524">
        <f t="shared" ca="1" si="54"/>
        <v>15367.843138256092</v>
      </c>
      <c r="W173" s="524">
        <f t="shared" ca="1" si="54"/>
        <v>13494.576569638655</v>
      </c>
      <c r="X173" s="524">
        <f t="shared" ca="1" si="54"/>
        <v>14072.185335335042</v>
      </c>
      <c r="Y173" s="524">
        <f t="shared" ca="1" si="54"/>
        <v>15650.87018868839</v>
      </c>
      <c r="Z173" s="524">
        <f t="shared" ca="1" si="54"/>
        <v>13740.831890575275</v>
      </c>
      <c r="AA173" s="524">
        <f t="shared" ca="1" si="54"/>
        <v>13818.671209481028</v>
      </c>
      <c r="AB173" s="524">
        <f t="shared" ca="1" si="54"/>
        <v>15897.788921575837</v>
      </c>
      <c r="AC173" s="524">
        <f t="shared" ca="1" si="54"/>
        <v>14258.585810791597</v>
      </c>
      <c r="AD173" s="524">
        <f t="shared" ca="1" si="54"/>
        <v>14220.162668899513</v>
      </c>
      <c r="AE173" s="524">
        <f t="shared" ca="1" si="54"/>
        <v>5664.0380079895931</v>
      </c>
      <c r="AF173" s="524">
        <f t="shared" ca="1" si="54"/>
        <v>200</v>
      </c>
      <c r="AG173" s="524">
        <f t="shared" ca="1" si="54"/>
        <v>0</v>
      </c>
    </row>
    <row r="174" spans="1:33" s="649" customFormat="1" ht="18" customHeight="1" outlineLevel="1" thickTop="1">
      <c r="A174" s="894"/>
      <c r="B174" s="287"/>
      <c r="C174" s="273"/>
      <c r="D174" s="287"/>
      <c r="E174" s="894"/>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E174" s="287"/>
      <c r="AF174" s="287"/>
      <c r="AG174" s="287"/>
    </row>
    <row r="175" spans="1:33" s="649" customFormat="1" ht="18" customHeight="1" outlineLevel="1">
      <c r="A175" s="894"/>
      <c r="B175" s="287"/>
      <c r="C175" s="273" t="s">
        <v>370</v>
      </c>
      <c r="D175" s="287"/>
      <c r="E175" s="287"/>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E175" s="287"/>
      <c r="AF175" s="287"/>
      <c r="AG175" s="287"/>
    </row>
    <row r="176" spans="1:33" s="649" customFormat="1" ht="18" customHeight="1" outlineLevel="1">
      <c r="A176" s="894"/>
      <c r="B176" s="287"/>
      <c r="C176" s="649" t="s">
        <v>140</v>
      </c>
      <c r="D176" s="8" t="str">
        <f>Currency_Label</f>
        <v>USD</v>
      </c>
      <c r="E176" s="40"/>
      <c r="F176" s="40"/>
      <c r="G176" s="40"/>
      <c r="H176" s="40"/>
      <c r="I176" s="122"/>
      <c r="J176" s="720">
        <f t="shared" ref="J176" si="55">I179</f>
        <v>0</v>
      </c>
      <c r="K176" s="720">
        <f t="shared" ref="K176:AG176" ca="1" si="56">J179</f>
        <v>4149.9999999999982</v>
      </c>
      <c r="L176" s="720">
        <f t="shared" ca="1" si="56"/>
        <v>4492</v>
      </c>
      <c r="M176" s="720">
        <f t="shared" ca="1" si="56"/>
        <v>4564.0200000000041</v>
      </c>
      <c r="N176" s="720">
        <f t="shared" ca="1" si="56"/>
        <v>4636.0602000000035</v>
      </c>
      <c r="O176" s="720">
        <f t="shared" ca="1" si="56"/>
        <v>4708.1208020000049</v>
      </c>
      <c r="P176" s="720">
        <f t="shared" ca="1" si="56"/>
        <v>4780.2020100200043</v>
      </c>
      <c r="Q176" s="720">
        <f t="shared" ca="1" si="56"/>
        <v>4852.3040301202091</v>
      </c>
      <c r="R176" s="720">
        <f t="shared" ca="1" si="56"/>
        <v>4924.4270704214141</v>
      </c>
      <c r="S176" s="720">
        <f t="shared" ca="1" si="56"/>
        <v>4996.5713411256329</v>
      </c>
      <c r="T176" s="720">
        <f t="shared" ca="1" si="56"/>
        <v>5068.7370545368904</v>
      </c>
      <c r="U176" s="720">
        <f t="shared" ca="1" si="56"/>
        <v>5140.9244250822612</v>
      </c>
      <c r="V176" s="720">
        <f t="shared" ca="1" si="56"/>
        <v>5213.133669333085</v>
      </c>
      <c r="W176" s="720">
        <f t="shared" ca="1" si="56"/>
        <v>5285.3650060264154</v>
      </c>
      <c r="X176" s="720">
        <f t="shared" ca="1" si="56"/>
        <v>5357.6186560866845</v>
      </c>
      <c r="Y176" s="720">
        <f t="shared" ca="1" si="56"/>
        <v>5429.8948426475508</v>
      </c>
      <c r="Z176" s="720">
        <f t="shared" ca="1" si="56"/>
        <v>5502.1937910740235</v>
      </c>
      <c r="AA176" s="720">
        <f t="shared" ca="1" si="56"/>
        <v>5574.515728984763</v>
      </c>
      <c r="AB176" s="720">
        <f t="shared" ca="1" si="56"/>
        <v>5646.8608862746041</v>
      </c>
      <c r="AC176" s="720">
        <f t="shared" ca="1" si="56"/>
        <v>5719.2294951373588</v>
      </c>
      <c r="AD176" s="720">
        <f t="shared" ca="1" si="56"/>
        <v>5791.6217900887259</v>
      </c>
      <c r="AE176" s="720">
        <f t="shared" ca="1" si="56"/>
        <v>5864.0380079896167</v>
      </c>
      <c r="AF176" s="720">
        <f t="shared" ca="1" si="56"/>
        <v>200.00000000002365</v>
      </c>
      <c r="AG176" s="720">
        <f t="shared" ca="1" si="56"/>
        <v>0</v>
      </c>
    </row>
    <row r="177" spans="1:33" s="649" customFormat="1" ht="18" customHeight="1" outlineLevel="1">
      <c r="A177" s="894"/>
      <c r="B177" s="287"/>
      <c r="C177" s="93" t="s">
        <v>232</v>
      </c>
      <c r="D177" s="8" t="str">
        <f>Currency_Label</f>
        <v>USD</v>
      </c>
      <c r="E177" s="40"/>
      <c r="F177" s="40"/>
      <c r="G177" s="40"/>
      <c r="H177" s="40"/>
      <c r="I177" s="71">
        <f>SUM(J177:AG177)</f>
        <v>290618.50756684033</v>
      </c>
      <c r="J177" s="720">
        <f>'Costs 03'!J72</f>
        <v>12442.439999999999</v>
      </c>
      <c r="K177" s="720">
        <f>'Costs 03'!K72</f>
        <v>12411.231000000003</v>
      </c>
      <c r="L177" s="720">
        <f>'Costs 03'!L72</f>
        <v>12487.079910000004</v>
      </c>
      <c r="M177" s="720">
        <f>'Costs 03'!M72</f>
        <v>12892.987309100001</v>
      </c>
      <c r="N177" s="720">
        <f>'Costs 03'!N72</f>
        <v>12638.953782191002</v>
      </c>
      <c r="O177" s="720">
        <f>'Costs 03'!O72</f>
        <v>12714.979920012909</v>
      </c>
      <c r="P177" s="720">
        <f>'Costs 03'!P72</f>
        <v>15291.466319213043</v>
      </c>
      <c r="Q177" s="720">
        <f>'Costs 03'!Q72</f>
        <v>12938.013582405172</v>
      </c>
      <c r="R177" s="720">
        <f>'Costs 03'!R72</f>
        <v>13394.222318229225</v>
      </c>
      <c r="S177" s="720">
        <f>'Costs 03'!S72</f>
        <v>15233.093141411515</v>
      </c>
      <c r="T177" s="720">
        <f>'Costs 03'!T72</f>
        <v>13309.826672825631</v>
      </c>
      <c r="U177" s="720">
        <f>'Costs 03'!U72</f>
        <v>13691.793539553884</v>
      </c>
      <c r="V177" s="720">
        <f>'Costs 03'!V72</f>
        <v>15440.074474949422</v>
      </c>
      <c r="W177" s="720">
        <f>'Costs 03'!W72</f>
        <v>13566.830219698924</v>
      </c>
      <c r="X177" s="720">
        <f>'Costs 03'!X72</f>
        <v>14144.461521895908</v>
      </c>
      <c r="Y177" s="720">
        <f>'Costs 03'!Y72</f>
        <v>15723.169137114863</v>
      </c>
      <c r="Z177" s="720">
        <f>'Costs 03'!Z72</f>
        <v>13813.153828486014</v>
      </c>
      <c r="AA177" s="720">
        <f>'Costs 03'!AA72</f>
        <v>13891.016366770869</v>
      </c>
      <c r="AB177" s="720">
        <f>'Costs 03'!AB72</f>
        <v>15970.157530438591</v>
      </c>
      <c r="AC177" s="720">
        <f>'Costs 03'!AC72</f>
        <v>14330.978105742965</v>
      </c>
      <c r="AD177" s="720">
        <f>'Costs 03'!AD72</f>
        <v>14292.578886800402</v>
      </c>
      <c r="AE177" s="720">
        <f>'Costs 03'!AE72</f>
        <v>0</v>
      </c>
      <c r="AF177" s="720">
        <f>'Costs 03'!AF72</f>
        <v>0</v>
      </c>
      <c r="AG177" s="720">
        <f>'Costs 03'!AG72</f>
        <v>0</v>
      </c>
    </row>
    <row r="178" spans="1:33" s="649" customFormat="1" ht="18" customHeight="1" outlineLevel="1">
      <c r="A178" s="894"/>
      <c r="B178" s="287"/>
      <c r="C178" s="24" t="s">
        <v>692</v>
      </c>
      <c r="D178" s="8" t="str">
        <f>Currency_Label</f>
        <v>USD</v>
      </c>
      <c r="E178" s="40"/>
      <c r="F178" s="40"/>
      <c r="G178" s="40"/>
      <c r="H178" s="40"/>
      <c r="I178" s="71">
        <f ca="1">SUM(J178:AG178)</f>
        <v>-290618.50756684033</v>
      </c>
      <c r="J178" s="720">
        <f t="shared" ref="J178:AG178" ca="1" si="57">-J173</f>
        <v>-8292.44</v>
      </c>
      <c r="K178" s="720">
        <f t="shared" ca="1" si="57"/>
        <v>-12069.231</v>
      </c>
      <c r="L178" s="720">
        <f t="shared" ca="1" si="57"/>
        <v>-12415.05991</v>
      </c>
      <c r="M178" s="720">
        <f t="shared" ca="1" si="57"/>
        <v>-12820.947109100001</v>
      </c>
      <c r="N178" s="720">
        <f t="shared" ca="1" si="57"/>
        <v>-12566.893180191</v>
      </c>
      <c r="O178" s="720">
        <f t="shared" ca="1" si="57"/>
        <v>-12642.89871199291</v>
      </c>
      <c r="P178" s="720">
        <f t="shared" ca="1" si="57"/>
        <v>-15219.36429911284</v>
      </c>
      <c r="Q178" s="720">
        <f t="shared" ca="1" si="57"/>
        <v>-12865.890542103967</v>
      </c>
      <c r="R178" s="720">
        <f t="shared" ca="1" si="57"/>
        <v>-13322.078047525007</v>
      </c>
      <c r="S178" s="720">
        <f t="shared" ca="1" si="57"/>
        <v>-15160.927428000257</v>
      </c>
      <c r="T178" s="720">
        <f t="shared" ca="1" si="57"/>
        <v>-13237.63930228026</v>
      </c>
      <c r="U178" s="720">
        <f t="shared" ca="1" si="57"/>
        <v>-13619.584295303062</v>
      </c>
      <c r="V178" s="720">
        <f t="shared" ca="1" si="57"/>
        <v>-15367.843138256092</v>
      </c>
      <c r="W178" s="720">
        <f t="shared" ca="1" si="57"/>
        <v>-13494.576569638655</v>
      </c>
      <c r="X178" s="720">
        <f t="shared" ca="1" si="57"/>
        <v>-14072.185335335042</v>
      </c>
      <c r="Y178" s="720">
        <f t="shared" ca="1" si="57"/>
        <v>-15650.87018868839</v>
      </c>
      <c r="Z178" s="720">
        <f t="shared" ca="1" si="57"/>
        <v>-13740.831890575275</v>
      </c>
      <c r="AA178" s="720">
        <f t="shared" ca="1" si="57"/>
        <v>-13818.671209481028</v>
      </c>
      <c r="AB178" s="720">
        <f t="shared" ca="1" si="57"/>
        <v>-15897.788921575837</v>
      </c>
      <c r="AC178" s="720">
        <f t="shared" ca="1" si="57"/>
        <v>-14258.585810791597</v>
      </c>
      <c r="AD178" s="720">
        <f t="shared" ca="1" si="57"/>
        <v>-14220.162668899513</v>
      </c>
      <c r="AE178" s="720">
        <f t="shared" ca="1" si="57"/>
        <v>-5664.0380079895931</v>
      </c>
      <c r="AF178" s="720">
        <f t="shared" ca="1" si="57"/>
        <v>-200</v>
      </c>
      <c r="AG178" s="720">
        <f t="shared" ca="1" si="57"/>
        <v>0</v>
      </c>
    </row>
    <row r="179" spans="1:33" s="649" customFormat="1" ht="18" customHeight="1" outlineLevel="1" thickBot="1">
      <c r="A179" s="894"/>
      <c r="B179" s="287"/>
      <c r="C179" s="649" t="s">
        <v>141</v>
      </c>
      <c r="D179" s="8" t="str">
        <f>Currency_Label</f>
        <v>USD</v>
      </c>
      <c r="E179" s="40"/>
      <c r="F179" s="40"/>
      <c r="G179" s="40"/>
      <c r="H179" s="696"/>
      <c r="I179" s="702"/>
      <c r="J179" s="524">
        <f t="shared" ref="J179:AG179" ca="1" si="58">IF(ABS(SUM(J176:J178))&lt;0.001,0,SUM(J176:J178))</f>
        <v>4149.9999999999982</v>
      </c>
      <c r="K179" s="524">
        <f t="shared" ca="1" si="58"/>
        <v>4492</v>
      </c>
      <c r="L179" s="524">
        <f t="shared" ca="1" si="58"/>
        <v>4564.0200000000041</v>
      </c>
      <c r="M179" s="524">
        <f t="shared" ca="1" si="58"/>
        <v>4636.0602000000035</v>
      </c>
      <c r="N179" s="524">
        <f t="shared" ca="1" si="58"/>
        <v>4708.1208020000049</v>
      </c>
      <c r="O179" s="524">
        <f t="shared" ca="1" si="58"/>
        <v>4780.2020100200043</v>
      </c>
      <c r="P179" s="524">
        <f t="shared" ca="1" si="58"/>
        <v>4852.3040301202091</v>
      </c>
      <c r="Q179" s="524">
        <f t="shared" ca="1" si="58"/>
        <v>4924.4270704214141</v>
      </c>
      <c r="R179" s="524">
        <f t="shared" ca="1" si="58"/>
        <v>4996.5713411256329</v>
      </c>
      <c r="S179" s="524">
        <f t="shared" ca="1" si="58"/>
        <v>5068.7370545368904</v>
      </c>
      <c r="T179" s="524">
        <f t="shared" ca="1" si="58"/>
        <v>5140.9244250822612</v>
      </c>
      <c r="U179" s="524">
        <f t="shared" ca="1" si="58"/>
        <v>5213.133669333085</v>
      </c>
      <c r="V179" s="524">
        <f t="shared" ca="1" si="58"/>
        <v>5285.3650060264154</v>
      </c>
      <c r="W179" s="524">
        <f t="shared" ca="1" si="58"/>
        <v>5357.6186560866845</v>
      </c>
      <c r="X179" s="524">
        <f t="shared" ca="1" si="58"/>
        <v>5429.8948426475508</v>
      </c>
      <c r="Y179" s="524">
        <f t="shared" ca="1" si="58"/>
        <v>5502.1937910740235</v>
      </c>
      <c r="Z179" s="524">
        <f t="shared" ca="1" si="58"/>
        <v>5574.515728984763</v>
      </c>
      <c r="AA179" s="524">
        <f t="shared" ca="1" si="58"/>
        <v>5646.8608862746041</v>
      </c>
      <c r="AB179" s="524">
        <f t="shared" ca="1" si="58"/>
        <v>5719.2294951373588</v>
      </c>
      <c r="AC179" s="524">
        <f t="shared" ca="1" si="58"/>
        <v>5791.6217900887259</v>
      </c>
      <c r="AD179" s="524">
        <f t="shared" ca="1" si="58"/>
        <v>5864.0380079896167</v>
      </c>
      <c r="AE179" s="524">
        <f t="shared" ca="1" si="58"/>
        <v>200.00000000002365</v>
      </c>
      <c r="AF179" s="524">
        <f t="shared" ca="1" si="58"/>
        <v>0</v>
      </c>
      <c r="AG179" s="524">
        <f t="shared" ca="1" si="58"/>
        <v>0</v>
      </c>
    </row>
    <row r="180" spans="1:33" s="649" customFormat="1" ht="18" customHeight="1" outlineLevel="1" thickTop="1">
      <c r="A180" s="894"/>
      <c r="B180" s="287"/>
      <c r="C180" s="273"/>
      <c r="D180" s="287"/>
      <c r="E180" s="894"/>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E180" s="287"/>
      <c r="AF180" s="287"/>
      <c r="AG180" s="287"/>
    </row>
    <row r="181" spans="1:33" s="649" customFormat="1" ht="18" customHeight="1" outlineLevel="1">
      <c r="A181" s="894"/>
      <c r="B181" s="287"/>
      <c r="C181" s="273" t="str">
        <f>Name_VAT &amp;" payments (overheads)"</f>
        <v>VAT payments (overheads)</v>
      </c>
      <c r="D181" s="279"/>
      <c r="E181" s="287" t="s">
        <v>245</v>
      </c>
      <c r="F181" s="287"/>
      <c r="G181" s="532" t="str">
        <f>Name_VAT &amp; " Rate"</f>
        <v>VAT Rate</v>
      </c>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E181" s="287"/>
      <c r="AF181" s="287"/>
      <c r="AG181" s="287"/>
    </row>
    <row r="182" spans="1:33" s="649" customFormat="1" ht="18" customHeight="1" outlineLevel="1">
      <c r="A182" s="894"/>
      <c r="B182" s="287"/>
      <c r="C182" s="24" t="str">
        <f>Name_VAT &amp;" on overheads (on cash paid basis)"</f>
        <v>VAT on overheads (on cash paid basis)</v>
      </c>
      <c r="D182" s="8" t="str">
        <f t="shared" ref="D182" si="59">Currency_Label</f>
        <v>USD</v>
      </c>
      <c r="E182" s="85">
        <f>Inputs!F191</f>
        <v>0.7</v>
      </c>
      <c r="F182" s="346"/>
      <c r="G182" s="85">
        <f>Inputs!I191</f>
        <v>0.2</v>
      </c>
      <c r="H182" s="346"/>
      <c r="I182" s="71">
        <f ca="1">SUM(J182:AG182)</f>
        <v>40686.591059357634</v>
      </c>
      <c r="J182" s="79">
        <f t="shared" ref="J182:AG182" ca="1" si="60">$E182*$G182*MAX(0,J173)</f>
        <v>1160.9415999999999</v>
      </c>
      <c r="K182" s="79">
        <f t="shared" ca="1" si="60"/>
        <v>1689.6923399999998</v>
      </c>
      <c r="L182" s="79">
        <f t="shared" ca="1" si="60"/>
        <v>1738.1083873999999</v>
      </c>
      <c r="M182" s="79">
        <f t="shared" ca="1" si="60"/>
        <v>1794.9325952740001</v>
      </c>
      <c r="N182" s="79">
        <f t="shared" ca="1" si="60"/>
        <v>1759.3650452267398</v>
      </c>
      <c r="O182" s="79">
        <f t="shared" ca="1" si="60"/>
        <v>1770.0058196790071</v>
      </c>
      <c r="P182" s="79">
        <f t="shared" ca="1" si="60"/>
        <v>2130.7110018757976</v>
      </c>
      <c r="Q182" s="79">
        <f t="shared" ca="1" si="60"/>
        <v>1801.2246758945553</v>
      </c>
      <c r="R182" s="79">
        <f t="shared" ca="1" si="60"/>
        <v>1865.0909266535007</v>
      </c>
      <c r="S182" s="79">
        <f t="shared" ca="1" si="60"/>
        <v>2122.529839920036</v>
      </c>
      <c r="T182" s="79">
        <f t="shared" ca="1" si="60"/>
        <v>1853.2695023192362</v>
      </c>
      <c r="U182" s="79">
        <f t="shared" ca="1" si="60"/>
        <v>1906.7418013424285</v>
      </c>
      <c r="V182" s="79">
        <f t="shared" ca="1" si="60"/>
        <v>2151.4980393558526</v>
      </c>
      <c r="W182" s="79">
        <f t="shared" ca="1" si="60"/>
        <v>1889.2407197494115</v>
      </c>
      <c r="X182" s="79">
        <f t="shared" ca="1" si="60"/>
        <v>1970.1059469469055</v>
      </c>
      <c r="Y182" s="79">
        <f t="shared" ca="1" si="60"/>
        <v>2191.1218264163745</v>
      </c>
      <c r="Z182" s="79">
        <f t="shared" ca="1" si="60"/>
        <v>1923.7164646805384</v>
      </c>
      <c r="AA182" s="79">
        <f t="shared" ca="1" si="60"/>
        <v>1934.6139693273437</v>
      </c>
      <c r="AB182" s="79">
        <f t="shared" ca="1" si="60"/>
        <v>2225.6904490206171</v>
      </c>
      <c r="AC182" s="79">
        <f t="shared" ca="1" si="60"/>
        <v>1996.2020135108235</v>
      </c>
      <c r="AD182" s="79">
        <f t="shared" ca="1" si="60"/>
        <v>1990.8227736459316</v>
      </c>
      <c r="AE182" s="79">
        <f t="shared" ca="1" si="60"/>
        <v>792.96532111854299</v>
      </c>
      <c r="AF182" s="79">
        <f t="shared" ca="1" si="60"/>
        <v>27.999999999999996</v>
      </c>
      <c r="AG182" s="79">
        <f t="shared" ca="1" si="60"/>
        <v>0</v>
      </c>
    </row>
    <row r="183" spans="1:33" s="649" customFormat="1" ht="18" customHeight="1" outlineLevel="1">
      <c r="A183" s="894"/>
      <c r="B183" s="287"/>
      <c r="C183" s="128"/>
      <c r="D183" s="275"/>
      <c r="E183" s="128"/>
      <c r="F183" s="128"/>
      <c r="G183" s="128"/>
      <c r="H183" s="128"/>
      <c r="I183" s="128"/>
      <c r="J183" s="332"/>
      <c r="K183" s="332"/>
      <c r="L183" s="332"/>
      <c r="M183" s="332"/>
      <c r="N183" s="332"/>
      <c r="O183" s="332"/>
      <c r="P183" s="332"/>
      <c r="Q183" s="332"/>
      <c r="R183" s="332"/>
      <c r="S183" s="332"/>
      <c r="T183" s="332"/>
      <c r="U183" s="332"/>
      <c r="V183" s="332"/>
      <c r="W183" s="332"/>
      <c r="X183" s="332"/>
      <c r="Y183" s="332"/>
      <c r="Z183" s="332"/>
      <c r="AA183" s="332"/>
      <c r="AB183" s="332"/>
      <c r="AC183" s="332"/>
      <c r="AD183" s="332"/>
      <c r="AE183" s="332"/>
      <c r="AF183" s="332"/>
      <c r="AG183" s="332"/>
    </row>
    <row r="184" spans="1:33" s="649" customFormat="1" ht="18" customHeight="1" outlineLevel="1">
      <c r="A184" s="894"/>
      <c r="B184" s="279">
        <v>5</v>
      </c>
      <c r="C184" s="279" t="str">
        <f>"Summary: " &amp;Name_VAT &amp;" owed by company"</f>
        <v>Summary: VAT owed by company</v>
      </c>
      <c r="D184" s="275"/>
      <c r="E184" s="128"/>
      <c r="F184" s="128"/>
      <c r="G184" s="128"/>
      <c r="H184" s="128"/>
      <c r="I184" s="128"/>
      <c r="J184" s="332"/>
      <c r="K184" s="332"/>
      <c r="L184" s="332"/>
      <c r="M184" s="332"/>
      <c r="N184" s="332"/>
      <c r="O184" s="332"/>
      <c r="P184" s="332"/>
      <c r="Q184" s="332"/>
      <c r="R184" s="332"/>
      <c r="S184" s="332"/>
      <c r="T184" s="332"/>
      <c r="U184" s="332"/>
      <c r="V184" s="332"/>
      <c r="W184" s="332"/>
      <c r="X184" s="332"/>
      <c r="Y184" s="332"/>
      <c r="Z184" s="332"/>
      <c r="AA184" s="332"/>
      <c r="AB184" s="332"/>
      <c r="AC184" s="332"/>
      <c r="AD184" s="332"/>
      <c r="AE184" s="332"/>
      <c r="AF184" s="332"/>
      <c r="AG184" s="332"/>
    </row>
    <row r="185" spans="1:33" s="649" customFormat="1" ht="18" customHeight="1" outlineLevel="1">
      <c r="A185" s="894"/>
      <c r="B185" s="287"/>
      <c r="C185" s="331" t="str">
        <f>"BS Account: " &amp;Name_VAT &amp;" owed to company"</f>
        <v>BS Account: VAT owed to company</v>
      </c>
      <c r="D185" s="342"/>
      <c r="E185" s="332"/>
      <c r="F185" s="332"/>
      <c r="G185" s="332"/>
      <c r="H185" s="332"/>
      <c r="I185" s="332"/>
      <c r="J185" s="332"/>
      <c r="K185" s="332"/>
      <c r="L185" s="332"/>
      <c r="M185" s="332"/>
      <c r="N185" s="332"/>
      <c r="O185" s="332"/>
      <c r="P185" s="332"/>
      <c r="Q185" s="332"/>
      <c r="R185" s="332"/>
      <c r="S185" s="332"/>
      <c r="T185" s="332"/>
      <c r="U185" s="332"/>
      <c r="V185" s="332"/>
      <c r="W185" s="332"/>
      <c r="X185" s="332"/>
      <c r="Y185" s="332"/>
      <c r="Z185" s="332"/>
      <c r="AA185" s="332"/>
      <c r="AB185" s="332"/>
      <c r="AC185" s="332"/>
      <c r="AD185" s="332"/>
      <c r="AE185" s="332"/>
      <c r="AF185" s="332"/>
      <c r="AG185" s="332"/>
    </row>
    <row r="186" spans="1:33" s="649" customFormat="1" ht="18" customHeight="1" outlineLevel="1">
      <c r="A186" s="894"/>
      <c r="B186" s="287"/>
      <c r="C186" s="649" t="s">
        <v>140</v>
      </c>
      <c r="D186" s="8" t="str">
        <f>Currency_Label</f>
        <v>USD</v>
      </c>
      <c r="E186" s="40"/>
      <c r="F186" s="40"/>
      <c r="G186" s="40"/>
      <c r="H186" s="40"/>
      <c r="I186" s="122"/>
      <c r="J186" s="720">
        <f t="shared" ref="J186" si="61">I189</f>
        <v>0</v>
      </c>
      <c r="K186" s="720">
        <f t="shared" ref="K186" ca="1" si="62">J189</f>
        <v>6659.741399999999</v>
      </c>
      <c r="L186" s="720">
        <f t="shared" ref="L186" ca="1" si="63">K189</f>
        <v>7176.7273499999992</v>
      </c>
      <c r="M186" s="720">
        <f t="shared" ref="M186" ca="1" si="64">L189</f>
        <v>7156.6931594999969</v>
      </c>
      <c r="N186" s="720">
        <f t="shared" ref="N186" ca="1" si="65">M189</f>
        <v>7184.0390270949974</v>
      </c>
      <c r="O186" s="720">
        <f t="shared" ref="O186" ca="1" si="66">N189</f>
        <v>7195.8851533659472</v>
      </c>
      <c r="P186" s="720">
        <f t="shared" ref="P186" ca="1" si="67">O189</f>
        <v>7207.7517408996046</v>
      </c>
      <c r="Q186" s="720">
        <f t="shared" ref="Q186" ca="1" si="68">P189</f>
        <v>7219.6389943085996</v>
      </c>
      <c r="R186" s="720">
        <f t="shared" ref="R186" ca="1" si="69">Q189</f>
        <v>6862.1871202516886</v>
      </c>
      <c r="S186" s="720">
        <f t="shared" ref="S186" ca="1" si="70">R189</f>
        <v>6959.7163274542017</v>
      </c>
      <c r="T186" s="720">
        <f t="shared" ref="T186" ca="1" si="71">S189</f>
        <v>7334.5468267287433</v>
      </c>
      <c r="U186" s="720">
        <f t="shared" ref="U186" ca="1" si="72">T189</f>
        <v>7213.7316309960297</v>
      </c>
      <c r="V186" s="720">
        <f t="shared" ref="V186" ca="1" si="73">U189</f>
        <v>7203.3381553059899</v>
      </c>
      <c r="W186" s="720">
        <f t="shared" ref="W186" ca="1" si="74">V189</f>
        <v>7215.353816859053</v>
      </c>
      <c r="X186" s="720">
        <f t="shared" ref="X186" ca="1" si="75">W189</f>
        <v>7227.3916350276468</v>
      </c>
      <c r="Y186" s="720">
        <f t="shared" ref="Y186" ca="1" si="76">X189</f>
        <v>7239.4518313779226</v>
      </c>
      <c r="Z186" s="720">
        <f t="shared" ref="Z186" ca="1" si="77">Y189</f>
        <v>7251.5346296917032</v>
      </c>
      <c r="AA186" s="720">
        <f t="shared" ref="AA186" ca="1" si="78">Z189</f>
        <v>7274.2002559886205</v>
      </c>
      <c r="AB186" s="720">
        <f t="shared" ref="AB186" ca="1" si="79">AA189</f>
        <v>7275.7689385485046</v>
      </c>
      <c r="AC186" s="720">
        <f t="shared" ref="AC186" ca="1" si="80">AB189</f>
        <v>7287.9209079339889</v>
      </c>
      <c r="AD186" s="720">
        <f t="shared" ref="AD186" ca="1" si="81">AC189</f>
        <v>7116.8963970133282</v>
      </c>
      <c r="AE186" s="720">
        <f t="shared" ref="AE186" ca="1" si="82">AD189</f>
        <v>8019.3956409834627</v>
      </c>
      <c r="AF186" s="720">
        <f t="shared" ref="AF186" ca="1" si="83">AE189</f>
        <v>452.1599999999944</v>
      </c>
      <c r="AG186" s="720">
        <f t="shared" ref="AG186" ca="1" si="84">AF189</f>
        <v>109.11999999999432</v>
      </c>
    </row>
    <row r="187" spans="1:33" s="649" customFormat="1" ht="18" customHeight="1" outlineLevel="1">
      <c r="A187" s="894"/>
      <c r="B187" s="287"/>
      <c r="C187" s="40" t="str">
        <f>"Input "&amp;Name_VAT</f>
        <v>Input VAT</v>
      </c>
      <c r="D187" s="8" t="str">
        <f>Currency_Label</f>
        <v>USD</v>
      </c>
      <c r="E187" s="40"/>
      <c r="F187" s="40"/>
      <c r="G187" s="40"/>
      <c r="H187" s="40"/>
      <c r="I187" s="71">
        <f>SUM(J187:AG187)</f>
        <v>293432.55685166823</v>
      </c>
      <c r="J187" s="722">
        <f>'Costs 01'!J216+'Costs 02'!J336+'Costs 03'!J73</f>
        <v>13547.904400000001</v>
      </c>
      <c r="K187" s="722">
        <f>'Costs 01'!K216+'Costs 02'!K336+'Costs 03'!K73</f>
        <v>13928.985110000001</v>
      </c>
      <c r="L187" s="722">
        <f>'Costs 01'!L216+'Costs 02'!L336+'Costs 03'!L73</f>
        <v>13658.319327100002</v>
      </c>
      <c r="M187" s="722">
        <f>'Costs 01'!M216+'Costs 02'!M336+'Costs 03'!M73</f>
        <v>13725.454886371001</v>
      </c>
      <c r="N187" s="722">
        <f>'Costs 01'!N216+'Costs 02'!N336+'Costs 03'!N73</f>
        <v>13700.610501234711</v>
      </c>
      <c r="O187" s="722">
        <f>'Costs 01'!O216+'Costs 02'!O336+'Costs 03'!O73</f>
        <v>13722.40580724706</v>
      </c>
      <c r="P187" s="722">
        <f>'Costs 01'!P216+'Costs 02'!P336+'Costs 03'!P73</f>
        <v>14234.74540806953</v>
      </c>
      <c r="Q187" s="722">
        <f>'Costs 01'!Q216+'Costs 02'!Q336+'Costs 03'!Q73</f>
        <v>13260.666923737725</v>
      </c>
      <c r="R187" s="722">
        <f>'Costs 01'!R216+'Costs 02'!R336+'Costs 03'!R73</f>
        <v>13463.809041341976</v>
      </c>
      <c r="S187" s="722">
        <f>'Costs 01'!S216+'Costs 02'!S336+'Costs 03'!S73</f>
        <v>14613.625568240615</v>
      </c>
      <c r="T187" s="722">
        <f>'Costs 01'!T216+'Costs 02'!T336+'Costs 03'!T73</f>
        <v>13903.457487932503</v>
      </c>
      <c r="U187" s="722">
        <f>'Costs 01'!U216+'Costs 02'!U336+'Costs 03'!U73</f>
        <v>13859.67631872178</v>
      </c>
      <c r="V187" s="722">
        <f>'Costs 01'!V216+'Costs 02'!V336+'Costs 03'!V73</f>
        <v>14261.572612314452</v>
      </c>
      <c r="W187" s="722">
        <f>'Costs 01'!W216+'Costs 02'!W336+'Costs 03'!W73</f>
        <v>13876.993083863321</v>
      </c>
      <c r="X187" s="722">
        <f>'Costs 01'!X216+'Costs 02'!X336+'Costs 03'!X73</f>
        <v>13976.272279898962</v>
      </c>
      <c r="Y187" s="722">
        <f>'Costs 01'!Y216+'Costs 02'!Y336+'Costs 03'!Y73</f>
        <v>14356.48424965481</v>
      </c>
      <c r="Z187" s="722">
        <f>'Costs 01'!Z216+'Costs 02'!Z336+'Costs 03'!Z73</f>
        <v>13996.204619956063</v>
      </c>
      <c r="AA187" s="722">
        <f>'Costs 01'!AA216+'Costs 02'!AA336+'Costs 03'!AA73</f>
        <v>14001.354673850561</v>
      </c>
      <c r="AB187" s="722">
        <f>'Costs 01'!AB216+'Costs 02'!AB336+'Costs 03'!AB73</f>
        <v>14453.985433168757</v>
      </c>
      <c r="AC187" s="722">
        <f>'Costs 01'!AC216+'Costs 02'!AC336+'Costs 03'!AC73</f>
        <v>13737.119745209113</v>
      </c>
      <c r="AD187" s="722">
        <f>'Costs 01'!AD216+'Costs 02'!AD336+'Costs 03'!AD73</f>
        <v>15152.909373755308</v>
      </c>
      <c r="AE187" s="722">
        <f>'Costs 01'!AE216+'Costs 02'!AE336+'Costs 03'!AE73</f>
        <v>0</v>
      </c>
      <c r="AF187" s="722">
        <f>'Costs 01'!AF216+'Costs 02'!AF336+'Costs 03'!AF73</f>
        <v>0</v>
      </c>
      <c r="AG187" s="722">
        <f>'Costs 01'!AG216+'Costs 02'!AG336+'Costs 03'!AG73</f>
        <v>0</v>
      </c>
    </row>
    <row r="188" spans="1:33" s="649" customFormat="1" ht="18" customHeight="1" outlineLevel="1">
      <c r="A188" s="894"/>
      <c r="B188" s="287"/>
      <c r="C188" s="40" t="str">
        <f>Name_VAT &amp;" paid"</f>
        <v>VAT paid</v>
      </c>
      <c r="D188" s="8" t="str">
        <f>Currency_Label</f>
        <v>USD</v>
      </c>
      <c r="E188" s="40"/>
      <c r="F188" s="40"/>
      <c r="G188" s="40"/>
      <c r="H188" s="40"/>
      <c r="I188" s="71">
        <f ca="1">SUM(J188:AG188)</f>
        <v>-293432.55685166823</v>
      </c>
      <c r="J188" s="720">
        <f ca="1">-(J77+J126+J182)</f>
        <v>-6888.1630000000023</v>
      </c>
      <c r="K188" s="720">
        <f t="shared" ref="K188:AG188" ca="1" si="85">-(K77+K126+K182)</f>
        <v>-13411.999160000001</v>
      </c>
      <c r="L188" s="720">
        <f t="shared" ca="1" si="85"/>
        <v>-13678.353517600002</v>
      </c>
      <c r="M188" s="720">
        <f t="shared" ca="1" si="85"/>
        <v>-13698.109018776002</v>
      </c>
      <c r="N188" s="720">
        <f t="shared" ca="1" si="85"/>
        <v>-13688.764374963761</v>
      </c>
      <c r="O188" s="720">
        <f t="shared" ca="1" si="85"/>
        <v>-13710.539219713401</v>
      </c>
      <c r="P188" s="720">
        <f t="shared" ca="1" si="85"/>
        <v>-14222.858154660535</v>
      </c>
      <c r="Q188" s="720">
        <f t="shared" ca="1" si="85"/>
        <v>-13618.118797794636</v>
      </c>
      <c r="R188" s="720">
        <f t="shared" ca="1" si="85"/>
        <v>-13366.279834139461</v>
      </c>
      <c r="S188" s="720">
        <f t="shared" ca="1" si="85"/>
        <v>-14238.795068966072</v>
      </c>
      <c r="T188" s="720">
        <f t="shared" ca="1" si="85"/>
        <v>-14024.272683665215</v>
      </c>
      <c r="U188" s="720">
        <f t="shared" ca="1" si="85"/>
        <v>-13870.06979441182</v>
      </c>
      <c r="V188" s="720">
        <f t="shared" ca="1" si="85"/>
        <v>-14249.556950761391</v>
      </c>
      <c r="W188" s="720">
        <f t="shared" ca="1" si="85"/>
        <v>-13864.955265694729</v>
      </c>
      <c r="X188" s="720">
        <f t="shared" ca="1" si="85"/>
        <v>-13964.212083548686</v>
      </c>
      <c r="Y188" s="720">
        <f t="shared" ca="1" si="85"/>
        <v>-14344.401451341031</v>
      </c>
      <c r="Z188" s="720">
        <f t="shared" ca="1" si="85"/>
        <v>-13973.538993659145</v>
      </c>
      <c r="AA188" s="720">
        <f t="shared" ca="1" si="85"/>
        <v>-13999.785991290677</v>
      </c>
      <c r="AB188" s="720">
        <f t="shared" ca="1" si="85"/>
        <v>-14441.83346378327</v>
      </c>
      <c r="AC188" s="720">
        <f t="shared" ca="1" si="85"/>
        <v>-13908.144256129772</v>
      </c>
      <c r="AD188" s="720">
        <f t="shared" ca="1" si="85"/>
        <v>-14250.410129785176</v>
      </c>
      <c r="AE188" s="720">
        <f t="shared" ca="1" si="85"/>
        <v>-7567.2356409834683</v>
      </c>
      <c r="AF188" s="720">
        <f t="shared" ca="1" si="85"/>
        <v>-343.04000000000008</v>
      </c>
      <c r="AG188" s="720">
        <f t="shared" ca="1" si="85"/>
        <v>-109.12000000000002</v>
      </c>
    </row>
    <row r="189" spans="1:33" s="649" customFormat="1" ht="18" customHeight="1" outlineLevel="1" thickBot="1">
      <c r="A189" s="894"/>
      <c r="B189" s="287"/>
      <c r="C189" s="649" t="s">
        <v>141</v>
      </c>
      <c r="D189" s="8" t="str">
        <f>Currency_Label</f>
        <v>USD</v>
      </c>
      <c r="E189" s="40"/>
      <c r="F189" s="40"/>
      <c r="G189" s="40"/>
      <c r="H189" s="40"/>
      <c r="I189" s="123"/>
      <c r="J189" s="524">
        <f t="shared" ref="J189:AG189" ca="1" si="86">IF(ABS(SUM(J186:J188))&lt;0.001,0,SUM(J186:J188))</f>
        <v>6659.741399999999</v>
      </c>
      <c r="K189" s="524">
        <f t="shared" ca="1" si="86"/>
        <v>7176.7273499999992</v>
      </c>
      <c r="L189" s="524">
        <f t="shared" ca="1" si="86"/>
        <v>7156.6931594999969</v>
      </c>
      <c r="M189" s="524">
        <f t="shared" ca="1" si="86"/>
        <v>7184.0390270949974</v>
      </c>
      <c r="N189" s="524">
        <f t="shared" ca="1" si="86"/>
        <v>7195.8851533659472</v>
      </c>
      <c r="O189" s="524">
        <f t="shared" ca="1" si="86"/>
        <v>7207.7517408996046</v>
      </c>
      <c r="P189" s="524">
        <f t="shared" ca="1" si="86"/>
        <v>7219.6389943085996</v>
      </c>
      <c r="Q189" s="524">
        <f t="shared" ca="1" si="86"/>
        <v>6862.1871202516886</v>
      </c>
      <c r="R189" s="524">
        <f t="shared" ca="1" si="86"/>
        <v>6959.7163274542017</v>
      </c>
      <c r="S189" s="524">
        <f t="shared" ca="1" si="86"/>
        <v>7334.5468267287433</v>
      </c>
      <c r="T189" s="524">
        <f t="shared" ca="1" si="86"/>
        <v>7213.7316309960297</v>
      </c>
      <c r="U189" s="524">
        <f t="shared" ca="1" si="86"/>
        <v>7203.3381553059899</v>
      </c>
      <c r="V189" s="524">
        <f t="shared" ca="1" si="86"/>
        <v>7215.353816859053</v>
      </c>
      <c r="W189" s="524">
        <f t="shared" ca="1" si="86"/>
        <v>7227.3916350276468</v>
      </c>
      <c r="X189" s="524">
        <f t="shared" ca="1" si="86"/>
        <v>7239.4518313779226</v>
      </c>
      <c r="Y189" s="524">
        <f t="shared" ca="1" si="86"/>
        <v>7251.5346296917032</v>
      </c>
      <c r="Z189" s="524">
        <f t="shared" ca="1" si="86"/>
        <v>7274.2002559886205</v>
      </c>
      <c r="AA189" s="524">
        <f t="shared" ca="1" si="86"/>
        <v>7275.7689385485046</v>
      </c>
      <c r="AB189" s="524">
        <f t="shared" ca="1" si="86"/>
        <v>7287.9209079339889</v>
      </c>
      <c r="AC189" s="524">
        <f t="shared" ca="1" si="86"/>
        <v>7116.8963970133282</v>
      </c>
      <c r="AD189" s="524">
        <f t="shared" ca="1" si="86"/>
        <v>8019.3956409834627</v>
      </c>
      <c r="AE189" s="524">
        <f t="shared" ca="1" si="86"/>
        <v>452.1599999999944</v>
      </c>
      <c r="AF189" s="524">
        <f t="shared" ca="1" si="86"/>
        <v>109.11999999999432</v>
      </c>
      <c r="AG189" s="524">
        <f t="shared" ca="1" si="86"/>
        <v>0</v>
      </c>
    </row>
    <row r="190" spans="1:33" s="649" customFormat="1" ht="18" customHeight="1" outlineLevel="1" thickTop="1">
      <c r="A190" s="894"/>
      <c r="B190" s="287"/>
      <c r="C190" s="128"/>
      <c r="D190" s="275"/>
      <c r="E190" s="128"/>
      <c r="F190" s="128"/>
      <c r="G190" s="128"/>
      <c r="H190" s="128"/>
      <c r="I190" s="128"/>
      <c r="J190" s="332"/>
      <c r="K190" s="332"/>
      <c r="L190" s="332"/>
      <c r="M190" s="332"/>
      <c r="N190" s="332"/>
      <c r="O190" s="332"/>
      <c r="P190" s="332"/>
      <c r="Q190" s="332"/>
      <c r="R190" s="332"/>
      <c r="S190" s="332"/>
      <c r="T190" s="332"/>
      <c r="U190" s="332"/>
      <c r="V190" s="332"/>
      <c r="W190" s="332"/>
      <c r="X190" s="332"/>
      <c r="Y190" s="332"/>
      <c r="Z190" s="332"/>
      <c r="AA190" s="332"/>
      <c r="AB190" s="332"/>
      <c r="AC190" s="332"/>
      <c r="AD190" s="332"/>
      <c r="AE190" s="332"/>
      <c r="AF190" s="332"/>
      <c r="AG190" s="332"/>
    </row>
    <row r="191" spans="1:33" s="649" customFormat="1" ht="21.75" customHeight="1" outlineLevel="1">
      <c r="A191" s="894"/>
      <c r="B191" s="279">
        <v>6</v>
      </c>
      <c r="C191" s="279" t="str">
        <f>CHOOSE(language,"Pay-as-you-earn (PAYE)","Payroll Withholdings")</f>
        <v>Payroll Withholdings</v>
      </c>
      <c r="D191" s="549"/>
      <c r="E191" s="128"/>
      <c r="F191" s="128"/>
      <c r="G191" s="128"/>
      <c r="H191" s="128"/>
      <c r="I191" s="128"/>
      <c r="J191" s="332"/>
      <c r="K191" s="332"/>
      <c r="L191" s="332"/>
      <c r="M191" s="332"/>
      <c r="N191" s="332"/>
      <c r="O191" s="332"/>
      <c r="P191" s="332"/>
      <c r="Q191" s="332"/>
      <c r="R191" s="332"/>
      <c r="S191" s="332"/>
      <c r="T191" s="332"/>
      <c r="U191" s="332"/>
      <c r="V191" s="332"/>
      <c r="W191" s="332"/>
      <c r="X191" s="332"/>
      <c r="Y191" s="332"/>
      <c r="Z191" s="332"/>
      <c r="AA191" s="332"/>
      <c r="AB191" s="332"/>
      <c r="AC191" s="332"/>
      <c r="AD191" s="332"/>
      <c r="AE191" s="332"/>
      <c r="AF191" s="332"/>
      <c r="AG191" s="332"/>
    </row>
    <row r="192" spans="1:33" s="649" customFormat="1" ht="18" customHeight="1" outlineLevel="1">
      <c r="A192" s="894"/>
      <c r="B192" s="287"/>
      <c r="C192" s="273" t="str">
        <f>CHOOSE(language,"BS Account: PAYE owed","BS Account: Payroll withholdings owed")</f>
        <v>BS Account: Payroll withholdings owed</v>
      </c>
      <c r="D192" s="549" t="s">
        <v>372</v>
      </c>
      <c r="E192" s="287"/>
      <c r="F192" s="287"/>
      <c r="G192" s="287"/>
      <c r="H192" s="287"/>
      <c r="I192" s="287"/>
      <c r="J192" s="287"/>
      <c r="K192" s="332"/>
      <c r="L192" s="332"/>
      <c r="M192" s="332"/>
      <c r="N192" s="332"/>
      <c r="O192" s="332"/>
      <c r="P192" s="332"/>
      <c r="Q192" s="332"/>
      <c r="R192" s="332"/>
      <c r="S192" s="332"/>
      <c r="T192" s="332"/>
      <c r="U192" s="332"/>
      <c r="V192" s="332"/>
      <c r="W192" s="332"/>
      <c r="X192" s="332"/>
      <c r="Y192" s="332"/>
      <c r="Z192" s="332"/>
      <c r="AA192" s="332"/>
      <c r="AB192" s="332"/>
      <c r="AC192" s="332"/>
      <c r="AD192" s="332"/>
      <c r="AE192" s="332"/>
      <c r="AF192" s="332"/>
      <c r="AG192" s="332"/>
    </row>
    <row r="193" spans="1:33" s="649" customFormat="1" ht="18" customHeight="1" outlineLevel="1">
      <c r="A193" s="894"/>
      <c r="B193" s="287"/>
      <c r="C193" s="649" t="s">
        <v>140</v>
      </c>
      <c r="D193" s="8" t="str">
        <f>Currency_Label</f>
        <v>USD</v>
      </c>
      <c r="E193" s="40"/>
      <c r="F193" s="40"/>
      <c r="G193" s="757" t="s">
        <v>46</v>
      </c>
      <c r="H193" s="40"/>
      <c r="I193" s="122"/>
      <c r="J193" s="720">
        <f t="shared" ref="J193" si="87">I196</f>
        <v>4500</v>
      </c>
      <c r="K193" s="720">
        <f t="shared" ref="K193:AG193" si="88">J196</f>
        <v>7937.5</v>
      </c>
      <c r="L193" s="720">
        <f t="shared" si="88"/>
        <v>7937.5</v>
      </c>
      <c r="M193" s="720">
        <f t="shared" si="88"/>
        <v>5437.5</v>
      </c>
      <c r="N193" s="720">
        <f t="shared" si="88"/>
        <v>5437.5</v>
      </c>
      <c r="O193" s="720">
        <f t="shared" si="88"/>
        <v>5437.5</v>
      </c>
      <c r="P193" s="720">
        <f t="shared" si="88"/>
        <v>5208.3333333333321</v>
      </c>
      <c r="Q193" s="720">
        <f t="shared" si="88"/>
        <v>5624.9999999999991</v>
      </c>
      <c r="R193" s="720">
        <f t="shared" si="88"/>
        <v>7604.1666666666661</v>
      </c>
      <c r="S193" s="720">
        <f t="shared" si="88"/>
        <v>7604.1666666666652</v>
      </c>
      <c r="T193" s="720">
        <f t="shared" si="88"/>
        <v>7604.1666666666652</v>
      </c>
      <c r="U193" s="720">
        <f t="shared" si="88"/>
        <v>8618.7499999999964</v>
      </c>
      <c r="V193" s="720">
        <f t="shared" si="88"/>
        <v>8618.7499999999964</v>
      </c>
      <c r="W193" s="720">
        <f t="shared" si="88"/>
        <v>8618.7499999999964</v>
      </c>
      <c r="X193" s="720">
        <f t="shared" si="88"/>
        <v>9472.9166666666642</v>
      </c>
      <c r="Y193" s="720">
        <f t="shared" si="88"/>
        <v>9472.9166666666642</v>
      </c>
      <c r="Z193" s="720">
        <f t="shared" si="88"/>
        <v>9472.9166666666642</v>
      </c>
      <c r="AA193" s="720">
        <f t="shared" si="88"/>
        <v>9472.9166666666642</v>
      </c>
      <c r="AB193" s="720">
        <f t="shared" si="88"/>
        <v>9472.9166666666642</v>
      </c>
      <c r="AC193" s="720">
        <f t="shared" si="88"/>
        <v>10220.312499999996</v>
      </c>
      <c r="AD193" s="720">
        <f t="shared" si="88"/>
        <v>10220.312499999996</v>
      </c>
      <c r="AE193" s="720">
        <f t="shared" si="88"/>
        <v>10220.312499999996</v>
      </c>
      <c r="AF193" s="720">
        <f t="shared" si="88"/>
        <v>0</v>
      </c>
      <c r="AG193" s="720">
        <f t="shared" si="88"/>
        <v>0</v>
      </c>
    </row>
    <row r="194" spans="1:33" s="649" customFormat="1" ht="18" customHeight="1" outlineLevel="1">
      <c r="A194" s="894"/>
      <c r="B194" s="287"/>
      <c r="C194" s="93" t="s">
        <v>232</v>
      </c>
      <c r="D194" s="8" t="str">
        <f>Currency_Label</f>
        <v>USD</v>
      </c>
      <c r="E194" s="40"/>
      <c r="F194" s="40"/>
      <c r="G194" s="71">
        <f>SUM(J194:AG194)</f>
        <v>154715.10416666669</v>
      </c>
      <c r="H194" s="40"/>
      <c r="I194" s="721"/>
      <c r="J194" s="720">
        <f>'Human Resources'!J114+'Costs 02'!J231</f>
        <v>3437.5000000000005</v>
      </c>
      <c r="K194" s="720">
        <f>'Human Resources'!K114+'Costs 02'!K231</f>
        <v>3437.5000000000005</v>
      </c>
      <c r="L194" s="720">
        <f>'Human Resources'!L114+'Costs 02'!L231</f>
        <v>3437.5000000000005</v>
      </c>
      <c r="M194" s="720">
        <f>'Human Resources'!M114+'Costs 02'!M231</f>
        <v>3437.5000000000005</v>
      </c>
      <c r="N194" s="720">
        <f>'Human Resources'!N114+'Costs 02'!N231</f>
        <v>3437.5000000000005</v>
      </c>
      <c r="O194" s="720">
        <f>'Human Resources'!O114+'Costs 02'!O231</f>
        <v>5208.333333333333</v>
      </c>
      <c r="P194" s="720">
        <f>'Human Resources'!P114+'Costs 02'!P231</f>
        <v>5625</v>
      </c>
      <c r="Q194" s="720">
        <f>'Human Resources'!Q114+'Costs 02'!Q231</f>
        <v>7604.166666666667</v>
      </c>
      <c r="R194" s="720">
        <f>'Human Resources'!R114+'Costs 02'!R231</f>
        <v>7604.166666666667</v>
      </c>
      <c r="S194" s="720">
        <f>'Human Resources'!S114+'Costs 02'!S231</f>
        <v>7604.166666666667</v>
      </c>
      <c r="T194" s="720">
        <f>'Human Resources'!T114+'Costs 02'!T231</f>
        <v>8618.75</v>
      </c>
      <c r="U194" s="720">
        <f>'Human Resources'!U114+'Costs 02'!U231</f>
        <v>8618.75</v>
      </c>
      <c r="V194" s="720">
        <f>'Human Resources'!V114+'Costs 02'!V231</f>
        <v>8618.75</v>
      </c>
      <c r="W194" s="720">
        <f>'Human Resources'!W114+'Costs 02'!W231</f>
        <v>9472.9166666666679</v>
      </c>
      <c r="X194" s="720">
        <f>'Human Resources'!X114+'Costs 02'!X231</f>
        <v>9472.9166666666679</v>
      </c>
      <c r="Y194" s="720">
        <f>'Human Resources'!Y114+'Costs 02'!Y231</f>
        <v>9472.9166666666679</v>
      </c>
      <c r="Z194" s="720">
        <f>'Human Resources'!Z114+'Costs 02'!Z231</f>
        <v>9472.9166666666679</v>
      </c>
      <c r="AA194" s="720">
        <f>'Human Resources'!AA114+'Costs 02'!AA231</f>
        <v>9472.9166666666679</v>
      </c>
      <c r="AB194" s="720">
        <f>'Human Resources'!AB114+'Costs 02'!AB231</f>
        <v>10220.3125</v>
      </c>
      <c r="AC194" s="720">
        <f>'Human Resources'!AC114+'Costs 02'!AC231</f>
        <v>10220.3125</v>
      </c>
      <c r="AD194" s="720">
        <f>'Human Resources'!AD114+'Costs 02'!AD231</f>
        <v>10220.3125</v>
      </c>
      <c r="AE194" s="720">
        <f>'Human Resources'!AE114+'Costs 02'!AE231</f>
        <v>0</v>
      </c>
      <c r="AF194" s="720">
        <f>'Human Resources'!AF114+'Costs 02'!AF231</f>
        <v>0</v>
      </c>
      <c r="AG194" s="720">
        <f>'Human Resources'!AG114+'Costs 02'!AG231</f>
        <v>0</v>
      </c>
    </row>
    <row r="195" spans="1:33" s="649" customFormat="1" ht="18" customHeight="1" outlineLevel="1">
      <c r="A195" s="894"/>
      <c r="B195" s="287"/>
      <c r="C195" s="24" t="s">
        <v>693</v>
      </c>
      <c r="D195" s="8" t="str">
        <f>Currency_Label</f>
        <v>USD</v>
      </c>
      <c r="E195" s="40"/>
      <c r="F195" s="40"/>
      <c r="G195" s="71">
        <f>SUM(J195:AG195)</f>
        <v>-159215.10416666669</v>
      </c>
      <c r="H195" s="40"/>
      <c r="J195" s="722">
        <f>-I194+Inputs!J327*J6</f>
        <v>0</v>
      </c>
      <c r="K195" s="722">
        <f>-J194+Inputs!K327*K6</f>
        <v>-3437.5000000000005</v>
      </c>
      <c r="L195" s="722">
        <f>-K194+Inputs!L327*L6</f>
        <v>-5937.5</v>
      </c>
      <c r="M195" s="722">
        <f>-L194+Inputs!M327*M6</f>
        <v>-3437.5000000000005</v>
      </c>
      <c r="N195" s="722">
        <f>-M194+Inputs!N327*N6</f>
        <v>-3437.5000000000005</v>
      </c>
      <c r="O195" s="722">
        <f>-N194+Inputs!O327*O6</f>
        <v>-5437.5</v>
      </c>
      <c r="P195" s="722">
        <f>-O194+Inputs!P327*P6</f>
        <v>-5208.333333333333</v>
      </c>
      <c r="Q195" s="722">
        <f>-P194+Inputs!Q327*Q6</f>
        <v>-5625</v>
      </c>
      <c r="R195" s="722">
        <f>-Q194+Inputs!R327*R6</f>
        <v>-7604.166666666667</v>
      </c>
      <c r="S195" s="722">
        <f>-R194+Inputs!S327*S6</f>
        <v>-7604.166666666667</v>
      </c>
      <c r="T195" s="722">
        <f>-S194+Inputs!T327*T6</f>
        <v>-7604.166666666667</v>
      </c>
      <c r="U195" s="722">
        <f>-T194+Inputs!U327*U6</f>
        <v>-8618.75</v>
      </c>
      <c r="V195" s="722">
        <f>-U194+Inputs!V327*V6</f>
        <v>-8618.75</v>
      </c>
      <c r="W195" s="722">
        <f>-V194+Inputs!W327*W6</f>
        <v>-8618.75</v>
      </c>
      <c r="X195" s="722">
        <f>-W194+Inputs!X327*X6</f>
        <v>-9472.9166666666679</v>
      </c>
      <c r="Y195" s="722">
        <f>-X194+Inputs!Y327*Y6</f>
        <v>-9472.9166666666679</v>
      </c>
      <c r="Z195" s="722">
        <f>-Y194+Inputs!Z327*Z6</f>
        <v>-9472.9166666666679</v>
      </c>
      <c r="AA195" s="722">
        <f>-Z194+Inputs!AA327*AA6</f>
        <v>-9472.9166666666679</v>
      </c>
      <c r="AB195" s="722">
        <f>-AA194+Inputs!AB327*AB6</f>
        <v>-9472.9166666666679</v>
      </c>
      <c r="AC195" s="722">
        <f>-AB194+Inputs!AC327*AC6</f>
        <v>-10220.3125</v>
      </c>
      <c r="AD195" s="722">
        <f>-AC194+Inputs!AD327*AD6</f>
        <v>-10220.3125</v>
      </c>
      <c r="AE195" s="722">
        <f>-AD194+Inputs!AE327*AE6</f>
        <v>-10220.3125</v>
      </c>
      <c r="AF195" s="722">
        <f>-AE194+Inputs!AF327*AF6</f>
        <v>0</v>
      </c>
      <c r="AG195" s="722">
        <f>-AF194+Inputs!AG327*AG6</f>
        <v>0</v>
      </c>
    </row>
    <row r="196" spans="1:33" s="649" customFormat="1" ht="18" customHeight="1" outlineLevel="1" thickBot="1">
      <c r="A196" s="894"/>
      <c r="B196" s="287"/>
      <c r="C196" s="649" t="s">
        <v>141</v>
      </c>
      <c r="D196" s="8" t="str">
        <f>Currency_Label</f>
        <v>USD</v>
      </c>
      <c r="E196" s="40"/>
      <c r="F196" s="40"/>
      <c r="G196" s="40"/>
      <c r="H196" s="696"/>
      <c r="I196" s="147">
        <f>Inputs!F239</f>
        <v>4500</v>
      </c>
      <c r="J196" s="524">
        <f>SUM(J193:J195)</f>
        <v>7937.5</v>
      </c>
      <c r="K196" s="524">
        <f t="shared" ref="K196:AG196" si="89">SUM(K193:K195)</f>
        <v>7937.5</v>
      </c>
      <c r="L196" s="524">
        <f t="shared" si="89"/>
        <v>5437.5</v>
      </c>
      <c r="M196" s="524">
        <f t="shared" si="89"/>
        <v>5437.5</v>
      </c>
      <c r="N196" s="524">
        <f t="shared" si="89"/>
        <v>5437.5</v>
      </c>
      <c r="O196" s="524">
        <f t="shared" si="89"/>
        <v>5208.3333333333321</v>
      </c>
      <c r="P196" s="524">
        <f t="shared" si="89"/>
        <v>5624.9999999999991</v>
      </c>
      <c r="Q196" s="524">
        <f t="shared" si="89"/>
        <v>7604.1666666666661</v>
      </c>
      <c r="R196" s="524">
        <f t="shared" si="89"/>
        <v>7604.1666666666652</v>
      </c>
      <c r="S196" s="524">
        <f t="shared" si="89"/>
        <v>7604.1666666666652</v>
      </c>
      <c r="T196" s="524">
        <f t="shared" si="89"/>
        <v>8618.7499999999964</v>
      </c>
      <c r="U196" s="524">
        <f t="shared" si="89"/>
        <v>8618.7499999999964</v>
      </c>
      <c r="V196" s="524">
        <f t="shared" si="89"/>
        <v>8618.7499999999964</v>
      </c>
      <c r="W196" s="524">
        <f t="shared" si="89"/>
        <v>9472.9166666666642</v>
      </c>
      <c r="X196" s="524">
        <f t="shared" si="89"/>
        <v>9472.9166666666642</v>
      </c>
      <c r="Y196" s="524">
        <f t="shared" si="89"/>
        <v>9472.9166666666642</v>
      </c>
      <c r="Z196" s="524">
        <f t="shared" si="89"/>
        <v>9472.9166666666642</v>
      </c>
      <c r="AA196" s="524">
        <f t="shared" si="89"/>
        <v>9472.9166666666642</v>
      </c>
      <c r="AB196" s="524">
        <f t="shared" si="89"/>
        <v>10220.312499999996</v>
      </c>
      <c r="AC196" s="524">
        <f t="shared" si="89"/>
        <v>10220.312499999996</v>
      </c>
      <c r="AD196" s="524">
        <f t="shared" si="89"/>
        <v>10220.312499999996</v>
      </c>
      <c r="AE196" s="524">
        <f t="shared" si="89"/>
        <v>0</v>
      </c>
      <c r="AF196" s="524">
        <f t="shared" si="89"/>
        <v>0</v>
      </c>
      <c r="AG196" s="524">
        <f t="shared" si="89"/>
        <v>0</v>
      </c>
    </row>
    <row r="197" spans="1:33" s="649" customFormat="1" ht="18" customHeight="1" outlineLevel="1" thickTop="1">
      <c r="A197" s="894"/>
      <c r="B197" s="287"/>
      <c r="C197" s="287"/>
      <c r="D197" s="287"/>
      <c r="E197" s="287"/>
      <c r="F197" s="287"/>
      <c r="G197" s="128"/>
      <c r="H197" s="128"/>
      <c r="I197" s="128"/>
      <c r="J197" s="332"/>
      <c r="K197" s="332"/>
      <c r="L197" s="332"/>
      <c r="M197" s="332"/>
      <c r="N197" s="332"/>
      <c r="O197" s="332"/>
      <c r="P197" s="332"/>
      <c r="Q197" s="332"/>
      <c r="R197" s="332"/>
      <c r="S197" s="332"/>
      <c r="T197" s="332"/>
      <c r="U197" s="332"/>
      <c r="V197" s="332"/>
      <c r="W197" s="332"/>
      <c r="X197" s="332"/>
      <c r="Y197" s="332"/>
      <c r="Z197" s="332"/>
      <c r="AA197" s="332"/>
      <c r="AB197" s="332"/>
      <c r="AC197" s="332"/>
      <c r="AD197" s="332"/>
      <c r="AE197" s="332"/>
      <c r="AF197" s="332"/>
      <c r="AG197" s="332"/>
    </row>
    <row r="198" spans="1:33" s="649" customFormat="1" ht="18" customHeight="1" outlineLevel="1">
      <c r="A198" s="894"/>
      <c r="B198" s="287"/>
      <c r="C198" s="128"/>
      <c r="D198" s="275"/>
      <c r="E198" s="128"/>
      <c r="F198" s="128"/>
      <c r="G198" s="128"/>
      <c r="H198" s="128"/>
      <c r="I198" s="128"/>
      <c r="J198" s="332"/>
      <c r="K198" s="332"/>
      <c r="L198" s="332"/>
      <c r="M198" s="332"/>
      <c r="N198" s="332"/>
      <c r="O198" s="332"/>
      <c r="P198" s="332"/>
      <c r="Q198" s="332"/>
      <c r="R198" s="332"/>
      <c r="S198" s="332"/>
      <c r="T198" s="332"/>
      <c r="U198" s="332"/>
      <c r="V198" s="332"/>
      <c r="W198" s="332"/>
      <c r="X198" s="332"/>
      <c r="Y198" s="332"/>
      <c r="Z198" s="332"/>
      <c r="AA198" s="332"/>
      <c r="AB198" s="332"/>
      <c r="AC198" s="332"/>
      <c r="AD198" s="332"/>
      <c r="AE198" s="332"/>
      <c r="AF198" s="332"/>
      <c r="AG198" s="332"/>
    </row>
    <row r="199" spans="1:33" s="117" customFormat="1" ht="26.25" customHeight="1" thickBot="1">
      <c r="A199" s="323"/>
      <c r="B199" s="323"/>
      <c r="C199" s="323" t="s">
        <v>53</v>
      </c>
      <c r="D199" s="1134" t="s">
        <v>987</v>
      </c>
      <c r="E199" s="323"/>
      <c r="F199" s="323"/>
      <c r="G199" s="323"/>
      <c r="H199" s="323"/>
      <c r="I199" s="323"/>
      <c r="J199" s="323"/>
      <c r="K199" s="323"/>
      <c r="L199" s="323"/>
      <c r="M199" s="323"/>
      <c r="N199" s="323"/>
      <c r="O199" s="323"/>
      <c r="P199" s="323"/>
      <c r="Q199" s="323"/>
      <c r="R199" s="323"/>
      <c r="S199" s="323"/>
      <c r="T199" s="323"/>
      <c r="U199" s="323"/>
      <c r="V199" s="323"/>
      <c r="W199" s="323"/>
      <c r="X199" s="323"/>
      <c r="Y199" s="323"/>
      <c r="Z199" s="323"/>
      <c r="AA199" s="323"/>
      <c r="AB199" s="323"/>
      <c r="AC199" s="323"/>
      <c r="AD199" s="323"/>
      <c r="AE199" s="323"/>
      <c r="AF199" s="323"/>
      <c r="AG199" s="323"/>
    </row>
    <row r="200" spans="1:33" ht="18.75" customHeight="1" outlineLevel="1">
      <c r="A200" s="894"/>
      <c r="B200" s="894"/>
      <c r="C200" s="830" t="s">
        <v>659</v>
      </c>
      <c r="D200" s="8"/>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row>
    <row r="201" spans="1:33" ht="18.75" customHeight="1" outlineLevel="1">
      <c r="A201" s="894"/>
      <c r="B201" s="894"/>
      <c r="C201" s="830" t="s">
        <v>660</v>
      </c>
      <c r="D201" s="8"/>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row>
    <row r="202" spans="1:33" ht="18.75" customHeight="1" outlineLevel="1">
      <c r="A202" s="894"/>
      <c r="B202" s="894"/>
      <c r="C202" s="830" t="str">
        <f>CHOOSE(language,"Trade debtors","Accounts receivables")</f>
        <v>Accounts receivables</v>
      </c>
      <c r="D202" s="8"/>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row>
    <row r="203" spans="1:33" ht="18.75" customHeight="1" outlineLevel="1">
      <c r="A203" s="894"/>
      <c r="B203" s="894"/>
      <c r="C203" s="121" t="s">
        <v>662</v>
      </c>
      <c r="D203" s="8"/>
      <c r="E203" s="40"/>
      <c r="F203" s="40"/>
      <c r="G203" s="40"/>
      <c r="H203" s="696"/>
      <c r="I203" s="696"/>
      <c r="J203" s="696"/>
      <c r="K203" s="696"/>
      <c r="L203" s="696"/>
      <c r="M203" s="696"/>
      <c r="N203" s="696"/>
      <c r="O203" s="696"/>
      <c r="P203" s="696"/>
      <c r="Q203" s="696"/>
      <c r="R203" s="696"/>
      <c r="S203" s="696"/>
      <c r="T203" s="696"/>
      <c r="U203" s="696"/>
      <c r="V203" s="696"/>
      <c r="W203" s="696"/>
      <c r="X203" s="696"/>
      <c r="Y203" s="696"/>
      <c r="Z203" s="696"/>
      <c r="AA203" s="696"/>
      <c r="AB203" s="696"/>
      <c r="AC203" s="696"/>
      <c r="AD203" s="696"/>
      <c r="AE203" s="696"/>
      <c r="AF203" s="696"/>
      <c r="AG203" s="696"/>
    </row>
    <row r="204" spans="1:33" s="203" customFormat="1" ht="18.75" customHeight="1" outlineLevel="1">
      <c r="A204" s="894"/>
      <c r="B204" s="894"/>
      <c r="C204" s="128"/>
      <c r="D204" s="275"/>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row>
    <row r="205" spans="1:33" ht="18.75" customHeight="1" outlineLevel="1">
      <c r="A205" s="894"/>
      <c r="B205" s="894"/>
      <c r="C205" s="830" t="s">
        <v>664</v>
      </c>
      <c r="D205" s="8"/>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row>
    <row r="206" spans="1:33" ht="18.75" customHeight="1" outlineLevel="1">
      <c r="A206" s="894"/>
      <c r="B206" s="894"/>
      <c r="C206" s="830" t="s">
        <v>696</v>
      </c>
      <c r="D206" s="8"/>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row>
    <row r="207" spans="1:33" ht="18.75" customHeight="1" outlineLevel="1">
      <c r="A207" s="894"/>
      <c r="B207" s="894"/>
      <c r="C207" s="121" t="s">
        <v>661</v>
      </c>
      <c r="D207" s="8"/>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row>
    <row r="208" spans="1:33" ht="18.75" customHeight="1" outlineLevel="1">
      <c r="A208" s="894"/>
      <c r="B208" s="894"/>
      <c r="C208" s="128"/>
      <c r="D208" s="275"/>
      <c r="E208" s="894"/>
      <c r="F208" s="894"/>
      <c r="G208" s="894"/>
      <c r="H208" s="894"/>
      <c r="I208" s="894"/>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row>
    <row r="209" spans="1:33" ht="18.75" customHeight="1" outlineLevel="1">
      <c r="A209" s="894"/>
      <c r="B209" s="894"/>
      <c r="C209" s="121" t="s">
        <v>663</v>
      </c>
      <c r="D209" s="8"/>
      <c r="E209" s="40"/>
      <c r="F209" s="40"/>
      <c r="G209" s="40"/>
      <c r="H209" s="696"/>
      <c r="I209" s="696"/>
      <c r="J209" s="696"/>
      <c r="K209" s="696"/>
      <c r="L209" s="696"/>
      <c r="M209" s="696"/>
      <c r="N209" s="696"/>
      <c r="O209" s="696"/>
      <c r="P209" s="696"/>
      <c r="Q209" s="696"/>
      <c r="R209" s="696"/>
      <c r="S209" s="696"/>
      <c r="T209" s="696"/>
      <c r="U209" s="696"/>
      <c r="V209" s="696"/>
      <c r="W209" s="696"/>
      <c r="X209" s="696"/>
      <c r="Y209" s="696"/>
      <c r="Z209" s="696"/>
      <c r="AA209" s="696"/>
      <c r="AB209" s="696"/>
      <c r="AC209" s="696"/>
      <c r="AD209" s="696"/>
      <c r="AE209" s="696"/>
      <c r="AF209" s="696"/>
      <c r="AG209" s="696"/>
    </row>
    <row r="210" spans="1:33" ht="18.75" customHeight="1" outlineLevel="1">
      <c r="A210" s="894"/>
      <c r="B210" s="287"/>
      <c r="C210" s="287"/>
      <c r="D210" s="287"/>
      <c r="E210" s="287"/>
      <c r="F210" s="287"/>
      <c r="G210" s="287"/>
      <c r="H210" s="287"/>
      <c r="I210" s="894"/>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row>
    <row r="211" spans="1:33" ht="16.5" customHeight="1">
      <c r="A211" s="894"/>
      <c r="B211" s="287"/>
      <c r="C211" s="128"/>
      <c r="D211" s="275"/>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row>
    <row r="212" spans="1:33" ht="16.5" customHeight="1">
      <c r="A212" s="894"/>
      <c r="B212" s="287"/>
      <c r="C212" s="128"/>
      <c r="D212" s="275"/>
      <c r="E212" s="128"/>
      <c r="F212" s="128"/>
      <c r="G212" s="128"/>
      <c r="H212" s="128"/>
      <c r="I212" s="128"/>
      <c r="J212" s="332"/>
      <c r="K212" s="332"/>
      <c r="L212" s="332"/>
      <c r="M212" s="332"/>
      <c r="N212" s="332"/>
      <c r="O212" s="332"/>
      <c r="P212" s="332"/>
      <c r="Q212" s="332"/>
      <c r="R212" s="332"/>
      <c r="S212" s="332"/>
      <c r="T212" s="332"/>
      <c r="U212" s="332"/>
      <c r="V212" s="332"/>
      <c r="W212" s="332"/>
      <c r="X212" s="332"/>
      <c r="Y212" s="332"/>
      <c r="Z212" s="332"/>
      <c r="AA212" s="332"/>
      <c r="AB212" s="332"/>
      <c r="AC212" s="332"/>
      <c r="AD212" s="332"/>
      <c r="AE212" s="332"/>
      <c r="AF212" s="332"/>
      <c r="AG212" s="332"/>
    </row>
    <row r="213" spans="1:33" ht="16.5" customHeight="1">
      <c r="A213" s="894"/>
      <c r="B213" s="894"/>
      <c r="C213" s="128"/>
      <c r="D213" s="275"/>
      <c r="E213" s="128"/>
      <c r="F213" s="128"/>
      <c r="G213" s="128"/>
      <c r="H213" s="128"/>
      <c r="I213" s="332"/>
      <c r="J213" s="332"/>
      <c r="K213" s="332"/>
      <c r="L213" s="332"/>
      <c r="M213" s="332"/>
      <c r="N213" s="332"/>
      <c r="O213" s="332"/>
      <c r="P213" s="332"/>
      <c r="Q213" s="332"/>
      <c r="R213" s="332"/>
      <c r="S213" s="332"/>
      <c r="T213" s="332"/>
      <c r="U213" s="332"/>
      <c r="V213" s="332"/>
      <c r="W213" s="332"/>
      <c r="X213" s="332"/>
      <c r="Y213" s="332"/>
      <c r="Z213" s="332"/>
      <c r="AA213" s="332"/>
      <c r="AB213" s="332"/>
      <c r="AC213" s="332"/>
      <c r="AD213" s="332"/>
      <c r="AE213" s="332"/>
      <c r="AF213" s="332"/>
      <c r="AG213" s="332"/>
    </row>
    <row r="214" spans="1:33" ht="16.5" customHeight="1">
      <c r="A214" s="894"/>
      <c r="B214" s="894"/>
      <c r="C214" s="128"/>
      <c r="D214" s="275"/>
      <c r="E214" s="128"/>
      <c r="F214" s="128"/>
      <c r="G214" s="128"/>
      <c r="H214" s="128"/>
      <c r="I214" s="332"/>
      <c r="J214" s="332"/>
      <c r="K214" s="332"/>
      <c r="L214" s="332"/>
      <c r="M214" s="332"/>
      <c r="N214" s="332"/>
      <c r="O214" s="332"/>
      <c r="P214" s="332"/>
      <c r="Q214" s="332"/>
      <c r="R214" s="332"/>
      <c r="S214" s="332"/>
      <c r="T214" s="332"/>
      <c r="U214" s="332"/>
      <c r="V214" s="332"/>
      <c r="W214" s="332"/>
      <c r="X214" s="332"/>
      <c r="Y214" s="332"/>
      <c r="Z214" s="332"/>
      <c r="AA214" s="332"/>
      <c r="AB214" s="332"/>
      <c r="AC214" s="332"/>
      <c r="AD214" s="332"/>
      <c r="AE214" s="332"/>
      <c r="AF214" s="332"/>
      <c r="AG214" s="332"/>
    </row>
    <row r="215" spans="1:33" ht="16.5" customHeight="1">
      <c r="A215" s="894"/>
      <c r="B215" s="894"/>
      <c r="C215" s="128"/>
      <c r="D215" s="275"/>
      <c r="E215" s="128"/>
      <c r="F215" s="128"/>
      <c r="G215" s="128"/>
      <c r="H215" s="128"/>
      <c r="I215" s="332"/>
      <c r="J215" s="332"/>
      <c r="K215" s="332"/>
      <c r="L215" s="332"/>
      <c r="M215" s="332"/>
      <c r="N215" s="332"/>
      <c r="O215" s="332"/>
      <c r="P215" s="332"/>
      <c r="Q215" s="332"/>
      <c r="R215" s="332"/>
      <c r="S215" s="332"/>
      <c r="T215" s="332"/>
      <c r="U215" s="332"/>
      <c r="V215" s="332"/>
      <c r="W215" s="332"/>
      <c r="X215" s="332"/>
      <c r="Y215" s="332"/>
      <c r="Z215" s="332"/>
      <c r="AA215" s="332"/>
      <c r="AB215" s="332"/>
      <c r="AC215" s="332"/>
      <c r="AD215" s="332"/>
      <c r="AE215" s="332"/>
      <c r="AF215" s="332"/>
      <c r="AG215" s="332"/>
    </row>
    <row r="216" spans="1:33" ht="16.5" customHeight="1">
      <c r="A216" s="894"/>
      <c r="B216" s="894"/>
      <c r="C216" s="128"/>
      <c r="D216" s="275"/>
      <c r="E216" s="128"/>
      <c r="F216" s="128"/>
      <c r="G216" s="128"/>
      <c r="H216" s="128"/>
      <c r="I216" s="332"/>
      <c r="J216" s="332"/>
      <c r="K216" s="332"/>
      <c r="L216" s="332"/>
      <c r="M216" s="332"/>
      <c r="N216" s="332"/>
      <c r="O216" s="332"/>
      <c r="P216" s="332"/>
      <c r="Q216" s="332"/>
      <c r="R216" s="332"/>
      <c r="S216" s="332"/>
      <c r="T216" s="332"/>
      <c r="U216" s="332"/>
      <c r="V216" s="332"/>
      <c r="W216" s="332"/>
      <c r="X216" s="332"/>
      <c r="Y216" s="332"/>
      <c r="Z216" s="332"/>
      <c r="AA216" s="332"/>
      <c r="AB216" s="332"/>
      <c r="AC216" s="332"/>
      <c r="AD216" s="332"/>
      <c r="AE216" s="332"/>
      <c r="AF216" s="332"/>
      <c r="AG216" s="332"/>
    </row>
    <row r="217" spans="1:33" ht="16.5" customHeight="1">
      <c r="A217" s="894"/>
      <c r="B217" s="894"/>
      <c r="C217" s="128"/>
      <c r="D217" s="275"/>
      <c r="E217" s="128"/>
      <c r="F217" s="128"/>
      <c r="G217" s="128"/>
      <c r="H217" s="128"/>
      <c r="I217" s="332"/>
      <c r="J217" s="332"/>
      <c r="K217" s="332"/>
      <c r="L217" s="332"/>
      <c r="M217" s="332"/>
      <c r="N217" s="332"/>
      <c r="O217" s="332"/>
      <c r="P217" s="332"/>
      <c r="Q217" s="332"/>
      <c r="R217" s="332"/>
      <c r="S217" s="332"/>
      <c r="T217" s="332"/>
      <c r="U217" s="332"/>
      <c r="V217" s="332"/>
      <c r="W217" s="332"/>
      <c r="X217" s="332"/>
      <c r="Y217" s="332"/>
      <c r="Z217" s="332"/>
      <c r="AA217" s="332"/>
      <c r="AB217" s="332"/>
      <c r="AC217" s="332"/>
      <c r="AD217" s="332"/>
      <c r="AE217" s="332"/>
      <c r="AF217" s="332"/>
      <c r="AG217" s="332"/>
    </row>
    <row r="218" spans="1:33" ht="16.5" customHeight="1">
      <c r="A218" s="894"/>
      <c r="B218" s="894"/>
      <c r="C218" s="128"/>
      <c r="D218" s="275"/>
      <c r="E218" s="128"/>
      <c r="F218" s="128"/>
      <c r="G218" s="128"/>
      <c r="H218" s="128"/>
      <c r="I218" s="332"/>
      <c r="J218" s="332"/>
      <c r="K218" s="332"/>
      <c r="L218" s="332"/>
      <c r="M218" s="332"/>
      <c r="N218" s="332"/>
      <c r="O218" s="332"/>
      <c r="P218" s="332"/>
      <c r="Q218" s="332"/>
      <c r="R218" s="332"/>
      <c r="S218" s="332"/>
      <c r="T218" s="332"/>
      <c r="U218" s="332"/>
      <c r="V218" s="332"/>
      <c r="W218" s="332"/>
      <c r="X218" s="332"/>
      <c r="Y218" s="332"/>
      <c r="Z218" s="332"/>
      <c r="AA218" s="332"/>
      <c r="AB218" s="332"/>
      <c r="AC218" s="332"/>
      <c r="AD218" s="332"/>
      <c r="AE218" s="332"/>
      <c r="AF218" s="332"/>
      <c r="AG218" s="332"/>
    </row>
    <row r="219" spans="1:33" ht="16.5" customHeight="1">
      <c r="A219" s="894"/>
      <c r="B219" s="894"/>
      <c r="C219" s="128"/>
      <c r="D219" s="275"/>
      <c r="E219" s="128"/>
      <c r="F219" s="128"/>
      <c r="G219" s="128"/>
      <c r="H219" s="128"/>
      <c r="I219" s="332"/>
      <c r="J219" s="332"/>
      <c r="K219" s="332"/>
      <c r="L219" s="332"/>
      <c r="M219" s="332"/>
      <c r="N219" s="332"/>
      <c r="O219" s="332"/>
      <c r="P219" s="332"/>
      <c r="Q219" s="332"/>
      <c r="R219" s="332"/>
      <c r="S219" s="332"/>
      <c r="T219" s="332"/>
      <c r="U219" s="332"/>
      <c r="V219" s="332"/>
      <c r="W219" s="332"/>
      <c r="X219" s="332"/>
      <c r="Y219" s="332"/>
      <c r="Z219" s="332"/>
      <c r="AA219" s="332"/>
      <c r="AB219" s="332"/>
      <c r="AC219" s="332"/>
      <c r="AD219" s="332"/>
      <c r="AE219" s="332"/>
      <c r="AF219" s="332"/>
      <c r="AG219" s="332"/>
    </row>
    <row r="220" spans="1:33" ht="16.5" customHeight="1">
      <c r="A220" s="894"/>
      <c r="B220" s="894"/>
      <c r="C220" s="128"/>
      <c r="D220" s="275"/>
      <c r="E220" s="128"/>
      <c r="F220" s="128"/>
      <c r="G220" s="128"/>
      <c r="H220" s="128"/>
      <c r="I220" s="332"/>
      <c r="J220" s="332"/>
      <c r="K220" s="332"/>
      <c r="L220" s="332"/>
      <c r="M220" s="332"/>
      <c r="N220" s="332"/>
      <c r="O220" s="332"/>
      <c r="P220" s="332"/>
      <c r="Q220" s="332"/>
      <c r="R220" s="332"/>
      <c r="S220" s="332"/>
      <c r="T220" s="332"/>
      <c r="U220" s="332"/>
      <c r="V220" s="332"/>
      <c r="W220" s="332"/>
      <c r="X220" s="332"/>
      <c r="Y220" s="332"/>
      <c r="Z220" s="332"/>
      <c r="AA220" s="332"/>
      <c r="AB220" s="332"/>
      <c r="AC220" s="332"/>
      <c r="AD220" s="332"/>
      <c r="AE220" s="332"/>
      <c r="AF220" s="332"/>
      <c r="AG220" s="332"/>
    </row>
    <row r="221" spans="1:33" ht="16.5" customHeight="1">
      <c r="A221" s="894"/>
      <c r="B221" s="894"/>
      <c r="C221" s="128"/>
      <c r="D221" s="275"/>
      <c r="E221" s="128"/>
      <c r="F221" s="128"/>
      <c r="G221" s="128"/>
      <c r="H221" s="128"/>
      <c r="I221" s="332"/>
      <c r="J221" s="332"/>
      <c r="K221" s="332"/>
      <c r="L221" s="332"/>
      <c r="M221" s="332"/>
      <c r="N221" s="332"/>
      <c r="O221" s="332"/>
      <c r="P221" s="332"/>
      <c r="Q221" s="332"/>
      <c r="R221" s="332"/>
      <c r="S221" s="332"/>
      <c r="T221" s="332"/>
      <c r="U221" s="332"/>
      <c r="V221" s="332"/>
      <c r="W221" s="332"/>
      <c r="X221" s="332"/>
      <c r="Y221" s="332"/>
      <c r="Z221" s="332"/>
      <c r="AA221" s="332"/>
      <c r="AB221" s="332"/>
      <c r="AC221" s="332"/>
      <c r="AD221" s="332"/>
      <c r="AE221" s="332"/>
      <c r="AF221" s="332"/>
      <c r="AG221" s="332"/>
    </row>
    <row r="222" spans="1:33" ht="16.5" customHeight="1">
      <c r="A222" s="894"/>
      <c r="B222" s="894"/>
      <c r="C222" s="128"/>
      <c r="D222" s="275"/>
      <c r="E222" s="128"/>
      <c r="F222" s="128"/>
      <c r="G222" s="128"/>
      <c r="H222" s="128"/>
      <c r="I222" s="332"/>
      <c r="J222" s="332"/>
      <c r="K222" s="332"/>
      <c r="L222" s="332"/>
      <c r="M222" s="332"/>
      <c r="N222" s="332"/>
      <c r="O222" s="332"/>
      <c r="P222" s="332"/>
      <c r="Q222" s="332"/>
      <c r="R222" s="332"/>
      <c r="S222" s="332"/>
      <c r="T222" s="332"/>
      <c r="U222" s="332"/>
      <c r="V222" s="332"/>
      <c r="W222" s="332"/>
      <c r="X222" s="332"/>
      <c r="Y222" s="332"/>
      <c r="Z222" s="332"/>
      <c r="AA222" s="332"/>
      <c r="AB222" s="332"/>
      <c r="AC222" s="332"/>
      <c r="AD222" s="332"/>
      <c r="AE222" s="332"/>
      <c r="AF222" s="332"/>
      <c r="AG222" s="332"/>
    </row>
    <row r="223" spans="1:33" ht="16.5" customHeight="1">
      <c r="A223" s="894"/>
      <c r="B223" s="894"/>
      <c r="C223" s="128"/>
      <c r="D223" s="275"/>
      <c r="E223" s="128"/>
      <c r="F223" s="128"/>
      <c r="G223" s="128"/>
      <c r="H223" s="128"/>
      <c r="I223" s="332"/>
      <c r="J223" s="332"/>
      <c r="K223" s="332"/>
      <c r="L223" s="332"/>
      <c r="M223" s="332"/>
      <c r="N223" s="332"/>
      <c r="O223" s="332"/>
      <c r="P223" s="332"/>
      <c r="Q223" s="332"/>
      <c r="R223" s="332"/>
      <c r="S223" s="332"/>
      <c r="T223" s="332"/>
      <c r="U223" s="332"/>
      <c r="V223" s="332"/>
      <c r="W223" s="332"/>
      <c r="X223" s="332"/>
      <c r="Y223" s="332"/>
      <c r="Z223" s="332"/>
      <c r="AA223" s="332"/>
      <c r="AB223" s="332"/>
      <c r="AC223" s="332"/>
      <c r="AD223" s="332"/>
      <c r="AE223" s="332"/>
      <c r="AF223" s="332"/>
      <c r="AG223" s="332"/>
    </row>
    <row r="224" spans="1:33" ht="16.5" customHeight="1">
      <c r="A224" s="894"/>
      <c r="B224" s="894"/>
      <c r="C224" s="128"/>
      <c r="D224" s="275"/>
      <c r="E224" s="128"/>
      <c r="F224" s="128"/>
      <c r="G224" s="128"/>
      <c r="H224" s="128"/>
      <c r="I224" s="332"/>
      <c r="J224" s="332"/>
      <c r="K224" s="332"/>
      <c r="L224" s="332"/>
      <c r="M224" s="332"/>
      <c r="N224" s="332"/>
      <c r="O224" s="332"/>
      <c r="P224" s="332"/>
      <c r="Q224" s="332"/>
      <c r="R224" s="332"/>
      <c r="S224" s="332"/>
      <c r="T224" s="332"/>
      <c r="U224" s="332"/>
      <c r="V224" s="332"/>
      <c r="W224" s="332"/>
      <c r="X224" s="332"/>
      <c r="Y224" s="332"/>
      <c r="Z224" s="332"/>
      <c r="AA224" s="332"/>
      <c r="AB224" s="332"/>
      <c r="AC224" s="332"/>
      <c r="AD224" s="332"/>
      <c r="AE224" s="332"/>
      <c r="AF224" s="332"/>
      <c r="AG224" s="332"/>
    </row>
    <row r="225" spans="1:33" ht="16.5" customHeight="1">
      <c r="A225" s="894"/>
      <c r="B225" s="894"/>
      <c r="C225" s="128"/>
      <c r="D225" s="275"/>
      <c r="E225" s="128"/>
      <c r="F225" s="128"/>
      <c r="G225" s="128"/>
      <c r="H225" s="128"/>
      <c r="I225" s="332"/>
      <c r="J225" s="332"/>
      <c r="K225" s="332"/>
      <c r="L225" s="332"/>
      <c r="M225" s="332"/>
      <c r="N225" s="332"/>
      <c r="O225" s="332"/>
      <c r="P225" s="332"/>
      <c r="Q225" s="332"/>
      <c r="R225" s="332"/>
      <c r="S225" s="332"/>
      <c r="T225" s="332"/>
      <c r="U225" s="332"/>
      <c r="V225" s="332"/>
      <c r="W225" s="332"/>
      <c r="X225" s="332"/>
      <c r="Y225" s="332"/>
      <c r="Z225" s="332"/>
      <c r="AA225" s="332"/>
      <c r="AB225" s="332"/>
      <c r="AC225" s="332"/>
      <c r="AD225" s="332"/>
      <c r="AE225" s="332"/>
      <c r="AF225" s="332"/>
      <c r="AG225" s="332"/>
    </row>
    <row r="226" spans="1:33" ht="16.5" customHeight="1">
      <c r="A226" s="894"/>
      <c r="B226" s="894"/>
      <c r="C226" s="128"/>
      <c r="D226" s="275"/>
      <c r="E226" s="128"/>
      <c r="F226" s="128"/>
      <c r="G226" s="128"/>
      <c r="H226" s="128"/>
      <c r="I226" s="332"/>
      <c r="J226" s="332"/>
      <c r="K226" s="332"/>
      <c r="L226" s="332"/>
      <c r="M226" s="332"/>
      <c r="N226" s="332"/>
      <c r="O226" s="332"/>
      <c r="P226" s="332"/>
      <c r="Q226" s="332"/>
      <c r="R226" s="332"/>
      <c r="S226" s="332"/>
      <c r="T226" s="332"/>
      <c r="U226" s="332"/>
      <c r="V226" s="332"/>
      <c r="W226" s="332"/>
      <c r="X226" s="332"/>
      <c r="Y226" s="332"/>
      <c r="Z226" s="332"/>
      <c r="AA226" s="332"/>
      <c r="AB226" s="332"/>
      <c r="AC226" s="332"/>
      <c r="AD226" s="332"/>
      <c r="AE226" s="332"/>
      <c r="AF226" s="332"/>
      <c r="AG226" s="332"/>
    </row>
    <row r="227" spans="1:33" ht="16.5" customHeight="1">
      <c r="A227" s="894"/>
      <c r="B227" s="894"/>
      <c r="C227" s="128"/>
      <c r="D227" s="275"/>
      <c r="E227" s="128"/>
      <c r="F227" s="128"/>
      <c r="G227" s="128"/>
      <c r="H227" s="128"/>
      <c r="I227" s="332"/>
      <c r="J227" s="332"/>
      <c r="K227" s="332"/>
      <c r="L227" s="332"/>
      <c r="M227" s="332"/>
      <c r="N227" s="332"/>
      <c r="O227" s="332"/>
      <c r="P227" s="332"/>
      <c r="Q227" s="332"/>
      <c r="R227" s="332"/>
      <c r="S227" s="332"/>
      <c r="T227" s="332"/>
      <c r="U227" s="332"/>
      <c r="V227" s="332"/>
      <c r="W227" s="332"/>
      <c r="X227" s="332"/>
      <c r="Y227" s="332"/>
      <c r="Z227" s="332"/>
      <c r="AA227" s="332"/>
      <c r="AB227" s="332"/>
      <c r="AC227" s="332"/>
      <c r="AD227" s="332"/>
      <c r="AE227" s="332"/>
      <c r="AF227" s="332"/>
      <c r="AG227" s="332"/>
    </row>
    <row r="228" spans="1:33" ht="16.5" customHeight="1">
      <c r="A228" s="894"/>
      <c r="B228" s="894"/>
      <c r="C228" s="128"/>
      <c r="D228" s="275"/>
      <c r="E228" s="128"/>
      <c r="F228" s="128"/>
      <c r="G228" s="128"/>
      <c r="H228" s="128"/>
      <c r="I228" s="332"/>
      <c r="J228" s="332"/>
      <c r="K228" s="332"/>
      <c r="L228" s="332"/>
      <c r="M228" s="332"/>
      <c r="N228" s="332"/>
      <c r="O228" s="332"/>
      <c r="P228" s="332"/>
      <c r="Q228" s="332"/>
      <c r="R228" s="332"/>
      <c r="S228" s="332"/>
      <c r="T228" s="332"/>
      <c r="U228" s="332"/>
      <c r="V228" s="332"/>
      <c r="W228" s="332"/>
      <c r="X228" s="332"/>
      <c r="Y228" s="332"/>
      <c r="Z228" s="332"/>
      <c r="AA228" s="332"/>
      <c r="AB228" s="332"/>
      <c r="AC228" s="332"/>
      <c r="AD228" s="332"/>
      <c r="AE228" s="332"/>
      <c r="AF228" s="332"/>
      <c r="AG228" s="332"/>
    </row>
    <row r="229" spans="1:33" ht="16.5" customHeight="1">
      <c r="A229" s="894"/>
      <c r="B229" s="894"/>
      <c r="C229" s="128"/>
      <c r="D229" s="275"/>
      <c r="E229" s="128"/>
      <c r="F229" s="128"/>
      <c r="G229" s="128"/>
      <c r="H229" s="128"/>
      <c r="I229" s="332"/>
      <c r="J229" s="332"/>
      <c r="K229" s="332"/>
      <c r="L229" s="332"/>
      <c r="M229" s="332"/>
      <c r="N229" s="332"/>
      <c r="O229" s="332"/>
      <c r="P229" s="332"/>
      <c r="Q229" s="332"/>
      <c r="R229" s="332"/>
      <c r="S229" s="332"/>
      <c r="T229" s="332"/>
      <c r="U229" s="332"/>
      <c r="V229" s="332"/>
      <c r="W229" s="332"/>
      <c r="X229" s="332"/>
      <c r="Y229" s="332"/>
      <c r="Z229" s="332"/>
      <c r="AA229" s="332"/>
      <c r="AB229" s="332"/>
      <c r="AC229" s="332"/>
      <c r="AD229" s="332"/>
      <c r="AE229" s="332"/>
      <c r="AF229" s="332"/>
      <c r="AG229" s="332"/>
    </row>
    <row r="230" spans="1:33" ht="16.5" customHeight="1">
      <c r="A230" s="894"/>
      <c r="B230" s="894"/>
      <c r="C230" s="128"/>
      <c r="D230" s="275"/>
      <c r="E230" s="128"/>
      <c r="F230" s="128"/>
      <c r="G230" s="128"/>
      <c r="H230" s="128"/>
      <c r="I230" s="332"/>
      <c r="J230" s="332"/>
      <c r="K230" s="332"/>
      <c r="L230" s="332"/>
      <c r="M230" s="332"/>
      <c r="N230" s="332"/>
      <c r="O230" s="332"/>
      <c r="P230" s="332"/>
      <c r="Q230" s="332"/>
      <c r="R230" s="332"/>
      <c r="S230" s="332"/>
      <c r="T230" s="332"/>
      <c r="U230" s="332"/>
      <c r="V230" s="332"/>
      <c r="W230" s="332"/>
      <c r="X230" s="332"/>
      <c r="Y230" s="332"/>
      <c r="Z230" s="332"/>
      <c r="AA230" s="332"/>
      <c r="AB230" s="332"/>
      <c r="AC230" s="332"/>
      <c r="AD230" s="332"/>
      <c r="AE230" s="332"/>
      <c r="AF230" s="332"/>
      <c r="AG230" s="332"/>
    </row>
    <row r="231" spans="1:33" ht="16.5" customHeight="1">
      <c r="A231" s="894"/>
      <c r="B231" s="894"/>
      <c r="C231" s="128"/>
      <c r="D231" s="275"/>
      <c r="E231" s="128"/>
      <c r="F231" s="128"/>
      <c r="G231" s="128"/>
      <c r="H231" s="128"/>
      <c r="I231" s="332"/>
      <c r="J231" s="332"/>
      <c r="K231" s="332"/>
      <c r="L231" s="332"/>
      <c r="M231" s="332"/>
      <c r="N231" s="332"/>
      <c r="O231" s="332"/>
      <c r="P231" s="332"/>
      <c r="Q231" s="332"/>
      <c r="R231" s="332"/>
      <c r="S231" s="332"/>
      <c r="T231" s="332"/>
      <c r="U231" s="332"/>
      <c r="V231" s="332"/>
      <c r="W231" s="332"/>
      <c r="X231" s="332"/>
      <c r="Y231" s="332"/>
      <c r="Z231" s="332"/>
      <c r="AA231" s="332"/>
      <c r="AB231" s="332"/>
      <c r="AC231" s="332"/>
      <c r="AD231" s="332"/>
      <c r="AE231" s="332"/>
      <c r="AF231" s="332"/>
      <c r="AG231" s="332"/>
    </row>
    <row r="232" spans="1:33" ht="16.5" customHeight="1">
      <c r="A232" s="894"/>
      <c r="B232" s="894"/>
      <c r="C232" s="128"/>
      <c r="D232" s="275"/>
      <c r="E232" s="128"/>
      <c r="F232" s="128"/>
      <c r="G232" s="128"/>
      <c r="H232" s="128"/>
      <c r="I232" s="332"/>
      <c r="J232" s="332"/>
      <c r="K232" s="332"/>
      <c r="L232" s="332"/>
      <c r="M232" s="332"/>
      <c r="N232" s="332"/>
      <c r="O232" s="332"/>
      <c r="P232" s="332"/>
      <c r="Q232" s="332"/>
      <c r="R232" s="332"/>
      <c r="S232" s="332"/>
      <c r="T232" s="332"/>
      <c r="U232" s="332"/>
      <c r="V232" s="332"/>
      <c r="W232" s="332"/>
      <c r="X232" s="332"/>
      <c r="Y232" s="332"/>
      <c r="Z232" s="332"/>
      <c r="AA232" s="332"/>
      <c r="AB232" s="332"/>
      <c r="AC232" s="332"/>
      <c r="AD232" s="332"/>
      <c r="AE232" s="332"/>
      <c r="AF232" s="332"/>
      <c r="AG232" s="332"/>
    </row>
    <row r="233" spans="1:33" ht="16.5" customHeight="1">
      <c r="A233" s="894"/>
      <c r="B233" s="894"/>
      <c r="C233" s="128"/>
      <c r="D233" s="275"/>
      <c r="E233" s="128"/>
      <c r="F233" s="128"/>
      <c r="G233" s="128"/>
      <c r="H233" s="128"/>
      <c r="I233" s="332"/>
      <c r="J233" s="332"/>
      <c r="K233" s="332"/>
      <c r="L233" s="332"/>
      <c r="M233" s="332"/>
      <c r="N233" s="332"/>
      <c r="O233" s="332"/>
      <c r="P233" s="332"/>
      <c r="Q233" s="332"/>
      <c r="R233" s="332"/>
      <c r="S233" s="332"/>
      <c r="T233" s="332"/>
      <c r="U233" s="332"/>
      <c r="V233" s="332"/>
      <c r="W233" s="332"/>
      <c r="X233" s="332"/>
      <c r="Y233" s="332"/>
      <c r="Z233" s="332"/>
      <c r="AA233" s="332"/>
      <c r="AB233" s="332"/>
      <c r="AC233" s="332"/>
      <c r="AD233" s="332"/>
      <c r="AE233" s="332"/>
      <c r="AF233" s="332"/>
      <c r="AG233" s="332"/>
    </row>
    <row r="234" spans="1:33" ht="16.5" customHeight="1">
      <c r="A234" s="894"/>
      <c r="B234" s="894"/>
      <c r="C234" s="128"/>
      <c r="D234" s="275"/>
      <c r="E234" s="128"/>
      <c r="F234" s="128"/>
      <c r="G234" s="128"/>
      <c r="H234" s="128"/>
      <c r="I234" s="332"/>
      <c r="J234" s="332"/>
      <c r="K234" s="332"/>
      <c r="L234" s="332"/>
      <c r="M234" s="332"/>
      <c r="N234" s="332"/>
      <c r="O234" s="332"/>
      <c r="P234" s="332"/>
      <c r="Q234" s="332"/>
      <c r="R234" s="332"/>
      <c r="S234" s="332"/>
      <c r="T234" s="332"/>
      <c r="U234" s="332"/>
      <c r="V234" s="332"/>
      <c r="W234" s="332"/>
      <c r="X234" s="332"/>
      <c r="Y234" s="332"/>
      <c r="Z234" s="332"/>
      <c r="AA234" s="332"/>
      <c r="AB234" s="332"/>
      <c r="AC234" s="332"/>
      <c r="AD234" s="332"/>
      <c r="AE234" s="332"/>
      <c r="AF234" s="332"/>
      <c r="AG234" s="332"/>
    </row>
    <row r="235" spans="1:33" ht="16.5" customHeight="1">
      <c r="A235" s="894"/>
      <c r="B235" s="894"/>
      <c r="C235" s="128"/>
      <c r="D235" s="275"/>
      <c r="E235" s="128"/>
      <c r="F235" s="128"/>
      <c r="G235" s="128"/>
      <c r="H235" s="128"/>
      <c r="I235" s="332"/>
      <c r="J235" s="332"/>
      <c r="K235" s="332"/>
      <c r="L235" s="332"/>
      <c r="M235" s="332"/>
      <c r="N235" s="332"/>
      <c r="O235" s="332"/>
      <c r="P235" s="332"/>
      <c r="Q235" s="332"/>
      <c r="R235" s="332"/>
      <c r="S235" s="332"/>
      <c r="T235" s="332"/>
      <c r="U235" s="332"/>
      <c r="V235" s="332"/>
      <c r="W235" s="332"/>
      <c r="X235" s="332"/>
      <c r="Y235" s="332"/>
      <c r="Z235" s="332"/>
      <c r="AA235" s="332"/>
      <c r="AB235" s="332"/>
      <c r="AC235" s="332"/>
      <c r="AD235" s="332"/>
      <c r="AE235" s="332"/>
      <c r="AF235" s="332"/>
      <c r="AG235" s="332"/>
    </row>
    <row r="236" spans="1:33" ht="16.5" customHeight="1">
      <c r="A236" s="894"/>
      <c r="B236" s="894"/>
      <c r="C236" s="128"/>
      <c r="D236" s="275"/>
      <c r="E236" s="128"/>
      <c r="F236" s="128"/>
      <c r="G236" s="128"/>
      <c r="H236" s="128"/>
      <c r="I236" s="332"/>
      <c r="J236" s="332"/>
      <c r="K236" s="332"/>
      <c r="L236" s="332"/>
      <c r="M236" s="332"/>
      <c r="N236" s="332"/>
      <c r="O236" s="332"/>
      <c r="P236" s="332"/>
      <c r="Q236" s="332"/>
      <c r="R236" s="332"/>
      <c r="S236" s="332"/>
      <c r="T236" s="332"/>
      <c r="U236" s="332"/>
      <c r="V236" s="332"/>
      <c r="W236" s="332"/>
      <c r="X236" s="332"/>
      <c r="Y236" s="332"/>
      <c r="Z236" s="332"/>
      <c r="AA236" s="332"/>
      <c r="AB236" s="332"/>
      <c r="AC236" s="332"/>
      <c r="AD236" s="332"/>
      <c r="AE236" s="332"/>
      <c r="AF236" s="332"/>
      <c r="AG236" s="332"/>
    </row>
    <row r="237" spans="1:33" ht="16.5" customHeight="1">
      <c r="A237" s="894"/>
      <c r="B237" s="894"/>
      <c r="C237" s="128"/>
      <c r="D237" s="275"/>
      <c r="E237" s="128"/>
      <c r="F237" s="128"/>
      <c r="G237" s="128"/>
      <c r="H237" s="128"/>
      <c r="I237" s="332"/>
      <c r="J237" s="332"/>
      <c r="K237" s="332"/>
      <c r="L237" s="332"/>
      <c r="M237" s="332"/>
      <c r="N237" s="332"/>
      <c r="O237" s="332"/>
      <c r="P237" s="332"/>
      <c r="Q237" s="332"/>
      <c r="R237" s="332"/>
      <c r="S237" s="332"/>
      <c r="T237" s="332"/>
      <c r="U237" s="332"/>
      <c r="V237" s="332"/>
      <c r="W237" s="332"/>
      <c r="X237" s="332"/>
      <c r="Y237" s="332"/>
      <c r="Z237" s="332"/>
      <c r="AA237" s="332"/>
      <c r="AB237" s="332"/>
      <c r="AC237" s="332"/>
      <c r="AD237" s="332"/>
      <c r="AE237" s="332"/>
      <c r="AF237" s="332"/>
      <c r="AG237" s="332"/>
    </row>
    <row r="238" spans="1:33" ht="16.5" customHeight="1">
      <c r="A238" s="894"/>
      <c r="B238" s="894"/>
      <c r="C238" s="128"/>
      <c r="D238" s="275"/>
      <c r="E238" s="128"/>
      <c r="F238" s="128"/>
      <c r="G238" s="128"/>
      <c r="H238" s="128"/>
      <c r="I238" s="332"/>
      <c r="J238" s="332"/>
      <c r="K238" s="332"/>
      <c r="L238" s="332"/>
      <c r="M238" s="332"/>
      <c r="N238" s="332"/>
      <c r="O238" s="332"/>
      <c r="P238" s="332"/>
      <c r="Q238" s="332"/>
      <c r="R238" s="332"/>
      <c r="S238" s="332"/>
      <c r="T238" s="332"/>
      <c r="U238" s="332"/>
      <c r="V238" s="332"/>
      <c r="W238" s="332"/>
      <c r="X238" s="332"/>
      <c r="Y238" s="332"/>
      <c r="Z238" s="332"/>
      <c r="AA238" s="332"/>
      <c r="AB238" s="332"/>
      <c r="AC238" s="332"/>
      <c r="AD238" s="332"/>
      <c r="AE238" s="332"/>
      <c r="AF238" s="332"/>
      <c r="AG238" s="332"/>
    </row>
    <row r="239" spans="1:33" ht="16.5" customHeight="1">
      <c r="A239" s="894"/>
      <c r="B239" s="894"/>
      <c r="C239" s="128"/>
      <c r="D239" s="275"/>
      <c r="E239" s="128"/>
      <c r="F239" s="128"/>
      <c r="G239" s="128"/>
      <c r="H239" s="128"/>
      <c r="I239" s="332"/>
      <c r="J239" s="332"/>
      <c r="K239" s="332"/>
      <c r="L239" s="332"/>
      <c r="M239" s="332"/>
      <c r="N239" s="332"/>
      <c r="O239" s="332"/>
      <c r="P239" s="332"/>
      <c r="Q239" s="332"/>
      <c r="R239" s="332"/>
      <c r="S239" s="332"/>
      <c r="T239" s="332"/>
      <c r="U239" s="332"/>
      <c r="V239" s="332"/>
      <c r="W239" s="332"/>
      <c r="X239" s="332"/>
      <c r="Y239" s="332"/>
      <c r="Z239" s="332"/>
      <c r="AA239" s="332"/>
      <c r="AB239" s="332"/>
      <c r="AC239" s="332"/>
      <c r="AD239" s="332"/>
      <c r="AE239" s="332"/>
      <c r="AF239" s="332"/>
      <c r="AG239" s="332"/>
    </row>
    <row r="240" spans="1:33" ht="16.5" customHeight="1">
      <c r="A240" s="894"/>
      <c r="B240" s="894"/>
      <c r="C240" s="128"/>
      <c r="D240" s="275"/>
      <c r="E240" s="128"/>
      <c r="F240" s="128"/>
      <c r="G240" s="128"/>
      <c r="H240" s="128"/>
      <c r="I240" s="332"/>
      <c r="J240" s="332"/>
      <c r="K240" s="332"/>
      <c r="L240" s="332"/>
      <c r="M240" s="332"/>
      <c r="N240" s="332"/>
      <c r="O240" s="332"/>
      <c r="P240" s="332"/>
      <c r="Q240" s="332"/>
      <c r="R240" s="332"/>
      <c r="S240" s="332"/>
      <c r="T240" s="332"/>
      <c r="U240" s="332"/>
      <c r="V240" s="332"/>
      <c r="W240" s="332"/>
      <c r="X240" s="332"/>
      <c r="Y240" s="332"/>
      <c r="Z240" s="332"/>
      <c r="AA240" s="332"/>
      <c r="AB240" s="332"/>
      <c r="AC240" s="332"/>
      <c r="AD240" s="332"/>
      <c r="AE240" s="332"/>
      <c r="AF240" s="332"/>
      <c r="AG240" s="332"/>
    </row>
    <row r="241" spans="1:33" ht="16.5" customHeight="1">
      <c r="A241" s="894"/>
      <c r="B241" s="894"/>
      <c r="C241" s="128"/>
      <c r="D241" s="275"/>
      <c r="E241" s="128"/>
      <c r="F241" s="128"/>
      <c r="G241" s="128"/>
      <c r="H241" s="128"/>
      <c r="I241" s="332"/>
      <c r="J241" s="332"/>
      <c r="K241" s="332"/>
      <c r="L241" s="332"/>
      <c r="M241" s="332"/>
      <c r="N241" s="332"/>
      <c r="O241" s="332"/>
      <c r="P241" s="332"/>
      <c r="Q241" s="332"/>
      <c r="R241" s="332"/>
      <c r="S241" s="332"/>
      <c r="T241" s="332"/>
      <c r="U241" s="332"/>
      <c r="V241" s="332"/>
      <c r="W241" s="332"/>
      <c r="X241" s="332"/>
      <c r="Y241" s="332"/>
      <c r="Z241" s="332"/>
      <c r="AA241" s="332"/>
      <c r="AB241" s="332"/>
      <c r="AC241" s="332"/>
      <c r="AD241" s="332"/>
      <c r="AE241" s="332"/>
      <c r="AF241" s="332"/>
      <c r="AG241" s="332"/>
    </row>
    <row r="242" spans="1:33" ht="16.5" customHeight="1">
      <c r="A242" s="894"/>
      <c r="B242" s="894"/>
      <c r="C242" s="128"/>
      <c r="D242" s="275"/>
      <c r="E242" s="128"/>
      <c r="F242" s="128"/>
      <c r="G242" s="128"/>
      <c r="H242" s="128"/>
      <c r="I242" s="332"/>
      <c r="J242" s="332"/>
      <c r="K242" s="332"/>
      <c r="L242" s="332"/>
      <c r="M242" s="332"/>
      <c r="N242" s="332"/>
      <c r="O242" s="332"/>
      <c r="P242" s="332"/>
      <c r="Q242" s="332"/>
      <c r="R242" s="332"/>
      <c r="S242" s="332"/>
      <c r="T242" s="332"/>
      <c r="U242" s="332"/>
      <c r="V242" s="332"/>
      <c r="W242" s="332"/>
      <c r="X242" s="332"/>
      <c r="Y242" s="332"/>
      <c r="Z242" s="332"/>
      <c r="AA242" s="332"/>
      <c r="AB242" s="332"/>
      <c r="AC242" s="332"/>
      <c r="AD242" s="332"/>
      <c r="AE242" s="332"/>
      <c r="AF242" s="332"/>
      <c r="AG242" s="332"/>
    </row>
    <row r="243" spans="1:33" ht="16.5" customHeight="1">
      <c r="A243" s="894"/>
      <c r="B243" s="894"/>
      <c r="C243" s="128"/>
      <c r="D243" s="275"/>
      <c r="E243" s="128"/>
      <c r="F243" s="128"/>
      <c r="G243" s="128"/>
      <c r="H243" s="128"/>
      <c r="I243" s="332"/>
      <c r="J243" s="332"/>
      <c r="K243" s="332"/>
      <c r="L243" s="332"/>
      <c r="M243" s="332"/>
      <c r="N243" s="332"/>
      <c r="O243" s="332"/>
      <c r="P243" s="332"/>
      <c r="Q243" s="332"/>
      <c r="R243" s="332"/>
      <c r="S243" s="332"/>
      <c r="T243" s="332"/>
      <c r="U243" s="332"/>
      <c r="V243" s="332"/>
      <c r="W243" s="332"/>
      <c r="X243" s="332"/>
      <c r="Y243" s="332"/>
      <c r="Z243" s="332"/>
      <c r="AA243" s="332"/>
      <c r="AB243" s="332"/>
      <c r="AC243" s="332"/>
      <c r="AD243" s="332"/>
      <c r="AE243" s="332"/>
      <c r="AF243" s="332"/>
      <c r="AG243" s="332"/>
    </row>
    <row r="244" spans="1:33" ht="16.5" customHeight="1">
      <c r="A244" s="894"/>
      <c r="B244" s="894"/>
      <c r="C244" s="128"/>
      <c r="D244" s="275"/>
      <c r="E244" s="128"/>
      <c r="F244" s="128"/>
      <c r="G244" s="128"/>
      <c r="H244" s="128"/>
      <c r="I244" s="332"/>
      <c r="J244" s="332"/>
      <c r="K244" s="332"/>
      <c r="L244" s="332"/>
      <c r="M244" s="332"/>
      <c r="N244" s="332"/>
      <c r="O244" s="332"/>
      <c r="P244" s="332"/>
      <c r="Q244" s="332"/>
      <c r="R244" s="332"/>
      <c r="S244" s="332"/>
      <c r="T244" s="332"/>
      <c r="U244" s="332"/>
      <c r="V244" s="332"/>
      <c r="W244" s="332"/>
      <c r="X244" s="332"/>
      <c r="Y244" s="332"/>
      <c r="Z244" s="332"/>
      <c r="AA244" s="332"/>
      <c r="AB244" s="332"/>
      <c r="AC244" s="332"/>
      <c r="AD244" s="332"/>
      <c r="AE244" s="332"/>
      <c r="AF244" s="332"/>
      <c r="AG244" s="332"/>
    </row>
    <row r="245" spans="1:33" ht="16.5" customHeight="1">
      <c r="A245" s="894"/>
      <c r="B245" s="894"/>
      <c r="C245" s="128"/>
      <c r="D245" s="275"/>
      <c r="E245" s="128"/>
      <c r="F245" s="128"/>
      <c r="G245" s="128"/>
      <c r="H245" s="128"/>
      <c r="I245" s="332"/>
      <c r="J245" s="332"/>
      <c r="K245" s="332"/>
      <c r="L245" s="332"/>
      <c r="M245" s="332"/>
      <c r="N245" s="332"/>
      <c r="O245" s="332"/>
      <c r="P245" s="332"/>
      <c r="Q245" s="332"/>
      <c r="R245" s="332"/>
      <c r="S245" s="332"/>
      <c r="T245" s="332"/>
      <c r="U245" s="332"/>
      <c r="V245" s="332"/>
      <c r="W245" s="332"/>
      <c r="X245" s="332"/>
      <c r="Y245" s="332"/>
      <c r="Z245" s="332"/>
      <c r="AA245" s="332"/>
      <c r="AB245" s="332"/>
      <c r="AC245" s="332"/>
      <c r="AD245" s="332"/>
      <c r="AE245" s="332"/>
      <c r="AF245" s="332"/>
      <c r="AG245" s="332"/>
    </row>
    <row r="246" spans="1:33" ht="16.5" customHeight="1"/>
    <row r="247" spans="1:33" ht="16.5" customHeight="1"/>
    <row r="248" spans="1:33" ht="16.5" customHeight="1"/>
    <row r="249" spans="1:33" ht="16.5" customHeight="1"/>
    <row r="250" spans="1:33" ht="16.5" customHeight="1"/>
    <row r="251" spans="1:33" ht="16.5" customHeight="1"/>
    <row r="252" spans="1:33" ht="16.5" customHeight="1"/>
    <row r="253" spans="1:33" ht="16.5" customHeight="1"/>
    <row r="254" spans="1:33" ht="16.5" customHeight="1"/>
    <row r="255" spans="1:33" ht="16.5" customHeight="1"/>
    <row r="256" spans="1:33" ht="16.5" customHeight="1"/>
    <row r="257" ht="16.5" customHeight="1"/>
    <row r="258" ht="16.5" customHeight="1"/>
    <row r="259" ht="16.5" customHeight="1"/>
    <row r="260" ht="16.5" customHeight="1"/>
    <row r="261" ht="16.5" customHeight="1"/>
    <row r="262" ht="16.5" customHeight="1"/>
    <row r="263" ht="16.5" customHeight="1"/>
    <row r="264" ht="16.5" customHeight="1"/>
  </sheetData>
  <sheetProtection password="F66A" sheet="1"/>
  <conditionalFormatting sqref="K8:AG10">
    <cfRule type="cellIs" dxfId="48" priority="21" stopIfTrue="1" operator="equal">
      <formula>1</formula>
    </cfRule>
  </conditionalFormatting>
  <conditionalFormatting sqref="D3">
    <cfRule type="cellIs" dxfId="47" priority="30" operator="notEqual">
      <formula>0</formula>
    </cfRule>
  </conditionalFormatting>
  <conditionalFormatting sqref="J8:J10">
    <cfRule type="cellIs" dxfId="46" priority="18" stopIfTrue="1" operator="equal">
      <formula>1</formula>
    </cfRule>
  </conditionalFormatting>
  <conditionalFormatting sqref="N8">
    <cfRule type="cellIs" dxfId="45" priority="15" stopIfTrue="1" operator="equal">
      <formula>1</formula>
    </cfRule>
  </conditionalFormatting>
  <conditionalFormatting sqref="F74">
    <cfRule type="cellIs" dxfId="44" priority="12" operator="notEqual">
      <formula>0</formula>
    </cfRule>
  </conditionalFormatting>
  <conditionalFormatting sqref="K6:L6">
    <cfRule type="cellIs" dxfId="43" priority="9" stopIfTrue="1" operator="equal">
      <formula>1</formula>
    </cfRule>
  </conditionalFormatting>
  <conditionalFormatting sqref="J4">
    <cfRule type="expression" dxfId="42" priority="8" stopIfTrue="1">
      <formula>J$6=1</formula>
    </cfRule>
  </conditionalFormatting>
  <conditionalFormatting sqref="M6:Q6">
    <cfRule type="cellIs" dxfId="41" priority="7" stopIfTrue="1" operator="equal">
      <formula>1</formula>
    </cfRule>
  </conditionalFormatting>
  <conditionalFormatting sqref="J5">
    <cfRule type="expression" dxfId="40" priority="6" stopIfTrue="1">
      <formula>J$6=1</formula>
    </cfRule>
  </conditionalFormatting>
  <conditionalFormatting sqref="R6:BU6">
    <cfRule type="cellIs" dxfId="39" priority="5" stopIfTrue="1" operator="equal">
      <formula>1</formula>
    </cfRule>
  </conditionalFormatting>
  <conditionalFormatting sqref="J6:BU6">
    <cfRule type="cellIs" dxfId="38" priority="4" stopIfTrue="1" operator="equal">
      <formula>1</formula>
    </cfRule>
  </conditionalFormatting>
  <conditionalFormatting sqref="K4:BU4">
    <cfRule type="expression" dxfId="37" priority="3" stopIfTrue="1">
      <formula>K$6=1</formula>
    </cfRule>
  </conditionalFormatting>
  <conditionalFormatting sqref="L5:BU5">
    <cfRule type="expression" dxfId="36" priority="2" stopIfTrue="1">
      <formula>L$6=1</formula>
    </cfRule>
  </conditionalFormatting>
  <conditionalFormatting sqref="K5:BU5">
    <cfRule type="expression" dxfId="35" priority="1" stopIfTrue="1">
      <formula>K$6=1</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xes">
    <tabColor theme="1"/>
    <pageSetUpPr autoPageBreaks="0"/>
  </sheetPr>
  <dimension ref="A1:NE104"/>
  <sheetViews>
    <sheetView showGridLines="0" zoomScaleNormal="100" workbookViewId="0">
      <pane ySplit="6" topLeftCell="A7" activePane="bottomLeft" state="frozenSplit"/>
      <selection activeCell="G23" sqref="G23"/>
      <selection pane="bottomLeft" activeCell="A7" sqref="A7"/>
    </sheetView>
  </sheetViews>
  <sheetFormatPr baseColWidth="10" defaultColWidth="0" defaultRowHeight="12.75" outlineLevelRow="2"/>
  <cols>
    <col min="1" max="1" width="3.7109375" style="649" customWidth="1"/>
    <col min="2" max="2" width="4.85546875" style="649" customWidth="1"/>
    <col min="3" max="3" width="58" style="649" customWidth="1"/>
    <col min="4" max="5" width="13" style="649" customWidth="1"/>
    <col min="6" max="8" width="11.28515625" style="649" customWidth="1"/>
    <col min="9" max="10" width="11.42578125" style="649" customWidth="1"/>
    <col min="11" max="11" width="12.140625" style="649" customWidth="1"/>
    <col min="12" max="33" width="11.42578125" style="649" customWidth="1"/>
    <col min="34" max="369" width="0" style="649" hidden="1" customWidth="1"/>
    <col min="370" max="16384" width="11.42578125" style="649" hidden="1"/>
  </cols>
  <sheetData>
    <row r="1" spans="1:73" ht="20.25">
      <c r="A1" s="41" t="s">
        <v>374</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row>
    <row r="2" spans="1:73" ht="15.75" customHeight="1">
      <c r="A2" s="128"/>
      <c r="B2" s="128"/>
      <c r="C2" s="273" t="str">
        <f>Timing!C2</f>
        <v>Model: 5 Year Forecast</v>
      </c>
      <c r="D2" s="273"/>
      <c r="E2" s="443" t="s">
        <v>148</v>
      </c>
      <c r="F2" s="128"/>
      <c r="G2" s="128"/>
      <c r="H2" s="287"/>
      <c r="I2" s="287"/>
      <c r="J2" s="338"/>
      <c r="K2" s="287"/>
      <c r="L2" s="287"/>
      <c r="M2" s="287"/>
      <c r="N2" s="287"/>
      <c r="O2" s="287"/>
      <c r="P2" s="287"/>
      <c r="Q2" s="287"/>
      <c r="R2" s="287"/>
      <c r="S2" s="287"/>
      <c r="T2" s="287"/>
      <c r="U2" s="287"/>
      <c r="V2" s="287"/>
      <c r="W2" s="287"/>
      <c r="X2" s="287"/>
      <c r="Y2" s="287"/>
      <c r="Z2" s="287"/>
      <c r="AA2" s="287"/>
      <c r="AB2" s="287"/>
      <c r="AC2" s="287"/>
      <c r="AD2" s="287"/>
      <c r="AE2" s="287"/>
      <c r="AF2" s="287"/>
      <c r="AG2" s="287"/>
    </row>
    <row r="3" spans="1:73" ht="15.75" customHeight="1">
      <c r="A3" s="128"/>
      <c r="B3" s="128"/>
      <c r="C3" s="273" t="str">
        <f>Timing!C3</f>
        <v>Model Integrity:</v>
      </c>
      <c r="D3" s="685">
        <f ca="1">Timing!D3</f>
        <v>0</v>
      </c>
      <c r="E3" s="443" t="s">
        <v>149</v>
      </c>
      <c r="F3" s="128"/>
      <c r="G3" s="285"/>
      <c r="H3" s="285"/>
      <c r="I3" s="282"/>
      <c r="J3" s="286"/>
      <c r="K3" s="287"/>
      <c r="L3" s="286"/>
      <c r="M3" s="287"/>
      <c r="N3" s="286"/>
      <c r="O3" s="287"/>
      <c r="P3" s="286"/>
      <c r="Q3" s="287"/>
      <c r="R3" s="286"/>
      <c r="S3" s="287"/>
      <c r="T3" s="286"/>
      <c r="U3" s="287"/>
      <c r="V3" s="286"/>
      <c r="W3" s="287"/>
      <c r="X3" s="286"/>
      <c r="Y3" s="287"/>
      <c r="Z3" s="286"/>
      <c r="AA3" s="287"/>
      <c r="AB3" s="286"/>
      <c r="AC3" s="287"/>
      <c r="AD3" s="286"/>
      <c r="AE3" s="287"/>
      <c r="AF3" s="286"/>
      <c r="AG3" s="287"/>
    </row>
    <row r="4" spans="1:73" ht="15" customHeight="1">
      <c r="A4" s="128"/>
      <c r="B4" s="280"/>
      <c r="C4" s="681" t="s">
        <v>152</v>
      </c>
      <c r="D4" s="283"/>
      <c r="E4" s="283"/>
      <c r="F4" s="283"/>
      <c r="G4" s="284"/>
      <c r="H4" s="282"/>
      <c r="I4" s="284"/>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c r="AH4" s="655">
        <v>44256</v>
      </c>
      <c r="AI4" s="655">
        <v>44287</v>
      </c>
      <c r="AJ4" s="655">
        <v>44317</v>
      </c>
      <c r="AK4" s="655">
        <v>44348</v>
      </c>
      <c r="AL4" s="655">
        <v>44378</v>
      </c>
      <c r="AM4" s="655">
        <v>44409</v>
      </c>
      <c r="AN4" s="655">
        <v>44440</v>
      </c>
      <c r="AO4" s="655">
        <v>44470</v>
      </c>
      <c r="AP4" s="655">
        <v>44501</v>
      </c>
      <c r="AQ4" s="655">
        <v>44531</v>
      </c>
      <c r="AR4" s="655">
        <v>44562</v>
      </c>
      <c r="AS4" s="655">
        <v>44593</v>
      </c>
      <c r="AT4" s="655">
        <v>44621</v>
      </c>
      <c r="AU4" s="655">
        <v>44652</v>
      </c>
      <c r="AV4" s="655">
        <v>44682</v>
      </c>
      <c r="AW4" s="655">
        <v>44713</v>
      </c>
      <c r="AX4" s="655">
        <v>44743</v>
      </c>
      <c r="AY4" s="655">
        <v>44774</v>
      </c>
      <c r="AZ4" s="655">
        <v>44805</v>
      </c>
      <c r="BA4" s="655">
        <v>44835</v>
      </c>
      <c r="BB4" s="655">
        <v>44866</v>
      </c>
      <c r="BC4" s="655">
        <v>44896</v>
      </c>
      <c r="BD4" s="655">
        <v>44927</v>
      </c>
      <c r="BE4" s="655">
        <v>44958</v>
      </c>
      <c r="BF4" s="655">
        <v>44986</v>
      </c>
      <c r="BG4" s="655">
        <v>45017</v>
      </c>
      <c r="BH4" s="655">
        <v>45047</v>
      </c>
      <c r="BI4" s="655">
        <v>45078</v>
      </c>
      <c r="BJ4" s="655">
        <v>45108</v>
      </c>
      <c r="BK4" s="655">
        <v>45139</v>
      </c>
      <c r="BL4" s="655">
        <v>45170</v>
      </c>
      <c r="BM4" s="655">
        <v>45200</v>
      </c>
      <c r="BN4" s="655">
        <v>45231</v>
      </c>
      <c r="BO4" s="655">
        <v>45261</v>
      </c>
      <c r="BP4" s="655">
        <v>45292</v>
      </c>
      <c r="BQ4" s="655">
        <v>45323</v>
      </c>
      <c r="BR4" s="655">
        <v>45352</v>
      </c>
      <c r="BS4" s="655">
        <v>45383</v>
      </c>
      <c r="BT4" s="655">
        <v>45413</v>
      </c>
      <c r="BU4" s="655">
        <v>45444</v>
      </c>
    </row>
    <row r="5" spans="1:73" ht="15" customHeight="1">
      <c r="A5" s="128"/>
      <c r="B5" s="128"/>
      <c r="C5" s="681" t="s">
        <v>153</v>
      </c>
      <c r="D5" s="65" t="s">
        <v>25</v>
      </c>
      <c r="E5" s="11" t="s">
        <v>155</v>
      </c>
      <c r="F5" s="283"/>
      <c r="G5" s="284"/>
      <c r="H5" s="282"/>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c r="AH5" s="656">
        <v>44286</v>
      </c>
      <c r="AI5" s="656">
        <v>44316</v>
      </c>
      <c r="AJ5" s="656">
        <v>44347</v>
      </c>
      <c r="AK5" s="656">
        <v>44377</v>
      </c>
      <c r="AL5" s="656">
        <v>44408</v>
      </c>
      <c r="AM5" s="656">
        <v>44439</v>
      </c>
      <c r="AN5" s="656">
        <v>44469</v>
      </c>
      <c r="AO5" s="656">
        <v>44500</v>
      </c>
      <c r="AP5" s="656">
        <v>44530</v>
      </c>
      <c r="AQ5" s="656">
        <v>44561</v>
      </c>
      <c r="AR5" s="656">
        <v>44592</v>
      </c>
      <c r="AS5" s="656">
        <v>44620</v>
      </c>
      <c r="AT5" s="656">
        <v>44651</v>
      </c>
      <c r="AU5" s="656">
        <v>44681</v>
      </c>
      <c r="AV5" s="656">
        <v>44712</v>
      </c>
      <c r="AW5" s="656">
        <v>44742</v>
      </c>
      <c r="AX5" s="656">
        <v>44773</v>
      </c>
      <c r="AY5" s="656">
        <v>44804</v>
      </c>
      <c r="AZ5" s="656">
        <v>44834</v>
      </c>
      <c r="BA5" s="656">
        <v>44865</v>
      </c>
      <c r="BB5" s="656">
        <v>44895</v>
      </c>
      <c r="BC5" s="656">
        <v>44926</v>
      </c>
      <c r="BD5" s="656">
        <v>44957</v>
      </c>
      <c r="BE5" s="656">
        <v>44985</v>
      </c>
      <c r="BF5" s="656">
        <v>45016</v>
      </c>
      <c r="BG5" s="656">
        <v>45046</v>
      </c>
      <c r="BH5" s="656">
        <v>45077</v>
      </c>
      <c r="BI5" s="656">
        <v>45107</v>
      </c>
      <c r="BJ5" s="656">
        <v>45138</v>
      </c>
      <c r="BK5" s="656">
        <v>45169</v>
      </c>
      <c r="BL5" s="656">
        <v>45199</v>
      </c>
      <c r="BM5" s="656">
        <v>45230</v>
      </c>
      <c r="BN5" s="656">
        <v>45260</v>
      </c>
      <c r="BO5" s="656">
        <v>45291</v>
      </c>
      <c r="BP5" s="656">
        <v>45322</v>
      </c>
      <c r="BQ5" s="656">
        <v>45351</v>
      </c>
      <c r="BR5" s="656">
        <v>45382</v>
      </c>
      <c r="BS5" s="656">
        <v>45412</v>
      </c>
      <c r="BT5" s="656">
        <v>45443</v>
      </c>
      <c r="BU5" s="656">
        <v>45473</v>
      </c>
    </row>
    <row r="6" spans="1:73" ht="17.25" customHeight="1">
      <c r="A6" s="281"/>
      <c r="B6" s="281"/>
      <c r="C6" s="282" t="s">
        <v>154</v>
      </c>
      <c r="D6" s="654">
        <v>43525</v>
      </c>
      <c r="E6" s="654">
        <v>44165</v>
      </c>
      <c r="F6" s="282"/>
      <c r="G6" s="683"/>
      <c r="H6" s="684"/>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c r="AH6" s="660">
        <v>0</v>
      </c>
      <c r="AI6" s="660">
        <v>0</v>
      </c>
      <c r="AJ6" s="660">
        <v>0</v>
      </c>
      <c r="AK6" s="660">
        <v>0</v>
      </c>
      <c r="AL6" s="660">
        <v>0</v>
      </c>
      <c r="AM6" s="660">
        <v>0</v>
      </c>
      <c r="AN6" s="660">
        <v>0</v>
      </c>
      <c r="AO6" s="660">
        <v>0</v>
      </c>
      <c r="AP6" s="660">
        <v>0</v>
      </c>
      <c r="AQ6" s="660">
        <v>0</v>
      </c>
      <c r="AR6" s="660">
        <v>0</v>
      </c>
      <c r="AS6" s="660">
        <v>0</v>
      </c>
      <c r="AT6" s="660">
        <v>0</v>
      </c>
      <c r="AU6" s="660">
        <v>0</v>
      </c>
      <c r="AV6" s="660">
        <v>0</v>
      </c>
      <c r="AW6" s="660">
        <v>0</v>
      </c>
      <c r="AX6" s="660">
        <v>0</v>
      </c>
      <c r="AY6" s="660">
        <v>0</v>
      </c>
      <c r="AZ6" s="660">
        <v>0</v>
      </c>
      <c r="BA6" s="660">
        <v>0</v>
      </c>
      <c r="BB6" s="660">
        <v>0</v>
      </c>
      <c r="BC6" s="660">
        <v>0</v>
      </c>
      <c r="BD6" s="660">
        <v>0</v>
      </c>
      <c r="BE6" s="660">
        <v>0</v>
      </c>
      <c r="BF6" s="660">
        <v>0</v>
      </c>
      <c r="BG6" s="660">
        <v>0</v>
      </c>
      <c r="BH6" s="660">
        <v>0</v>
      </c>
      <c r="BI6" s="660">
        <v>0</v>
      </c>
      <c r="BJ6" s="660">
        <v>0</v>
      </c>
      <c r="BK6" s="660">
        <v>0</v>
      </c>
      <c r="BL6" s="660">
        <v>0</v>
      </c>
      <c r="BM6" s="660">
        <v>0</v>
      </c>
      <c r="BN6" s="660">
        <v>0</v>
      </c>
      <c r="BO6" s="660">
        <v>0</v>
      </c>
      <c r="BP6" s="660">
        <v>0</v>
      </c>
      <c r="BQ6" s="660">
        <v>0</v>
      </c>
      <c r="BR6" s="660">
        <v>0</v>
      </c>
      <c r="BS6" s="660">
        <v>0</v>
      </c>
      <c r="BT6" s="660">
        <v>0</v>
      </c>
      <c r="BU6" s="660">
        <v>0</v>
      </c>
    </row>
    <row r="7" spans="1:73" ht="17.25" customHeight="1">
      <c r="A7" s="894"/>
      <c r="B7" s="287"/>
      <c r="C7" s="339" t="str">
        <f>Timing!C11</f>
        <v>Calendar Year (Counter)</v>
      </c>
      <c r="D7" s="340" t="str">
        <f>Timing!D15</f>
        <v>#</v>
      </c>
      <c r="E7" s="339"/>
      <c r="F7" s="339"/>
      <c r="G7" s="339"/>
      <c r="H7" s="339"/>
      <c r="I7" s="287"/>
      <c r="J7" s="341">
        <f>Timing!J15</f>
        <v>1</v>
      </c>
      <c r="K7" s="341">
        <f>Timing!K15</f>
        <v>1</v>
      </c>
      <c r="L7" s="341">
        <f>Timing!L15</f>
        <v>1</v>
      </c>
      <c r="M7" s="341">
        <f>Timing!M15</f>
        <v>1</v>
      </c>
      <c r="N7" s="341">
        <f>Timing!N15</f>
        <v>1</v>
      </c>
      <c r="O7" s="341">
        <f>Timing!O15</f>
        <v>1</v>
      </c>
      <c r="P7" s="341">
        <f>Timing!P15</f>
        <v>1</v>
      </c>
      <c r="Q7" s="341">
        <f>Timing!Q15</f>
        <v>1</v>
      </c>
      <c r="R7" s="341">
        <f>Timing!R15</f>
        <v>1</v>
      </c>
      <c r="S7" s="341">
        <f>Timing!S15</f>
        <v>2</v>
      </c>
      <c r="T7" s="341">
        <f>Timing!T15</f>
        <v>2</v>
      </c>
      <c r="U7" s="341">
        <f>Timing!U15</f>
        <v>2</v>
      </c>
      <c r="V7" s="341">
        <f>Timing!V15</f>
        <v>2</v>
      </c>
      <c r="W7" s="341">
        <f>Timing!W15</f>
        <v>2</v>
      </c>
      <c r="X7" s="341">
        <f>Timing!X15</f>
        <v>2</v>
      </c>
      <c r="Y7" s="341">
        <f>Timing!Y15</f>
        <v>2</v>
      </c>
      <c r="Z7" s="341">
        <f>Timing!Z15</f>
        <v>2</v>
      </c>
      <c r="AA7" s="341">
        <f>Timing!AA15</f>
        <v>2</v>
      </c>
      <c r="AB7" s="341">
        <f>Timing!AB15</f>
        <v>2</v>
      </c>
      <c r="AC7" s="341">
        <f>Timing!AC15</f>
        <v>2</v>
      </c>
      <c r="AD7" s="341">
        <f>Timing!AD15</f>
        <v>2</v>
      </c>
      <c r="AE7" s="341">
        <f>Timing!AE15</f>
        <v>3</v>
      </c>
      <c r="AF7" s="341">
        <f>Timing!AF15</f>
        <v>3</v>
      </c>
      <c r="AG7" s="341">
        <f>Timing!AG15</f>
        <v>3</v>
      </c>
    </row>
    <row r="8" spans="1:73" ht="17.25" customHeight="1">
      <c r="A8" s="894"/>
      <c r="B8" s="287"/>
      <c r="C8" s="339"/>
      <c r="D8" s="340"/>
      <c r="E8" s="339"/>
      <c r="F8" s="339"/>
      <c r="G8" s="339"/>
      <c r="H8" s="339"/>
      <c r="I8" s="287"/>
      <c r="J8" s="341"/>
      <c r="K8" s="341"/>
      <c r="L8" s="287"/>
      <c r="M8" s="287"/>
      <c r="N8" s="287"/>
      <c r="O8" s="287"/>
      <c r="P8" s="287"/>
      <c r="Q8" s="287"/>
      <c r="R8" s="287"/>
      <c r="S8" s="287"/>
      <c r="T8" s="287"/>
      <c r="U8" s="287"/>
      <c r="V8" s="287"/>
      <c r="W8" s="287"/>
      <c r="X8" s="287"/>
      <c r="Y8" s="287"/>
      <c r="Z8" s="287"/>
      <c r="AA8" s="287"/>
      <c r="AB8" s="287"/>
      <c r="AC8" s="287"/>
      <c r="AD8" s="287"/>
      <c r="AE8" s="287"/>
      <c r="AF8" s="287"/>
      <c r="AG8" s="287"/>
    </row>
    <row r="9" spans="1:73" s="287" customFormat="1" ht="18" customHeight="1">
      <c r="A9" s="894"/>
    </row>
    <row r="10" spans="1:73" s="287" customFormat="1" ht="27" customHeight="1" thickBot="1">
      <c r="A10" s="337"/>
      <c r="B10" s="337"/>
      <c r="C10" s="337" t="str">
        <f>"Input/output Tax (" &amp;Name_VAT &amp;")"</f>
        <v>Input/output Tax (VAT)</v>
      </c>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c r="AD10" s="337"/>
      <c r="AE10" s="337"/>
      <c r="AF10" s="337"/>
      <c r="AG10" s="337"/>
    </row>
    <row r="11" spans="1:73" s="287" customFormat="1" ht="13.5" customHeight="1" outlineLevel="1">
      <c r="A11" s="894"/>
      <c r="B11" s="241"/>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row>
    <row r="12" spans="1:73" s="287" customFormat="1" ht="20.25" customHeight="1" outlineLevel="1">
      <c r="A12" s="894"/>
      <c r="B12" s="423">
        <v>1</v>
      </c>
      <c r="C12" s="279" t="s">
        <v>377</v>
      </c>
      <c r="D12" s="276"/>
      <c r="E12" s="128"/>
      <c r="F12" s="128"/>
      <c r="G12" s="128"/>
      <c r="H12" s="128"/>
      <c r="I12" s="434"/>
      <c r="J12" s="128"/>
      <c r="K12" s="241"/>
      <c r="L12" s="241"/>
      <c r="M12" s="241"/>
      <c r="N12" s="241"/>
      <c r="O12" s="241"/>
      <c r="P12" s="241"/>
      <c r="Q12" s="241"/>
      <c r="R12" s="241"/>
      <c r="S12" s="241"/>
      <c r="T12" s="241"/>
      <c r="U12" s="241"/>
      <c r="V12" s="241"/>
      <c r="W12" s="241"/>
      <c r="X12" s="241"/>
      <c r="Y12" s="241"/>
      <c r="Z12" s="241"/>
      <c r="AA12" s="241"/>
      <c r="AB12" s="241"/>
      <c r="AC12" s="241"/>
      <c r="AD12" s="241"/>
      <c r="AE12" s="241"/>
      <c r="AF12" s="241"/>
      <c r="AG12" s="241"/>
    </row>
    <row r="13" spans="1:73" s="287" customFormat="1" ht="18" customHeight="1" outlineLevel="2">
      <c r="A13" s="894"/>
      <c r="B13" s="241"/>
      <c r="C13" s="24" t="str">
        <f>"   " &amp;Name_VAT &amp;" on sales"</f>
        <v xml:space="preserve">   VAT on sales</v>
      </c>
      <c r="D13" s="8" t="str">
        <f t="shared" ref="D13:D18" si="0">Currency_Label</f>
        <v>USD</v>
      </c>
      <c r="E13" s="8" t="s">
        <v>375</v>
      </c>
      <c r="F13" s="40"/>
      <c r="G13" s="40"/>
      <c r="H13" s="40"/>
      <c r="I13" s="242">
        <f t="shared" ref="I13:I18" si="1">SUM(J13:AG13)</f>
        <v>543317.31800413085</v>
      </c>
      <c r="J13" s="722">
        <f>Sales!J95</f>
        <v>24629.333999999999</v>
      </c>
      <c r="K13" s="722">
        <f>Sales!K95</f>
        <v>25720.625349999998</v>
      </c>
      <c r="L13" s="722">
        <f>Sales!L95</f>
        <v>25758.340113499999</v>
      </c>
      <c r="M13" s="722">
        <f>Sales!M95</f>
        <v>25796.432024634996</v>
      </c>
      <c r="N13" s="722">
        <f>Sales!N95</f>
        <v>25834.904854881348</v>
      </c>
      <c r="O13" s="722">
        <f>Sales!O95</f>
        <v>25873.762413430162</v>
      </c>
      <c r="P13" s="722">
        <f>Sales!P95</f>
        <v>25913.008547564463</v>
      </c>
      <c r="Q13" s="722">
        <f>Sales!Q95</f>
        <v>24942.037143040114</v>
      </c>
      <c r="R13" s="722">
        <f>Sales!R95</f>
        <v>25415.472124470511</v>
      </c>
      <c r="S13" s="722">
        <f>Sales!S95</f>
        <v>25909.007455715218</v>
      </c>
      <c r="T13" s="722">
        <f>Sales!T95</f>
        <v>25953.787140272369</v>
      </c>
      <c r="U13" s="722">
        <f>Sales!U95</f>
        <v>25748.430621675096</v>
      </c>
      <c r="V13" s="722">
        <f>Sales!V95</f>
        <v>25794.110377891848</v>
      </c>
      <c r="W13" s="722">
        <f>Sales!W95</f>
        <v>25840.246931670765</v>
      </c>
      <c r="X13" s="722">
        <f>Sales!X95</f>
        <v>25886.844850987469</v>
      </c>
      <c r="Y13" s="722">
        <f>Sales!Y95</f>
        <v>25933.908749497346</v>
      </c>
      <c r="Z13" s="722">
        <f>Sales!Z95</f>
        <v>26046.453286992324</v>
      </c>
      <c r="AA13" s="722">
        <f>Sales!AA95</f>
        <v>26094.463169862243</v>
      </c>
      <c r="AB13" s="722">
        <f>Sales!AB95</f>
        <v>26142.953151560869</v>
      </c>
      <c r="AC13" s="722">
        <f>Sales!AC95</f>
        <v>25965.378033076478</v>
      </c>
      <c r="AD13" s="722">
        <f>Sales!AD95</f>
        <v>28117.817663407237</v>
      </c>
      <c r="AE13" s="722">
        <f>Sales!AE95</f>
        <v>0</v>
      </c>
      <c r="AF13" s="722">
        <f>Sales!AF95</f>
        <v>0</v>
      </c>
      <c r="AG13" s="722">
        <f>Sales!AG95</f>
        <v>0</v>
      </c>
    </row>
    <row r="14" spans="1:73" s="287" customFormat="1" ht="18" customHeight="1" outlineLevel="2">
      <c r="A14" s="894"/>
      <c r="B14" s="241"/>
      <c r="C14" s="36" t="str">
        <f>"   "&amp;Name_VAT &amp;" on cost of materials/goods"</f>
        <v xml:space="preserve">   VAT on cost of materials/goods</v>
      </c>
      <c r="D14" s="8" t="str">
        <f t="shared" si="0"/>
        <v>USD</v>
      </c>
      <c r="E14" s="8" t="s">
        <v>376</v>
      </c>
      <c r="F14" s="40"/>
      <c r="G14" s="40"/>
      <c r="H14" s="40"/>
      <c r="I14" s="242">
        <f t="shared" si="1"/>
        <v>-241925.42372599361</v>
      </c>
      <c r="J14" s="722">
        <f>-'Costs 01'!J216</f>
        <v>-11436.892000000002</v>
      </c>
      <c r="K14" s="722">
        <f>-'Costs 01'!K216</f>
        <v>-11804.366600000001</v>
      </c>
      <c r="L14" s="722">
        <f>-'Costs 01'!L216</f>
        <v>-11515.463946000002</v>
      </c>
      <c r="M14" s="722">
        <f>-'Costs 01'!M216</f>
        <v>-11517.784265460001</v>
      </c>
      <c r="N14" s="722">
        <f>-'Costs 01'!N216</f>
        <v>-11520.127788114602</v>
      </c>
      <c r="O14" s="722">
        <f>-'Costs 01'!O216</f>
        <v>-11522.494745995749</v>
      </c>
      <c r="P14" s="722">
        <f>-'Costs 01'!P216</f>
        <v>-11524.885373455705</v>
      </c>
      <c r="Q14" s="722">
        <f>-'Costs 01'!Q216</f>
        <v>-11016.899907190262</v>
      </c>
      <c r="R14" s="722">
        <f>-'Costs 01'!R216</f>
        <v>-11142.538586262164</v>
      </c>
      <c r="S14" s="722">
        <f>-'Costs 01'!S216</f>
        <v>-11877.801652124786</v>
      </c>
      <c r="T14" s="722">
        <f>-'Costs 01'!T216</f>
        <v>-11565.713348646035</v>
      </c>
      <c r="U14" s="722">
        <f>-'Costs 01'!U216</f>
        <v>-11458.471522132495</v>
      </c>
      <c r="V14" s="722">
        <f>-'Costs 01'!V216</f>
        <v>-11463.212637353821</v>
      </c>
      <c r="W14" s="722">
        <f>-'Costs 01'!W216</f>
        <v>-11468.00116372736</v>
      </c>
      <c r="X14" s="722">
        <f>-'Costs 01'!X216</f>
        <v>-11472.837575364632</v>
      </c>
      <c r="Y14" s="722">
        <f>-'Costs 01'!Y216</f>
        <v>-11477.722351118276</v>
      </c>
      <c r="Z14" s="722">
        <f>-'Costs 01'!Z216</f>
        <v>-11509.05597462946</v>
      </c>
      <c r="AA14" s="722">
        <f>-'Costs 01'!AA216</f>
        <v>-11487.638934375755</v>
      </c>
      <c r="AB14" s="722">
        <f>-'Costs 01'!AB216</f>
        <v>-11492.671723719513</v>
      </c>
      <c r="AC14" s="722">
        <f>-'Costs 01'!AC216</f>
        <v>-11131.35484095671</v>
      </c>
      <c r="AD14" s="722">
        <f>-'Costs 01'!AD216</f>
        <v>-12519.488789366276</v>
      </c>
      <c r="AE14" s="722">
        <f>-'Costs 01'!AE216</f>
        <v>0</v>
      </c>
      <c r="AF14" s="722">
        <f>-'Costs 01'!AF216</f>
        <v>0</v>
      </c>
      <c r="AG14" s="722">
        <f>-'Costs 01'!AG216</f>
        <v>0</v>
      </c>
    </row>
    <row r="15" spans="1:73" s="287" customFormat="1" ht="18" customHeight="1" outlineLevel="2">
      <c r="A15" s="894"/>
      <c r="B15" s="241"/>
      <c r="C15" s="36" t="str">
        <f>"   "&amp;Name_VAT &amp;" on other direct costs (w/o revenue share)"</f>
        <v xml:space="preserve">   VAT on other direct costs (w/o revenue share)</v>
      </c>
      <c r="D15" s="8" t="str">
        <f t="shared" si="0"/>
        <v>USD</v>
      </c>
      <c r="E15" s="8" t="s">
        <v>376</v>
      </c>
      <c r="F15" s="40"/>
      <c r="G15" s="40"/>
      <c r="H15" s="40"/>
      <c r="I15" s="242">
        <f t="shared" si="1"/>
        <v>-10820.542066316995</v>
      </c>
      <c r="J15" s="722">
        <f>-'Costs 02'!J336</f>
        <v>-369.07080000000002</v>
      </c>
      <c r="K15" s="722">
        <f>-'Costs 02'!K336</f>
        <v>-387.04616999999996</v>
      </c>
      <c r="L15" s="722">
        <f>-'Costs 02'!L336</f>
        <v>-394.66419369999994</v>
      </c>
      <c r="M15" s="722">
        <f>-'Costs 02'!M336</f>
        <v>-402.65239763700004</v>
      </c>
      <c r="N15" s="722">
        <f>-'Costs 02'!N336</f>
        <v>-411.02918361337004</v>
      </c>
      <c r="O15" s="722">
        <f>-'Costs 02'!O336</f>
        <v>-419.81387244950372</v>
      </c>
      <c r="P15" s="722">
        <f>-'Costs 02'!P336</f>
        <v>-569.05474992399877</v>
      </c>
      <c r="Q15" s="722">
        <f>-'Costs 02'!Q336</f>
        <v>-432.44511501073879</v>
      </c>
      <c r="R15" s="722">
        <f>-'Costs 02'!R336</f>
        <v>-446.07933052772114</v>
      </c>
      <c r="S15" s="722">
        <f>-'Costs 02'!S336</f>
        <v>-603.19087631821708</v>
      </c>
      <c r="T15" s="722">
        <f>-'Costs 02'!T336</f>
        <v>-474.36840509087898</v>
      </c>
      <c r="U15" s="722">
        <f>-'Costs 02'!U336</f>
        <v>-484.3537010517415</v>
      </c>
      <c r="V15" s="722">
        <f>-'Costs 02'!V336</f>
        <v>-636.74954846771027</v>
      </c>
      <c r="W15" s="722">
        <f>-'Costs 02'!W336</f>
        <v>-509.63568937811135</v>
      </c>
      <c r="X15" s="722">
        <f>-'Costs 02'!X336</f>
        <v>-523.21009146890253</v>
      </c>
      <c r="Y15" s="722">
        <f>-'Costs 02'!Y336</f>
        <v>-677.51821934045222</v>
      </c>
      <c r="Z15" s="722">
        <f>-'Costs 02'!Z336</f>
        <v>-553.30710933856039</v>
      </c>
      <c r="AA15" s="722">
        <f>-'Costs 02'!AA336</f>
        <v>-568.97344812688482</v>
      </c>
      <c r="AB15" s="722">
        <f>-'Costs 02'!AB336</f>
        <v>-725.49165518783957</v>
      </c>
      <c r="AC15" s="722">
        <f>-'Costs 02'!AC336</f>
        <v>-599.42796944838801</v>
      </c>
      <c r="AD15" s="722">
        <f>-'Costs 02'!AD336</f>
        <v>-632.4595402369755</v>
      </c>
      <c r="AE15" s="722">
        <f>-'Costs 02'!AE336</f>
        <v>0</v>
      </c>
      <c r="AF15" s="722">
        <f>-'Costs 02'!AF336</f>
        <v>0</v>
      </c>
      <c r="AG15" s="722">
        <f>-'Costs 02'!AG336</f>
        <v>0</v>
      </c>
    </row>
    <row r="16" spans="1:73" s="287" customFormat="1" ht="18" customHeight="1" outlineLevel="2">
      <c r="A16" s="894"/>
      <c r="B16" s="241"/>
      <c r="C16" s="36" t="str">
        <f>"   "&amp;Name_VAT &amp;" on overheads (non-payroll expenses only)"</f>
        <v xml:space="preserve">   VAT on overheads (non-payroll expenses only)</v>
      </c>
      <c r="D16" s="8" t="str">
        <f t="shared" si="0"/>
        <v>USD</v>
      </c>
      <c r="E16" s="8" t="s">
        <v>376</v>
      </c>
      <c r="F16" s="40"/>
      <c r="G16" s="40"/>
      <c r="H16" s="40"/>
      <c r="I16" s="242">
        <f t="shared" si="1"/>
        <v>-40686.591059357648</v>
      </c>
      <c r="J16" s="722">
        <f>-'Costs 03'!J73</f>
        <v>-1741.9415999999997</v>
      </c>
      <c r="K16" s="722">
        <f>-'Costs 03'!K73</f>
        <v>-1737.5723400000004</v>
      </c>
      <c r="L16" s="722">
        <f>-'Costs 03'!L73</f>
        <v>-1748.1911874000004</v>
      </c>
      <c r="M16" s="722">
        <f>-'Costs 03'!M73</f>
        <v>-1805.0182232739999</v>
      </c>
      <c r="N16" s="722">
        <f>-'Costs 03'!N73</f>
        <v>-1769.4535295067401</v>
      </c>
      <c r="O16" s="722">
        <f>-'Costs 03'!O73</f>
        <v>-1780.0971888018071</v>
      </c>
      <c r="P16" s="722">
        <f>-'Costs 03'!P73</f>
        <v>-2140.8052846898258</v>
      </c>
      <c r="Q16" s="722">
        <f>-'Costs 03'!Q73</f>
        <v>-1811.321901536724</v>
      </c>
      <c r="R16" s="722">
        <f>-'Costs 03'!R73</f>
        <v>-1875.1911245520914</v>
      </c>
      <c r="S16" s="722">
        <f>-'Costs 03'!S73</f>
        <v>-2132.6330397976117</v>
      </c>
      <c r="T16" s="722">
        <f>-'Costs 03'!T73</f>
        <v>-1863.3757341955882</v>
      </c>
      <c r="U16" s="722">
        <f>-'Costs 03'!U73</f>
        <v>-1916.8510955375436</v>
      </c>
      <c r="V16" s="722">
        <f>-'Costs 03'!V73</f>
        <v>-2161.610426492919</v>
      </c>
      <c r="W16" s="722">
        <f>-'Costs 03'!W73</f>
        <v>-1899.3562307578493</v>
      </c>
      <c r="X16" s="722">
        <f>-'Costs 03'!X73</f>
        <v>-1980.2246130654269</v>
      </c>
      <c r="Y16" s="722">
        <f>-'Costs 03'!Y73</f>
        <v>-2201.2436791960804</v>
      </c>
      <c r="Z16" s="722">
        <f>-'Costs 03'!Z73</f>
        <v>-1933.8415359880419</v>
      </c>
      <c r="AA16" s="722">
        <f>-'Costs 03'!AA73</f>
        <v>-1944.7422913479215</v>
      </c>
      <c r="AB16" s="722">
        <f>-'Costs 03'!AB73</f>
        <v>-2235.8220542614026</v>
      </c>
      <c r="AC16" s="722">
        <f>-'Costs 03'!AC73</f>
        <v>-2006.3369348040148</v>
      </c>
      <c r="AD16" s="722">
        <f>-'Costs 03'!AD73</f>
        <v>-2000.961044152056</v>
      </c>
      <c r="AE16" s="722">
        <f>-'Costs 03'!AE73</f>
        <v>0</v>
      </c>
      <c r="AF16" s="722">
        <f>-'Costs 03'!AF73</f>
        <v>0</v>
      </c>
      <c r="AG16" s="722">
        <f>-'Costs 03'!AG73</f>
        <v>0</v>
      </c>
    </row>
    <row r="17" spans="1:33" s="287" customFormat="1" ht="18" customHeight="1" outlineLevel="2">
      <c r="A17" s="894"/>
      <c r="B17" s="241"/>
      <c r="C17" s="36" t="str">
        <f>"   "&amp;Name_VAT &amp;" on capex"</f>
        <v xml:space="preserve">   VAT on capex</v>
      </c>
      <c r="D17" s="8" t="str">
        <f t="shared" si="0"/>
        <v>USD</v>
      </c>
      <c r="E17" s="8" t="s">
        <v>376</v>
      </c>
      <c r="F17" s="40"/>
      <c r="G17" s="40"/>
      <c r="H17" s="40"/>
      <c r="I17" s="242">
        <f t="shared" si="1"/>
        <v>-64800</v>
      </c>
      <c r="J17" s="722">
        <f>-Capex!J182</f>
        <v>-9000</v>
      </c>
      <c r="K17" s="722">
        <f>-Capex!K182</f>
        <v>-35200</v>
      </c>
      <c r="L17" s="722">
        <f>-Capex!L182</f>
        <v>0</v>
      </c>
      <c r="M17" s="722">
        <f>-Capex!M182</f>
        <v>-6400</v>
      </c>
      <c r="N17" s="722">
        <f>-Capex!N182</f>
        <v>0</v>
      </c>
      <c r="O17" s="722">
        <f>-Capex!O182</f>
        <v>0</v>
      </c>
      <c r="P17" s="722">
        <f>-Capex!P182</f>
        <v>0</v>
      </c>
      <c r="Q17" s="722">
        <f>-Capex!Q182</f>
        <v>0</v>
      </c>
      <c r="R17" s="722">
        <f>-Capex!R182</f>
        <v>0</v>
      </c>
      <c r="S17" s="722">
        <f>-Capex!S182</f>
        <v>0</v>
      </c>
      <c r="T17" s="722">
        <f>-Capex!T182</f>
        <v>0</v>
      </c>
      <c r="U17" s="722">
        <f>-Capex!U182</f>
        <v>-5200</v>
      </c>
      <c r="V17" s="722">
        <f>-Capex!V182</f>
        <v>0</v>
      </c>
      <c r="W17" s="722">
        <f>-Capex!W182</f>
        <v>-9000</v>
      </c>
      <c r="X17" s="722">
        <f>-Capex!X182</f>
        <v>0</v>
      </c>
      <c r="Y17" s="722">
        <f>-Capex!Y182</f>
        <v>0</v>
      </c>
      <c r="Z17" s="722">
        <f>-Capex!Z182</f>
        <v>0</v>
      </c>
      <c r="AA17" s="722">
        <f>-Capex!AA182</f>
        <v>0</v>
      </c>
      <c r="AB17" s="722">
        <f>-Capex!AB182</f>
        <v>0</v>
      </c>
      <c r="AC17" s="722">
        <f>-Capex!AC182</f>
        <v>0</v>
      </c>
      <c r="AD17" s="722">
        <f>-Capex!AD182</f>
        <v>0</v>
      </c>
      <c r="AE17" s="722">
        <f>-Capex!AE182</f>
        <v>0</v>
      </c>
      <c r="AF17" s="722">
        <f>-Capex!AF182</f>
        <v>0</v>
      </c>
      <c r="AG17" s="722">
        <f>-Capex!AG182</f>
        <v>0</v>
      </c>
    </row>
    <row r="18" spans="1:33" s="287" customFormat="1" ht="18" customHeight="1" outlineLevel="2">
      <c r="A18" s="894"/>
      <c r="B18" s="241"/>
      <c r="C18" s="121" t="str">
        <f>Name_VAT &amp;" payable / (recoverable)"</f>
        <v>VAT payable / (recoverable)</v>
      </c>
      <c r="D18" s="8" t="str">
        <f t="shared" si="0"/>
        <v>USD</v>
      </c>
      <c r="E18" s="40"/>
      <c r="F18" s="40"/>
      <c r="G18" s="40"/>
      <c r="H18" s="40"/>
      <c r="I18" s="242">
        <f t="shared" si="1"/>
        <v>185084.7611524626</v>
      </c>
      <c r="J18" s="439">
        <f t="shared" ref="J18:AG18" si="2">SUM(J13:J17)</f>
        <v>2081.4295999999977</v>
      </c>
      <c r="K18" s="439">
        <f t="shared" si="2"/>
        <v>-23408.359760000003</v>
      </c>
      <c r="L18" s="439">
        <f t="shared" si="2"/>
        <v>12100.020786399997</v>
      </c>
      <c r="M18" s="439">
        <f t="shared" si="2"/>
        <v>5670.9771382639956</v>
      </c>
      <c r="N18" s="439">
        <f t="shared" si="2"/>
        <v>12134.294353646637</v>
      </c>
      <c r="O18" s="439">
        <f t="shared" si="2"/>
        <v>12151.356606183102</v>
      </c>
      <c r="P18" s="439">
        <f t="shared" si="2"/>
        <v>11678.263139494933</v>
      </c>
      <c r="Q18" s="439">
        <f t="shared" si="2"/>
        <v>11681.370219302389</v>
      </c>
      <c r="R18" s="439">
        <f t="shared" si="2"/>
        <v>11951.663083128535</v>
      </c>
      <c r="S18" s="439">
        <f t="shared" si="2"/>
        <v>11295.381887474603</v>
      </c>
      <c r="T18" s="439">
        <f t="shared" si="2"/>
        <v>12050.329652339866</v>
      </c>
      <c r="U18" s="439">
        <f t="shared" si="2"/>
        <v>6688.7543029533153</v>
      </c>
      <c r="V18" s="439">
        <f t="shared" si="2"/>
        <v>11532.537765577395</v>
      </c>
      <c r="W18" s="439">
        <f t="shared" si="2"/>
        <v>2963.2538478074439</v>
      </c>
      <c r="X18" s="439">
        <f t="shared" si="2"/>
        <v>11910.572571088507</v>
      </c>
      <c r="Y18" s="439">
        <f t="shared" si="2"/>
        <v>11577.424499842537</v>
      </c>
      <c r="Z18" s="439">
        <f t="shared" si="2"/>
        <v>12050.248667036261</v>
      </c>
      <c r="AA18" s="439">
        <f t="shared" si="2"/>
        <v>12093.108496011682</v>
      </c>
      <c r="AB18" s="439">
        <f t="shared" si="2"/>
        <v>11688.967718392112</v>
      </c>
      <c r="AC18" s="439">
        <f t="shared" si="2"/>
        <v>12228.258287867366</v>
      </c>
      <c r="AD18" s="439">
        <f t="shared" si="2"/>
        <v>12964.908289651928</v>
      </c>
      <c r="AE18" s="439">
        <f t="shared" si="2"/>
        <v>0</v>
      </c>
      <c r="AF18" s="439">
        <f t="shared" si="2"/>
        <v>0</v>
      </c>
      <c r="AG18" s="439">
        <f t="shared" si="2"/>
        <v>0</v>
      </c>
    </row>
    <row r="19" spans="1:33" s="287" customFormat="1" ht="18" customHeight="1" outlineLevel="2">
      <c r="A19" s="894"/>
      <c r="B19" s="241"/>
      <c r="C19" s="128"/>
      <c r="D19" s="276"/>
      <c r="H19" s="128"/>
      <c r="I19" s="434"/>
      <c r="J19" s="332"/>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row>
    <row r="20" spans="1:33" s="287" customFormat="1" ht="18" customHeight="1" outlineLevel="2">
      <c r="A20" s="894"/>
      <c r="C20" s="425" t="str">
        <f>"Check: " &amp;Name_VAT</f>
        <v>Check: VAT</v>
      </c>
      <c r="D20" s="276"/>
      <c r="H20" s="128"/>
      <c r="I20" s="434"/>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row>
    <row r="21" spans="1:33" s="287" customFormat="1" ht="18" customHeight="1" outlineLevel="2">
      <c r="A21" s="894"/>
      <c r="C21" s="36" t="str">
        <f>Name_VAT &amp;": Input tax paid"</f>
        <v>VAT: Input tax paid</v>
      </c>
      <c r="D21" s="412" t="str">
        <f t="shared" ref="D21:D23" si="3">Currency_Label</f>
        <v>USD</v>
      </c>
      <c r="E21" s="727"/>
      <c r="F21" s="727"/>
      <c r="G21" s="346"/>
      <c r="H21" s="36"/>
      <c r="I21" s="242">
        <f ca="1">SUM(J21:AG21)</f>
        <v>358232.55685166823</v>
      </c>
      <c r="J21" s="722">
        <f ca="1">'Debtors+Creditors'!J77+'Debtors+Creditors'!J126+'Debtors+Creditors'!J182+Capex!J182</f>
        <v>15888.163000000002</v>
      </c>
      <c r="K21" s="722">
        <f ca="1">'Debtors+Creditors'!K77+'Debtors+Creditors'!K126+'Debtors+Creditors'!K182+Capex!K182</f>
        <v>48611.999159999999</v>
      </c>
      <c r="L21" s="722">
        <f ca="1">'Debtors+Creditors'!L77+'Debtors+Creditors'!L126+'Debtors+Creditors'!L182+Capex!L182</f>
        <v>13678.353517600002</v>
      </c>
      <c r="M21" s="722">
        <f ca="1">'Debtors+Creditors'!M77+'Debtors+Creditors'!M126+'Debtors+Creditors'!M182+Capex!M182</f>
        <v>20098.109018776002</v>
      </c>
      <c r="N21" s="722">
        <f ca="1">'Debtors+Creditors'!N77+'Debtors+Creditors'!N126+'Debtors+Creditors'!N182+Capex!N182</f>
        <v>13688.764374963761</v>
      </c>
      <c r="O21" s="722">
        <f ca="1">'Debtors+Creditors'!O77+'Debtors+Creditors'!O126+'Debtors+Creditors'!O182+Capex!O182</f>
        <v>13710.539219713401</v>
      </c>
      <c r="P21" s="722">
        <f ca="1">'Debtors+Creditors'!P77+'Debtors+Creditors'!P126+'Debtors+Creditors'!P182+Capex!P182</f>
        <v>14222.858154660535</v>
      </c>
      <c r="Q21" s="722">
        <f ca="1">'Debtors+Creditors'!Q77+'Debtors+Creditors'!Q126+'Debtors+Creditors'!Q182+Capex!Q182</f>
        <v>13618.118797794636</v>
      </c>
      <c r="R21" s="722">
        <f ca="1">'Debtors+Creditors'!R77+'Debtors+Creditors'!R126+'Debtors+Creditors'!R182+Capex!R182</f>
        <v>13366.279834139461</v>
      </c>
      <c r="S21" s="722">
        <f ca="1">'Debtors+Creditors'!S77+'Debtors+Creditors'!S126+'Debtors+Creditors'!S182+Capex!S182</f>
        <v>14238.795068966072</v>
      </c>
      <c r="T21" s="722">
        <f ca="1">'Debtors+Creditors'!T77+'Debtors+Creditors'!T126+'Debtors+Creditors'!T182+Capex!T182</f>
        <v>14024.272683665215</v>
      </c>
      <c r="U21" s="722">
        <f ca="1">'Debtors+Creditors'!U77+'Debtors+Creditors'!U126+'Debtors+Creditors'!U182+Capex!U182</f>
        <v>19070.069794411822</v>
      </c>
      <c r="V21" s="722">
        <f ca="1">'Debtors+Creditors'!V77+'Debtors+Creditors'!V126+'Debtors+Creditors'!V182+Capex!V182</f>
        <v>14249.556950761391</v>
      </c>
      <c r="W21" s="722">
        <f ca="1">'Debtors+Creditors'!W77+'Debtors+Creditors'!W126+'Debtors+Creditors'!W182+Capex!W182</f>
        <v>22864.955265694727</v>
      </c>
      <c r="X21" s="722">
        <f ca="1">'Debtors+Creditors'!X77+'Debtors+Creditors'!X126+'Debtors+Creditors'!X182+Capex!X182</f>
        <v>13964.212083548686</v>
      </c>
      <c r="Y21" s="722">
        <f ca="1">'Debtors+Creditors'!Y77+'Debtors+Creditors'!Y126+'Debtors+Creditors'!Y182+Capex!Y182</f>
        <v>14344.401451341031</v>
      </c>
      <c r="Z21" s="722">
        <f ca="1">'Debtors+Creditors'!Z77+'Debtors+Creditors'!Z126+'Debtors+Creditors'!Z182+Capex!Z182</f>
        <v>13973.538993659145</v>
      </c>
      <c r="AA21" s="722">
        <f ca="1">'Debtors+Creditors'!AA77+'Debtors+Creditors'!AA126+'Debtors+Creditors'!AA182+Capex!AA182</f>
        <v>13999.785991290677</v>
      </c>
      <c r="AB21" s="722">
        <f ca="1">'Debtors+Creditors'!AB77+'Debtors+Creditors'!AB126+'Debtors+Creditors'!AB182+Capex!AB182</f>
        <v>14441.83346378327</v>
      </c>
      <c r="AC21" s="722">
        <f ca="1">'Debtors+Creditors'!AC77+'Debtors+Creditors'!AC126+'Debtors+Creditors'!AC182+Capex!AC182</f>
        <v>13908.144256129772</v>
      </c>
      <c r="AD21" s="722">
        <f ca="1">'Debtors+Creditors'!AD77+'Debtors+Creditors'!AD126+'Debtors+Creditors'!AD182+Capex!AD182</f>
        <v>14250.410129785176</v>
      </c>
      <c r="AE21" s="722">
        <f ca="1">'Debtors+Creditors'!AE77+'Debtors+Creditors'!AE126+'Debtors+Creditors'!AE182+Capex!AE182</f>
        <v>7567.2356409834683</v>
      </c>
      <c r="AF21" s="722">
        <f ca="1">'Debtors+Creditors'!AF77+'Debtors+Creditors'!AF126+'Debtors+Creditors'!AF182+Capex!AF182</f>
        <v>343.04000000000008</v>
      </c>
      <c r="AG21" s="722">
        <f ca="1">'Debtors+Creditors'!AG77+'Debtors+Creditors'!AG126+'Debtors+Creditors'!AG182+Capex!AG182</f>
        <v>109.12000000000002</v>
      </c>
    </row>
    <row r="22" spans="1:33" s="287" customFormat="1" ht="18" customHeight="1" outlineLevel="2">
      <c r="A22" s="894"/>
      <c r="C22" s="36" t="str">
        <f>Name_VAT &amp;": Output tax received"</f>
        <v>VAT: Output tax received</v>
      </c>
      <c r="D22" s="412" t="str">
        <f t="shared" si="3"/>
        <v>USD</v>
      </c>
      <c r="E22" s="727"/>
      <c r="F22" s="727"/>
      <c r="G22" s="36"/>
      <c r="H22" s="36"/>
      <c r="I22" s="242">
        <f>SUM(J22:AG22)</f>
        <v>543317.31800413085</v>
      </c>
      <c r="J22" s="722">
        <f>'Debtors+Creditors'!J45</f>
        <v>19937.778999999999</v>
      </c>
      <c r="K22" s="722">
        <f>'Debtors+Creditors'!K45</f>
        <v>24382.01035</v>
      </c>
      <c r="L22" s="722">
        <f>'Debtors+Creditors'!L45</f>
        <v>25709.090113499999</v>
      </c>
      <c r="M22" s="722">
        <f>'Debtors+Creditors'!M45</f>
        <v>25796.432024634996</v>
      </c>
      <c r="N22" s="722">
        <f>'Debtors+Creditors'!N45</f>
        <v>25834.904854881348</v>
      </c>
      <c r="O22" s="722">
        <f>'Debtors+Creditors'!O45</f>
        <v>25873.762413430162</v>
      </c>
      <c r="P22" s="722">
        <f>'Debtors+Creditors'!P45</f>
        <v>25913.008547564463</v>
      </c>
      <c r="Q22" s="722">
        <f>'Debtors+Creditors'!Q45</f>
        <v>25280.08914304011</v>
      </c>
      <c r="R22" s="722">
        <f>'Debtors+Creditors'!R45</f>
        <v>25508.062124470511</v>
      </c>
      <c r="S22" s="722">
        <f>'Debtors+Creditors'!S45</f>
        <v>25682.457455715219</v>
      </c>
      <c r="T22" s="722">
        <f>'Debtors+Creditors'!T45</f>
        <v>25953.787140272369</v>
      </c>
      <c r="U22" s="722">
        <f>'Debtors+Creditors'!U45</f>
        <v>25748.430621675096</v>
      </c>
      <c r="V22" s="722">
        <f>'Debtors+Creditors'!V45</f>
        <v>25794.110377891848</v>
      </c>
      <c r="W22" s="722">
        <f>'Debtors+Creditors'!W45</f>
        <v>25840.246931670765</v>
      </c>
      <c r="X22" s="722">
        <f>'Debtors+Creditors'!X45</f>
        <v>25886.844850987469</v>
      </c>
      <c r="Y22" s="722">
        <f>'Debtors+Creditors'!Y45</f>
        <v>25933.908749497346</v>
      </c>
      <c r="Z22" s="722">
        <f>'Debtors+Creditors'!Z45</f>
        <v>26033.451286992324</v>
      </c>
      <c r="AA22" s="722">
        <f>'Debtors+Creditors'!AA45</f>
        <v>26094.463169862243</v>
      </c>
      <c r="AB22" s="722">
        <f>'Debtors+Creditors'!AB45</f>
        <v>26142.953151560869</v>
      </c>
      <c r="AC22" s="722">
        <f>'Debtors+Creditors'!AC45</f>
        <v>26078.653033076473</v>
      </c>
      <c r="AD22" s="722">
        <f>'Debtors+Creditors'!AD45</f>
        <v>27449.002663407242</v>
      </c>
      <c r="AE22" s="722">
        <f>'Debtors+Creditors'!AE45</f>
        <v>5393.86</v>
      </c>
      <c r="AF22" s="722">
        <f>'Debtors+Creditors'!AF45</f>
        <v>1050.01</v>
      </c>
      <c r="AG22" s="722">
        <f>'Debtors+Creditors'!AG45</f>
        <v>0</v>
      </c>
    </row>
    <row r="23" spans="1:33" s="287" customFormat="1" ht="18" customHeight="1" outlineLevel="2">
      <c r="A23" s="894"/>
      <c r="C23" s="36" t="s">
        <v>420</v>
      </c>
      <c r="D23" s="412" t="str">
        <f t="shared" si="3"/>
        <v>USD</v>
      </c>
      <c r="E23" s="727"/>
      <c r="F23" s="727"/>
      <c r="G23" s="728"/>
      <c r="H23" s="685">
        <f ca="1">ROUND(I23-I18,4)</f>
        <v>0</v>
      </c>
      <c r="I23" s="511">
        <f ca="1">I22-I21</f>
        <v>185084.76115246263</v>
      </c>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row>
    <row r="24" spans="1:33" s="287" customFormat="1" ht="18" customHeight="1" outlineLevel="2">
      <c r="A24" s="894"/>
      <c r="C24" s="128"/>
      <c r="D24" s="276"/>
      <c r="E24" s="345"/>
      <c r="F24" s="345"/>
      <c r="I24" s="452"/>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row>
    <row r="25" spans="1:33" s="287" customFormat="1" ht="20.25" customHeight="1" outlineLevel="1">
      <c r="A25" s="894"/>
      <c r="B25" s="423">
        <v>2</v>
      </c>
      <c r="C25" s="279" t="str">
        <f>"BS Account: "&amp;Name_VAT &amp;" owed to tax authority"</f>
        <v>BS Account: VAT owed to tax authority</v>
      </c>
      <c r="D25" s="128"/>
      <c r="E25" s="345"/>
      <c r="G25" s="128"/>
      <c r="H25" s="128"/>
      <c r="I25" s="434"/>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row>
    <row r="26" spans="1:33" s="287" customFormat="1" ht="18" customHeight="1" outlineLevel="2">
      <c r="A26" s="894"/>
      <c r="B26" s="241"/>
      <c r="C26" s="117" t="s">
        <v>140</v>
      </c>
      <c r="D26" s="8" t="str">
        <f>Currency_Label</f>
        <v>USD</v>
      </c>
      <c r="E26" s="124"/>
      <c r="F26" s="124"/>
      <c r="G26" s="40"/>
      <c r="H26" s="40"/>
      <c r="I26" s="185"/>
      <c r="J26" s="722">
        <f>I30*'Debtors+Creditors'!J$6</f>
        <v>0</v>
      </c>
      <c r="K26" s="722">
        <f ca="1">J30*'Debtors+Creditors'!K$6</f>
        <v>2081.4295999999977</v>
      </c>
      <c r="L26" s="722">
        <f ca="1">K30*'Debtors+Creditors'!L$6</f>
        <v>-21326.930160000004</v>
      </c>
      <c r="M26" s="722">
        <f ca="1">L30*'Debtors+Creditors'!M$6</f>
        <v>-9226.9093736000068</v>
      </c>
      <c r="N26" s="722">
        <f ca="1">M30*'Debtors+Creditors'!N$6</f>
        <v>5670.9771382639956</v>
      </c>
      <c r="O26" s="722">
        <f ca="1">N30*'Debtors+Creditors'!O$6</f>
        <v>17805.271491910633</v>
      </c>
      <c r="P26" s="722">
        <f ca="1">O30*'Debtors+Creditors'!P$6</f>
        <v>29956.628098093737</v>
      </c>
      <c r="Q26" s="722">
        <f ca="1">P30*'Debtors+Creditors'!Q$6</f>
        <v>11678.263139494935</v>
      </c>
      <c r="R26" s="722">
        <f ca="1">Q30*'Debtors+Creditors'!R$6</f>
        <v>23359.633358797324</v>
      </c>
      <c r="S26" s="722">
        <f ca="1">R30*'Debtors+Creditors'!S$6</f>
        <v>35311.296441925857</v>
      </c>
      <c r="T26" s="722">
        <f ca="1">S30*'Debtors+Creditors'!T$6</f>
        <v>11295.381887474599</v>
      </c>
      <c r="U26" s="722">
        <f ca="1">T30*'Debtors+Creditors'!U$6</f>
        <v>23345.711539814467</v>
      </c>
      <c r="V26" s="722">
        <f ca="1">U30*'Debtors+Creditors'!V$6</f>
        <v>30034.465842767782</v>
      </c>
      <c r="W26" s="722">
        <f ca="1">V30*'Debtors+Creditors'!W$6</f>
        <v>11532.537765577395</v>
      </c>
      <c r="X26" s="722">
        <f ca="1">W30*'Debtors+Creditors'!X$6</f>
        <v>14495.791613384839</v>
      </c>
      <c r="Y26" s="722">
        <f ca="1">X30*'Debtors+Creditors'!Y$6</f>
        <v>26406.364184473347</v>
      </c>
      <c r="Z26" s="722">
        <f ca="1">Y30*'Debtors+Creditors'!Z$6</f>
        <v>11577.424499842538</v>
      </c>
      <c r="AA26" s="722">
        <f ca="1">Z30*'Debtors+Creditors'!AA$6</f>
        <v>23627.673166878798</v>
      </c>
      <c r="AB26" s="722">
        <f ca="1">AA30*'Debtors+Creditors'!AB$6</f>
        <v>35720.781662890484</v>
      </c>
      <c r="AC26" s="722">
        <f ca="1">AB30*'Debtors+Creditors'!AC$6</f>
        <v>11688.967718392116</v>
      </c>
      <c r="AD26" s="722">
        <f ca="1">AC30*'Debtors+Creditors'!AD$6</f>
        <v>23917.22600625948</v>
      </c>
      <c r="AE26" s="722">
        <f ca="1">AD30*'Debtors+Creditors'!AE$6</f>
        <v>0</v>
      </c>
      <c r="AF26" s="722">
        <f ca="1">AE30*'Debtors+Creditors'!AF$6</f>
        <v>0</v>
      </c>
      <c r="AG26" s="722">
        <f ca="1">AF30*'Debtors+Creditors'!AG$6</f>
        <v>0</v>
      </c>
    </row>
    <row r="27" spans="1:33" s="287" customFormat="1" ht="18" customHeight="1" outlineLevel="2">
      <c r="A27" s="894"/>
      <c r="B27" s="241"/>
      <c r="C27" s="24" t="str">
        <f>"   " &amp;Name_VAT &amp;" payable / (recoverable)"</f>
        <v xml:space="preserve">   VAT payable / (recoverable)</v>
      </c>
      <c r="D27" s="8" t="str">
        <f>Currency_Label</f>
        <v>USD</v>
      </c>
      <c r="E27" s="132" t="s">
        <v>142</v>
      </c>
      <c r="F27" s="124"/>
      <c r="G27" s="40"/>
      <c r="H27" s="40"/>
      <c r="I27" s="242">
        <f>SUM(J27:AG27)</f>
        <v>185084.7611524626</v>
      </c>
      <c r="J27" s="722">
        <f t="shared" ref="J27:AG27" si="4">J18</f>
        <v>2081.4295999999977</v>
      </c>
      <c r="K27" s="722">
        <f t="shared" si="4"/>
        <v>-23408.359760000003</v>
      </c>
      <c r="L27" s="722">
        <f t="shared" si="4"/>
        <v>12100.020786399997</v>
      </c>
      <c r="M27" s="722">
        <f t="shared" si="4"/>
        <v>5670.9771382639956</v>
      </c>
      <c r="N27" s="722">
        <f t="shared" si="4"/>
        <v>12134.294353646637</v>
      </c>
      <c r="O27" s="722">
        <f t="shared" si="4"/>
        <v>12151.356606183102</v>
      </c>
      <c r="P27" s="722">
        <f t="shared" si="4"/>
        <v>11678.263139494933</v>
      </c>
      <c r="Q27" s="722">
        <f t="shared" si="4"/>
        <v>11681.370219302389</v>
      </c>
      <c r="R27" s="722">
        <f t="shared" si="4"/>
        <v>11951.663083128535</v>
      </c>
      <c r="S27" s="722">
        <f t="shared" si="4"/>
        <v>11295.381887474603</v>
      </c>
      <c r="T27" s="722">
        <f t="shared" si="4"/>
        <v>12050.329652339866</v>
      </c>
      <c r="U27" s="722">
        <f t="shared" si="4"/>
        <v>6688.7543029533153</v>
      </c>
      <c r="V27" s="722">
        <f t="shared" si="4"/>
        <v>11532.537765577395</v>
      </c>
      <c r="W27" s="722">
        <f t="shared" si="4"/>
        <v>2963.2538478074439</v>
      </c>
      <c r="X27" s="722">
        <f t="shared" si="4"/>
        <v>11910.572571088507</v>
      </c>
      <c r="Y27" s="722">
        <f t="shared" si="4"/>
        <v>11577.424499842537</v>
      </c>
      <c r="Z27" s="722">
        <f t="shared" si="4"/>
        <v>12050.248667036261</v>
      </c>
      <c r="AA27" s="722">
        <f t="shared" si="4"/>
        <v>12093.108496011682</v>
      </c>
      <c r="AB27" s="722">
        <f t="shared" si="4"/>
        <v>11688.967718392112</v>
      </c>
      <c r="AC27" s="722">
        <f t="shared" si="4"/>
        <v>12228.258287867366</v>
      </c>
      <c r="AD27" s="722">
        <f t="shared" si="4"/>
        <v>12964.908289651928</v>
      </c>
      <c r="AE27" s="722">
        <f t="shared" si="4"/>
        <v>0</v>
      </c>
      <c r="AF27" s="722">
        <f t="shared" si="4"/>
        <v>0</v>
      </c>
      <c r="AG27" s="722">
        <f t="shared" si="4"/>
        <v>0</v>
      </c>
    </row>
    <row r="28" spans="1:33" s="287" customFormat="1" ht="18" customHeight="1" outlineLevel="2">
      <c r="A28" s="894"/>
      <c r="C28" s="649" t="s">
        <v>139</v>
      </c>
      <c r="D28" s="8" t="s">
        <v>29</v>
      </c>
      <c r="E28" s="526" t="str">
        <f>Inputs!F187</f>
        <v>Quarterly</v>
      </c>
      <c r="F28" s="526">
        <f>Inputs!G187</f>
        <v>3</v>
      </c>
      <c r="G28" s="652" t="s">
        <v>138</v>
      </c>
      <c r="H28" s="651">
        <v>0</v>
      </c>
      <c r="I28" s="758"/>
      <c r="J28" s="650">
        <f>IF(MOD(MONTH('Debtors+Creditors'!J$5)-$H28,$F28)=0,1,0)*J6</f>
        <v>1</v>
      </c>
      <c r="K28" s="650">
        <f>IF(MOD(MONTH('Debtors+Creditors'!K$5)-$H28,$F28)=0,1,0)*K6</f>
        <v>0</v>
      </c>
      <c r="L28" s="650">
        <f>IF(MOD(MONTH('Debtors+Creditors'!L$5)-$H28,$F28)=0,1,0)*L6</f>
        <v>0</v>
      </c>
      <c r="M28" s="650">
        <f>IF(MOD(MONTH('Debtors+Creditors'!M$5)-$H28,$F28)=0,1,0)*M6</f>
        <v>1</v>
      </c>
      <c r="N28" s="650">
        <f>IF(MOD(MONTH('Debtors+Creditors'!N$5)-$H28,$F28)=0,1,0)*N6</f>
        <v>0</v>
      </c>
      <c r="O28" s="650">
        <f>IF(MOD(MONTH('Debtors+Creditors'!O$5)-$H28,$F28)=0,1,0)*O6</f>
        <v>0</v>
      </c>
      <c r="P28" s="650">
        <f>IF(MOD(MONTH('Debtors+Creditors'!P$5)-$H28,$F28)=0,1,0)*P6</f>
        <v>1</v>
      </c>
      <c r="Q28" s="650">
        <f>IF(MOD(MONTH('Debtors+Creditors'!Q$5)-$H28,$F28)=0,1,0)*Q6</f>
        <v>0</v>
      </c>
      <c r="R28" s="650">
        <f>IF(MOD(MONTH('Debtors+Creditors'!R$5)-$H28,$F28)=0,1,0)*R6</f>
        <v>0</v>
      </c>
      <c r="S28" s="650">
        <f>IF(MOD(MONTH('Debtors+Creditors'!S$5)-$H28,$F28)=0,1,0)*S6</f>
        <v>1</v>
      </c>
      <c r="T28" s="650">
        <f>IF(MOD(MONTH('Debtors+Creditors'!T$5)-$H28,$F28)=0,1,0)*T6</f>
        <v>0</v>
      </c>
      <c r="U28" s="650">
        <f>IF(MOD(MONTH('Debtors+Creditors'!U$5)-$H28,$F28)=0,1,0)*U6</f>
        <v>0</v>
      </c>
      <c r="V28" s="650">
        <f>IF(MOD(MONTH('Debtors+Creditors'!V$5)-$H28,$F28)=0,1,0)*V6</f>
        <v>1</v>
      </c>
      <c r="W28" s="650">
        <f>IF(MOD(MONTH('Debtors+Creditors'!W$5)-$H28,$F28)=0,1,0)*W6</f>
        <v>0</v>
      </c>
      <c r="X28" s="650">
        <f>IF(MOD(MONTH('Debtors+Creditors'!X$5)-$H28,$F28)=0,1,0)*X6</f>
        <v>0</v>
      </c>
      <c r="Y28" s="650">
        <f>IF(MOD(MONTH('Debtors+Creditors'!Y$5)-$H28,$F28)=0,1,0)*Y6</f>
        <v>1</v>
      </c>
      <c r="Z28" s="650">
        <f>IF(MOD(MONTH('Debtors+Creditors'!Z$5)-$H28,$F28)=0,1,0)*Z6</f>
        <v>0</v>
      </c>
      <c r="AA28" s="650">
        <f>IF(MOD(MONTH('Debtors+Creditors'!AA$5)-$H28,$F28)=0,1,0)*AA6</f>
        <v>0</v>
      </c>
      <c r="AB28" s="650">
        <f>IF(MOD(MONTH('Debtors+Creditors'!AB$5)-$H28,$F28)=0,1,0)*AB6</f>
        <v>1</v>
      </c>
      <c r="AC28" s="650">
        <f>IF(MOD(MONTH('Debtors+Creditors'!AC$5)-$H28,$F28)=0,1,0)*AC6</f>
        <v>0</v>
      </c>
      <c r="AD28" s="650">
        <f>IF(MOD(MONTH('Debtors+Creditors'!AD$5)-$H28,$F28)=0,1,0)*AD6</f>
        <v>0</v>
      </c>
      <c r="AE28" s="650">
        <f>IF(MOD(MONTH('Debtors+Creditors'!AE$5)-$H28,$F28)=0,1,0)*AE6</f>
        <v>0</v>
      </c>
      <c r="AF28" s="650">
        <f>IF(MOD(MONTH('Debtors+Creditors'!AF$5)-$H28,$F28)=0,1,0)*AF6</f>
        <v>0</v>
      </c>
      <c r="AG28" s="650">
        <f>IF(MOD(MONTH('Debtors+Creditors'!AG$5)-$H28,$F28)=0,1,0)*AG6</f>
        <v>0</v>
      </c>
    </row>
    <row r="29" spans="1:33" s="287" customFormat="1" ht="18" customHeight="1" outlineLevel="2">
      <c r="A29" s="894"/>
      <c r="B29" s="241"/>
      <c r="C29" s="24" t="str">
        <f>"   " &amp;Name_VAT &amp;" paid/recovered"</f>
        <v xml:space="preserve">   VAT paid/recovered</v>
      </c>
      <c r="D29" s="8" t="str">
        <f>Currency_Label</f>
        <v>USD</v>
      </c>
      <c r="E29" s="132" t="s">
        <v>695</v>
      </c>
      <c r="F29" s="124"/>
      <c r="G29" s="40"/>
      <c r="H29" s="40"/>
      <c r="I29" s="242">
        <f ca="1">SUM(J29:AG29)</f>
        <v>-148202.62685655121</v>
      </c>
      <c r="J29" s="722">
        <f ca="1">IF('Debtors+Creditors'!J$7=1,0,-IF('Debtors+Creditors'!J$7&lt;=$F28,SUM(OFFSET(I27,0,0,1,-'Debtors+Creditors'!J$7+1)),SUM(OFFSET(I27,0,0,1,-$F28)))*J28)</f>
        <v>0</v>
      </c>
      <c r="K29" s="722">
        <f ca="1">IF('Debtors+Creditors'!K$7=1,0,-IF('Debtors+Creditors'!K$7&lt;=$F28,SUM(OFFSET(J27,0,0,1,-'Debtors+Creditors'!K$7+1)),SUM(OFFSET(J27,0,0,1,-$F28)))*K28)</f>
        <v>0</v>
      </c>
      <c r="L29" s="722">
        <f ca="1">IF('Debtors+Creditors'!L$7=1,0,-IF('Debtors+Creditors'!L$7&lt;=$F28,SUM(OFFSET(K27,0,0,1,-'Debtors+Creditors'!L$7+1)),SUM(OFFSET(K27,0,0,1,-$F28)))*L28)</f>
        <v>0</v>
      </c>
      <c r="M29" s="722">
        <f ca="1">IF('Debtors+Creditors'!M$7=1,0,-IF('Debtors+Creditors'!M$7&lt;=$F28,SUM(OFFSET(L27,0,0,1,-'Debtors+Creditors'!M$7+1)),SUM(OFFSET(L27,0,0,1,-$F28)))*M28)</f>
        <v>9226.9093736000068</v>
      </c>
      <c r="N29" s="722">
        <f ca="1">IF('Debtors+Creditors'!N$7=1,0,-IF('Debtors+Creditors'!N$7&lt;=$F28,SUM(OFFSET(M27,0,0,1,-'Debtors+Creditors'!N$7+1)),SUM(OFFSET(M27,0,0,1,-$F28)))*N28)</f>
        <v>0</v>
      </c>
      <c r="O29" s="722">
        <f ca="1">IF('Debtors+Creditors'!O$7=1,0,-IF('Debtors+Creditors'!O$7&lt;=$F28,SUM(OFFSET(N27,0,0,1,-'Debtors+Creditors'!O$7+1)),SUM(OFFSET(N27,0,0,1,-$F28)))*O28)</f>
        <v>0</v>
      </c>
      <c r="P29" s="722">
        <f ca="1">IF('Debtors+Creditors'!P$7=1,0,-IF('Debtors+Creditors'!P$7&lt;=$F28,SUM(OFFSET(O27,0,0,1,-'Debtors+Creditors'!P$7+1)),SUM(OFFSET(O27,0,0,1,-$F28)))*P28)</f>
        <v>-29956.628098093737</v>
      </c>
      <c r="Q29" s="722">
        <f ca="1">IF('Debtors+Creditors'!Q$7=1,0,-IF('Debtors+Creditors'!Q$7&lt;=$F28,SUM(OFFSET(P27,0,0,1,-'Debtors+Creditors'!Q$7+1)),SUM(OFFSET(P27,0,0,1,-$F28)))*Q28)</f>
        <v>0</v>
      </c>
      <c r="R29" s="722">
        <f ca="1">IF('Debtors+Creditors'!R$7=1,0,-IF('Debtors+Creditors'!R$7&lt;=$F28,SUM(OFFSET(Q27,0,0,1,-'Debtors+Creditors'!R$7+1)),SUM(OFFSET(Q27,0,0,1,-$F28)))*R28)</f>
        <v>0</v>
      </c>
      <c r="S29" s="722">
        <f ca="1">IF('Debtors+Creditors'!S$7=1,0,-IF('Debtors+Creditors'!S$7&lt;=$F28,SUM(OFFSET(R27,0,0,1,-'Debtors+Creditors'!S$7+1)),SUM(OFFSET(R27,0,0,1,-$F28)))*S28)</f>
        <v>-35311.296441925857</v>
      </c>
      <c r="T29" s="722">
        <f ca="1">IF('Debtors+Creditors'!T$7=1,0,-IF('Debtors+Creditors'!T$7&lt;=$F28,SUM(OFFSET(S27,0,0,1,-'Debtors+Creditors'!T$7+1)),SUM(OFFSET(S27,0,0,1,-$F28)))*T28)</f>
        <v>0</v>
      </c>
      <c r="U29" s="722">
        <f ca="1">IF('Debtors+Creditors'!U$7=1,0,-IF('Debtors+Creditors'!U$7&lt;=$F28,SUM(OFFSET(T27,0,0,1,-'Debtors+Creditors'!U$7+1)),SUM(OFFSET(T27,0,0,1,-$F28)))*U28)</f>
        <v>0</v>
      </c>
      <c r="V29" s="722">
        <f ca="1">IF('Debtors+Creditors'!V$7=1,0,-IF('Debtors+Creditors'!V$7&lt;=$F28,SUM(OFFSET(U27,0,0,1,-'Debtors+Creditors'!V$7+1)),SUM(OFFSET(U27,0,0,1,-$F28)))*V28)</f>
        <v>-30034.465842767782</v>
      </c>
      <c r="W29" s="722">
        <f ca="1">IF('Debtors+Creditors'!W$7=1,0,-IF('Debtors+Creditors'!W$7&lt;=$F28,SUM(OFFSET(V27,0,0,1,-'Debtors+Creditors'!W$7+1)),SUM(OFFSET(V27,0,0,1,-$F28)))*W28)</f>
        <v>0</v>
      </c>
      <c r="X29" s="722">
        <f ca="1">IF('Debtors+Creditors'!X$7=1,0,-IF('Debtors+Creditors'!X$7&lt;=$F28,SUM(OFFSET(W27,0,0,1,-'Debtors+Creditors'!X$7+1)),SUM(OFFSET(W27,0,0,1,-$F28)))*X28)</f>
        <v>0</v>
      </c>
      <c r="Y29" s="722">
        <f ca="1">IF('Debtors+Creditors'!Y$7=1,0,-IF('Debtors+Creditors'!Y$7&lt;=$F28,SUM(OFFSET(X27,0,0,1,-'Debtors+Creditors'!Y$7+1)),SUM(OFFSET(X27,0,0,1,-$F28)))*Y28)</f>
        <v>-26406.364184473347</v>
      </c>
      <c r="Z29" s="722">
        <f ca="1">IF('Debtors+Creditors'!Z$7=1,0,-IF('Debtors+Creditors'!Z$7&lt;=$F28,SUM(OFFSET(Y27,0,0,1,-'Debtors+Creditors'!Z$7+1)),SUM(OFFSET(Y27,0,0,1,-$F28)))*Z28)</f>
        <v>0</v>
      </c>
      <c r="AA29" s="722">
        <f ca="1">IF('Debtors+Creditors'!AA$7=1,0,-IF('Debtors+Creditors'!AA$7&lt;=$F28,SUM(OFFSET(Z27,0,0,1,-'Debtors+Creditors'!AA$7+1)),SUM(OFFSET(Z27,0,0,1,-$F28)))*AA28)</f>
        <v>0</v>
      </c>
      <c r="AB29" s="722">
        <f ca="1">IF('Debtors+Creditors'!AB$7=1,0,-IF('Debtors+Creditors'!AB$7&lt;=$F28,SUM(OFFSET(AA27,0,0,1,-'Debtors+Creditors'!AB$7+1)),SUM(OFFSET(AA27,0,0,1,-$F28)))*AB28)</f>
        <v>-35720.781662890484</v>
      </c>
      <c r="AC29" s="722">
        <f ca="1">IF('Debtors+Creditors'!AC$7=1,0,-IF('Debtors+Creditors'!AC$7&lt;=$F28,SUM(OFFSET(AB27,0,0,1,-'Debtors+Creditors'!AC$7+1)),SUM(OFFSET(AB27,0,0,1,-$F28)))*AC28)</f>
        <v>0</v>
      </c>
      <c r="AD29" s="722">
        <f ca="1">IF('Debtors+Creditors'!AD$7=1,0,-IF('Debtors+Creditors'!AD$7&lt;=$F28,SUM(OFFSET(AC27,0,0,1,-'Debtors+Creditors'!AD$7+1)),SUM(OFFSET(AC27,0,0,1,-$F28)))*AD28)</f>
        <v>0</v>
      </c>
      <c r="AE29" s="722">
        <f ca="1">IF('Debtors+Creditors'!AE$7=1,0,-IF('Debtors+Creditors'!AE$7&lt;=$F28,SUM(OFFSET(AD27,0,0,1,-'Debtors+Creditors'!AE$7+1)),SUM(OFFSET(AD27,0,0,1,-$F28)))*AE28)</f>
        <v>0</v>
      </c>
      <c r="AF29" s="722">
        <f ca="1">IF('Debtors+Creditors'!AF$7=1,0,-IF('Debtors+Creditors'!AF$7&lt;=$F28,SUM(OFFSET(AE27,0,0,1,-'Debtors+Creditors'!AF$7+1)),SUM(OFFSET(AE27,0,0,1,-$F28)))*AF28)</f>
        <v>0</v>
      </c>
      <c r="AG29" s="722">
        <f ca="1">IF('Debtors+Creditors'!AG$7=1,0,-IF('Debtors+Creditors'!AG$7&lt;=$F28,SUM(OFFSET(AF27,0,0,1,-'Debtors+Creditors'!AG$7+1)),SUM(OFFSET(AF27,0,0,1,-$F28)))*AG28)</f>
        <v>0</v>
      </c>
    </row>
    <row r="30" spans="1:33" s="287" customFormat="1" ht="18" customHeight="1" outlineLevel="2" thickBot="1">
      <c r="A30" s="894"/>
      <c r="B30" s="241"/>
      <c r="C30" s="117" t="s">
        <v>141</v>
      </c>
      <c r="D30" s="8" t="str">
        <f>Currency_Label</f>
        <v>USD</v>
      </c>
      <c r="E30" s="132" t="s">
        <v>143</v>
      </c>
      <c r="F30" s="117"/>
      <c r="G30" s="117"/>
      <c r="H30" s="40"/>
      <c r="I30" s="759"/>
      <c r="J30" s="524">
        <f t="shared" ref="J30:AG30" ca="1" si="5">J26+J27+J29</f>
        <v>2081.4295999999977</v>
      </c>
      <c r="K30" s="524">
        <f t="shared" ca="1" si="5"/>
        <v>-21326.930160000004</v>
      </c>
      <c r="L30" s="524">
        <f t="shared" ca="1" si="5"/>
        <v>-9226.9093736000068</v>
      </c>
      <c r="M30" s="524">
        <f t="shared" ca="1" si="5"/>
        <v>5670.9771382639956</v>
      </c>
      <c r="N30" s="524">
        <f t="shared" ca="1" si="5"/>
        <v>17805.271491910633</v>
      </c>
      <c r="O30" s="524">
        <f t="shared" ca="1" si="5"/>
        <v>29956.628098093737</v>
      </c>
      <c r="P30" s="524">
        <f t="shared" ca="1" si="5"/>
        <v>11678.263139494935</v>
      </c>
      <c r="Q30" s="524">
        <f t="shared" ca="1" si="5"/>
        <v>23359.633358797324</v>
      </c>
      <c r="R30" s="524">
        <f t="shared" ca="1" si="5"/>
        <v>35311.296441925857</v>
      </c>
      <c r="S30" s="524">
        <f t="shared" ca="1" si="5"/>
        <v>11295.381887474599</v>
      </c>
      <c r="T30" s="524">
        <f t="shared" ca="1" si="5"/>
        <v>23345.711539814467</v>
      </c>
      <c r="U30" s="524">
        <f t="shared" ca="1" si="5"/>
        <v>30034.465842767782</v>
      </c>
      <c r="V30" s="524">
        <f t="shared" ca="1" si="5"/>
        <v>11532.537765577395</v>
      </c>
      <c r="W30" s="524">
        <f t="shared" ca="1" si="5"/>
        <v>14495.791613384839</v>
      </c>
      <c r="X30" s="524">
        <f t="shared" ca="1" si="5"/>
        <v>26406.364184473347</v>
      </c>
      <c r="Y30" s="524">
        <f t="shared" ca="1" si="5"/>
        <v>11577.424499842538</v>
      </c>
      <c r="Z30" s="524">
        <f t="shared" ca="1" si="5"/>
        <v>23627.673166878798</v>
      </c>
      <c r="AA30" s="524">
        <f t="shared" ca="1" si="5"/>
        <v>35720.781662890484</v>
      </c>
      <c r="AB30" s="524">
        <f t="shared" ca="1" si="5"/>
        <v>11688.967718392116</v>
      </c>
      <c r="AC30" s="524">
        <f t="shared" ca="1" si="5"/>
        <v>23917.22600625948</v>
      </c>
      <c r="AD30" s="524">
        <f t="shared" ca="1" si="5"/>
        <v>36882.134295911412</v>
      </c>
      <c r="AE30" s="524">
        <f t="shared" ca="1" si="5"/>
        <v>0</v>
      </c>
      <c r="AF30" s="524">
        <f t="shared" ca="1" si="5"/>
        <v>0</v>
      </c>
      <c r="AG30" s="524">
        <f t="shared" ca="1" si="5"/>
        <v>0</v>
      </c>
    </row>
    <row r="31" spans="1:33" s="287" customFormat="1" ht="18" customHeight="1" outlineLevel="1" thickTop="1">
      <c r="A31" s="894"/>
      <c r="B31" s="241"/>
      <c r="D31" s="241"/>
      <c r="E31" s="241"/>
      <c r="F31" s="241"/>
      <c r="G31" s="241"/>
      <c r="H31" s="241"/>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1"/>
    </row>
    <row r="32" spans="1:33" s="287" customFormat="1" ht="27" customHeight="1" thickBot="1">
      <c r="A32" s="337"/>
      <c r="B32" s="337"/>
      <c r="C32" s="337" t="str">
        <f>CHOOSE(language,"Taxes on Profit","Taxes on Income")</f>
        <v>Taxes on Income</v>
      </c>
      <c r="D32" s="337"/>
      <c r="E32" s="337"/>
      <c r="F32" s="337"/>
      <c r="G32" s="337"/>
      <c r="H32" s="337"/>
      <c r="I32" s="337"/>
      <c r="J32" s="337"/>
      <c r="K32" s="337"/>
      <c r="L32" s="337"/>
      <c r="M32" s="337"/>
      <c r="N32" s="337"/>
      <c r="O32" s="337"/>
      <c r="P32" s="337"/>
      <c r="Q32" s="337"/>
      <c r="R32" s="337"/>
      <c r="S32" s="337"/>
      <c r="T32" s="337"/>
      <c r="U32" s="337"/>
      <c r="V32" s="337"/>
      <c r="W32" s="337"/>
      <c r="X32" s="337"/>
      <c r="Y32" s="337"/>
      <c r="Z32" s="337"/>
      <c r="AA32" s="337"/>
      <c r="AB32" s="337"/>
      <c r="AC32" s="337"/>
      <c r="AD32" s="337"/>
      <c r="AE32" s="337"/>
      <c r="AF32" s="337"/>
      <c r="AG32" s="337"/>
    </row>
    <row r="33" spans="1:33" s="287" customFormat="1" ht="14.25" customHeight="1" outlineLevel="1">
      <c r="A33" s="817"/>
      <c r="B33" s="423"/>
      <c r="C33" s="762"/>
      <c r="D33" s="424"/>
      <c r="E33" s="765"/>
      <c r="F33" s="765"/>
      <c r="G33" s="765"/>
      <c r="H33" s="765"/>
      <c r="I33" s="765"/>
      <c r="J33" s="408">
        <v>1</v>
      </c>
      <c r="K33" s="408">
        <f t="shared" ref="K33:N34" si="6">J33+1</f>
        <v>2</v>
      </c>
      <c r="L33" s="408">
        <f t="shared" si="6"/>
        <v>3</v>
      </c>
      <c r="M33" s="408">
        <f t="shared" si="6"/>
        <v>4</v>
      </c>
      <c r="N33" s="962">
        <f t="shared" si="6"/>
        <v>5</v>
      </c>
      <c r="O33" s="514"/>
      <c r="P33" s="765"/>
      <c r="Q33" s="765"/>
      <c r="R33" s="765"/>
      <c r="S33" s="765"/>
      <c r="T33" s="765"/>
      <c r="U33" s="765"/>
      <c r="V33" s="765"/>
      <c r="W33" s="765"/>
      <c r="X33" s="765"/>
      <c r="Y33" s="765"/>
      <c r="Z33" s="765"/>
      <c r="AA33" s="765"/>
      <c r="AB33" s="765"/>
      <c r="AC33" s="765"/>
      <c r="AD33" s="765"/>
      <c r="AE33" s="765"/>
      <c r="AF33" s="765"/>
      <c r="AG33" s="765"/>
    </row>
    <row r="34" spans="1:33" ht="20.25" customHeight="1" outlineLevel="1">
      <c r="A34" s="817"/>
      <c r="B34" s="279">
        <v>1</v>
      </c>
      <c r="C34" s="279" t="s">
        <v>502</v>
      </c>
      <c r="D34" s="424"/>
      <c r="E34" s="765"/>
      <c r="F34" s="765"/>
      <c r="G34" s="765"/>
      <c r="H34" s="765"/>
      <c r="I34" s="528" t="s">
        <v>812</v>
      </c>
      <c r="J34" s="958">
        <f>YEAR(Startdatum)</f>
        <v>2019</v>
      </c>
      <c r="K34" s="958">
        <f t="shared" si="6"/>
        <v>2020</v>
      </c>
      <c r="L34" s="958">
        <f t="shared" si="6"/>
        <v>2021</v>
      </c>
      <c r="M34" s="958">
        <f t="shared" si="6"/>
        <v>2022</v>
      </c>
      <c r="N34" s="963">
        <f t="shared" si="6"/>
        <v>2023</v>
      </c>
      <c r="O34" s="817"/>
      <c r="P34" s="817"/>
      <c r="Q34" s="817"/>
      <c r="R34" s="765"/>
      <c r="S34" s="765"/>
      <c r="T34" s="765"/>
      <c r="U34" s="765"/>
      <c r="V34" s="765"/>
      <c r="W34" s="765"/>
      <c r="X34" s="765"/>
      <c r="Y34" s="765"/>
      <c r="Z34" s="765"/>
      <c r="AA34" s="765"/>
      <c r="AB34" s="765"/>
      <c r="AC34" s="765"/>
      <c r="AD34" s="765"/>
      <c r="AE34" s="765"/>
      <c r="AF34" s="765"/>
      <c r="AG34" s="765"/>
    </row>
    <row r="35" spans="1:33" ht="17.25" customHeight="1" outlineLevel="2">
      <c r="A35" s="817"/>
      <c r="B35" s="514"/>
      <c r="C35" s="510" t="s">
        <v>154</v>
      </c>
      <c r="D35" s="436" t="s">
        <v>29</v>
      </c>
      <c r="E35" s="767"/>
      <c r="F35" s="767"/>
      <c r="G35" s="767"/>
      <c r="H35" s="767"/>
      <c r="I35" s="767"/>
      <c r="J35" s="959">
        <f>IF(Enddatum&gt;=DATE(YEAR(Startdatum)+J33-1,MONTH(Inputs!$K$21),DAY(Inputs!$K$21)),1,0)</f>
        <v>1</v>
      </c>
      <c r="K35" s="960">
        <f>IF(Enddatum&gt;=DATE(YEAR(Startdatum)+K33-1,MONTH(Inputs!$K$21),DAY(Inputs!$K$21)),1,0)</f>
        <v>1</v>
      </c>
      <c r="L35" s="960">
        <f>IF(Enddatum&gt;=DATE(YEAR(Startdatum)+L33-1,MONTH(Inputs!$K$21),DAY(Inputs!$K$21)),1,0)</f>
        <v>0</v>
      </c>
      <c r="M35" s="960">
        <f>IF(Enddatum&gt;=DATE(YEAR(Startdatum)+M33-1,MONTH(Inputs!$K$21),DAY(Inputs!$K$21)),1,0)</f>
        <v>0</v>
      </c>
      <c r="N35" s="961">
        <f>IF(Enddatum&gt;=DATE(YEAR(Startdatum)+N33-1,MONTH(Inputs!$K$21),DAY(Inputs!$K$21)),1,0)</f>
        <v>0</v>
      </c>
      <c r="O35" s="817"/>
      <c r="P35" s="817"/>
      <c r="Q35" s="817"/>
      <c r="R35" s="765"/>
      <c r="S35" s="765"/>
      <c r="T35" s="765"/>
      <c r="U35" s="765"/>
      <c r="V35" s="765"/>
      <c r="W35" s="765"/>
      <c r="X35" s="765"/>
      <c r="Y35" s="765"/>
      <c r="Z35" s="765"/>
      <c r="AA35" s="765"/>
      <c r="AB35" s="765"/>
      <c r="AC35" s="765"/>
      <c r="AD35" s="765"/>
      <c r="AE35" s="765"/>
      <c r="AF35" s="765"/>
      <c r="AG35" s="765"/>
    </row>
    <row r="36" spans="1:33" ht="17.25" customHeight="1" outlineLevel="2">
      <c r="A36" s="817"/>
      <c r="B36" s="514"/>
      <c r="C36" s="510" t="s">
        <v>503</v>
      </c>
      <c r="D36" s="436" t="str">
        <f>Currency_Label</f>
        <v>USD</v>
      </c>
      <c r="E36" s="767"/>
      <c r="F36" s="767"/>
      <c r="G36" s="767"/>
      <c r="H36" s="767"/>
      <c r="I36" s="767"/>
      <c r="J36" s="769">
        <f ca="1">SUMIF(Timing!$J$15:$AG$15,J$33,IFS!$J47:$AG47)*J35</f>
        <v>296212.67272731569</v>
      </c>
      <c r="K36" s="769">
        <f ca="1">SUMIF(Timing!$J$15:$AG$15,K$33,IFS!$J47:$AG47)*K35</f>
        <v>361153.29266436992</v>
      </c>
      <c r="L36" s="769">
        <f ca="1">SUMIF(Timing!$J$15:$AG$15,L$33,IFS!$J47:$AG47)*L35</f>
        <v>0</v>
      </c>
      <c r="M36" s="769">
        <f>SUMIF(Timing!$J$15:$AG$15,M$33,IFS!$J47:$AG47)*M35</f>
        <v>0</v>
      </c>
      <c r="N36" s="965">
        <f>SUMIF(Timing!$J$15:$AG$15,N$33,IFS!$J47:$AG47)*N35</f>
        <v>0</v>
      </c>
      <c r="O36" s="817"/>
      <c r="P36" s="817"/>
      <c r="Q36" s="817"/>
      <c r="R36" s="765"/>
      <c r="S36" s="765"/>
      <c r="T36" s="765"/>
      <c r="U36" s="765"/>
      <c r="V36" s="765"/>
      <c r="W36" s="765"/>
      <c r="X36" s="765"/>
      <c r="Y36" s="765"/>
      <c r="Z36" s="765"/>
      <c r="AA36" s="765"/>
      <c r="AB36" s="765"/>
      <c r="AC36" s="765"/>
      <c r="AD36" s="765"/>
      <c r="AE36" s="765"/>
      <c r="AF36" s="765"/>
      <c r="AG36" s="765"/>
    </row>
    <row r="37" spans="1:33" ht="13.5" customHeight="1" outlineLevel="2">
      <c r="A37" s="817"/>
      <c r="B37" s="514"/>
      <c r="C37" s="514"/>
      <c r="D37" s="770"/>
      <c r="E37" s="765"/>
      <c r="F37" s="765"/>
      <c r="G37" s="765"/>
      <c r="H37" s="765"/>
      <c r="I37" s="765"/>
      <c r="J37" s="765"/>
      <c r="K37" s="765"/>
      <c r="L37" s="765"/>
      <c r="M37" s="765"/>
      <c r="N37" s="964"/>
      <c r="O37" s="817"/>
      <c r="P37" s="817"/>
      <c r="Q37" s="817"/>
      <c r="R37" s="765"/>
      <c r="S37" s="765"/>
      <c r="T37" s="765"/>
      <c r="U37" s="765"/>
      <c r="V37" s="765"/>
      <c r="W37" s="765"/>
      <c r="X37" s="765"/>
      <c r="Y37" s="765"/>
      <c r="Z37" s="765"/>
      <c r="AA37" s="765"/>
      <c r="AB37" s="765"/>
      <c r="AC37" s="765"/>
      <c r="AD37" s="765"/>
      <c r="AE37" s="765"/>
      <c r="AF37" s="765"/>
      <c r="AG37" s="765"/>
    </row>
    <row r="38" spans="1:33" ht="17.25" customHeight="1" outlineLevel="2">
      <c r="A38" s="817"/>
      <c r="B38" s="514"/>
      <c r="C38" s="413" t="s">
        <v>504</v>
      </c>
      <c r="D38" s="771"/>
      <c r="E38" s="765"/>
      <c r="F38" s="765"/>
      <c r="G38" s="765"/>
      <c r="H38" s="765"/>
      <c r="I38" s="765"/>
      <c r="J38" s="765"/>
      <c r="K38" s="765"/>
      <c r="L38" s="765"/>
      <c r="M38" s="765"/>
      <c r="N38" s="964"/>
      <c r="O38" s="817"/>
      <c r="P38" s="817"/>
      <c r="Q38" s="817"/>
      <c r="R38" s="765"/>
      <c r="S38" s="765"/>
      <c r="T38" s="765"/>
      <c r="U38" s="765"/>
      <c r="V38" s="765"/>
      <c r="W38" s="765"/>
      <c r="X38" s="765"/>
      <c r="Y38" s="765"/>
      <c r="Z38" s="765"/>
      <c r="AA38" s="765"/>
      <c r="AB38" s="765"/>
      <c r="AC38" s="765"/>
      <c r="AD38" s="765"/>
      <c r="AE38" s="765"/>
      <c r="AF38" s="765"/>
      <c r="AG38" s="765"/>
    </row>
    <row r="39" spans="1:33" ht="17.25" customHeight="1" outlineLevel="2">
      <c r="A39" s="817"/>
      <c r="B39" s="514"/>
      <c r="C39" s="767" t="s">
        <v>140</v>
      </c>
      <c r="D39" s="631" t="str">
        <f>Currency_Label</f>
        <v>USD</v>
      </c>
      <c r="E39" s="767"/>
      <c r="F39" s="767"/>
      <c r="G39" s="767"/>
      <c r="H39" s="767"/>
      <c r="I39" s="767"/>
      <c r="J39" s="769">
        <f>I41</f>
        <v>0</v>
      </c>
      <c r="K39" s="769">
        <f ca="1">J41</f>
        <v>0</v>
      </c>
      <c r="L39" s="769">
        <f ca="1">K41</f>
        <v>0</v>
      </c>
      <c r="M39" s="769">
        <f ca="1">L41</f>
        <v>0</v>
      </c>
      <c r="N39" s="769">
        <f ca="1">M41</f>
        <v>0</v>
      </c>
      <c r="O39" s="768"/>
      <c r="P39" s="765"/>
      <c r="Q39" s="765"/>
      <c r="R39" s="765"/>
      <c r="S39" s="765"/>
      <c r="T39" s="765"/>
      <c r="U39" s="765"/>
      <c r="V39" s="765"/>
      <c r="W39" s="765"/>
      <c r="X39" s="765"/>
      <c r="Y39" s="765"/>
      <c r="Z39" s="765"/>
      <c r="AA39" s="765"/>
      <c r="AB39" s="765"/>
      <c r="AC39" s="765"/>
      <c r="AD39" s="765"/>
      <c r="AE39" s="765"/>
      <c r="AF39" s="765"/>
      <c r="AG39" s="765"/>
    </row>
    <row r="40" spans="1:33" ht="17.25" customHeight="1" outlineLevel="2">
      <c r="A40" s="817"/>
      <c r="B40" s="514"/>
      <c r="C40" s="763" t="s">
        <v>505</v>
      </c>
      <c r="D40" s="631" t="str">
        <f>Currency_Label</f>
        <v>USD</v>
      </c>
      <c r="E40" s="767"/>
      <c r="F40" s="767"/>
      <c r="G40" s="767"/>
      <c r="H40" s="767"/>
      <c r="I40" s="767"/>
      <c r="J40" s="769">
        <f ca="1">IF(J36&lt;0,J36,-MAX(J39,-J36))</f>
        <v>0</v>
      </c>
      <c r="K40" s="769">
        <f t="shared" ref="K40:N40" ca="1" si="7">IF(K36&lt;0,K36,-MAX(K39,-K36))</f>
        <v>0</v>
      </c>
      <c r="L40" s="769">
        <f t="shared" ca="1" si="7"/>
        <v>0</v>
      </c>
      <c r="M40" s="769">
        <f t="shared" ca="1" si="7"/>
        <v>0</v>
      </c>
      <c r="N40" s="769">
        <f t="shared" ca="1" si="7"/>
        <v>0</v>
      </c>
      <c r="O40" s="768"/>
      <c r="P40" s="765"/>
      <c r="Q40" s="765"/>
      <c r="R40" s="765"/>
      <c r="S40" s="765"/>
      <c r="T40" s="765"/>
      <c r="U40" s="765"/>
      <c r="V40" s="765"/>
      <c r="W40" s="765"/>
      <c r="X40" s="765"/>
      <c r="Y40" s="765"/>
      <c r="Z40" s="765"/>
      <c r="AA40" s="765"/>
      <c r="AB40" s="765"/>
      <c r="AC40" s="765"/>
      <c r="AD40" s="765"/>
      <c r="AE40" s="765"/>
      <c r="AF40" s="765"/>
      <c r="AG40" s="765"/>
    </row>
    <row r="41" spans="1:33" ht="17.25" customHeight="1" outlineLevel="2">
      <c r="A41" s="817"/>
      <c r="B41" s="514"/>
      <c r="C41" s="767" t="s">
        <v>141</v>
      </c>
      <c r="D41" s="631" t="str">
        <f>Currency_Label</f>
        <v>USD</v>
      </c>
      <c r="E41" s="767"/>
      <c r="F41" s="767"/>
      <c r="G41" s="767"/>
      <c r="H41" s="766" t="s">
        <v>506</v>
      </c>
      <c r="I41" s="447">
        <f>VV_KSt</f>
        <v>0</v>
      </c>
      <c r="J41" s="530">
        <f ca="1">SUM(J39:J40)</f>
        <v>0</v>
      </c>
      <c r="K41" s="530">
        <f ca="1">SUM(K39:K40)</f>
        <v>0</v>
      </c>
      <c r="L41" s="530">
        <f ca="1">SUM(L39:L40)</f>
        <v>0</v>
      </c>
      <c r="M41" s="530">
        <f ca="1">SUM(M39:M40)</f>
        <v>0</v>
      </c>
      <c r="N41" s="530">
        <f ca="1">SUM(N39:N40)</f>
        <v>0</v>
      </c>
      <c r="O41" s="768"/>
      <c r="P41" s="765"/>
      <c r="Q41" s="765"/>
      <c r="R41" s="765"/>
      <c r="S41" s="765"/>
      <c r="T41" s="765"/>
      <c r="U41" s="765"/>
      <c r="V41" s="765"/>
      <c r="W41" s="765"/>
      <c r="X41" s="765"/>
      <c r="Y41" s="765"/>
      <c r="Z41" s="765"/>
      <c r="AA41" s="765"/>
      <c r="AB41" s="765"/>
      <c r="AC41" s="765"/>
      <c r="AD41" s="765"/>
      <c r="AE41" s="765"/>
      <c r="AF41" s="765"/>
      <c r="AG41" s="765"/>
    </row>
    <row r="42" spans="1:33" ht="17.25" customHeight="1" outlineLevel="2">
      <c r="A42" s="817"/>
      <c r="B42" s="514"/>
      <c r="C42" s="516"/>
      <c r="D42" s="771"/>
      <c r="E42" s="765"/>
      <c r="F42" s="765"/>
      <c r="G42" s="765"/>
      <c r="H42" s="765"/>
      <c r="I42" s="765"/>
      <c r="J42" s="765"/>
      <c r="K42" s="765"/>
      <c r="L42" s="765"/>
      <c r="M42" s="765"/>
      <c r="N42" s="765"/>
      <c r="O42" s="768"/>
      <c r="P42" s="765"/>
      <c r="Q42" s="765"/>
      <c r="R42" s="765"/>
      <c r="S42" s="765"/>
      <c r="T42" s="765"/>
      <c r="U42" s="765"/>
      <c r="V42" s="765"/>
      <c r="W42" s="765"/>
      <c r="X42" s="765"/>
      <c r="Y42" s="765"/>
      <c r="Z42" s="765"/>
      <c r="AA42" s="765"/>
      <c r="AB42" s="765"/>
      <c r="AC42" s="765"/>
      <c r="AD42" s="765"/>
      <c r="AE42" s="765"/>
      <c r="AF42" s="765"/>
      <c r="AG42" s="765"/>
    </row>
    <row r="43" spans="1:33" ht="17.25" customHeight="1" outlineLevel="2">
      <c r="A43" s="817"/>
      <c r="B43" s="514"/>
      <c r="C43" s="763" t="s">
        <v>507</v>
      </c>
      <c r="D43" s="631" t="str">
        <f>Currency_Label</f>
        <v>USD</v>
      </c>
      <c r="E43" s="767"/>
      <c r="F43" s="767"/>
      <c r="G43" s="767"/>
      <c r="H43" s="767"/>
      <c r="I43" s="767"/>
      <c r="J43" s="769">
        <f ca="1">IF(J36&lt;0,0,J36-J40)</f>
        <v>296212.67272731569</v>
      </c>
      <c r="K43" s="769">
        <f t="shared" ref="K43:N43" ca="1" si="8">IF(K36&lt;0,0,K36-K40)</f>
        <v>361153.29266436992</v>
      </c>
      <c r="L43" s="769">
        <f t="shared" ca="1" si="8"/>
        <v>0</v>
      </c>
      <c r="M43" s="769">
        <f t="shared" ca="1" si="8"/>
        <v>0</v>
      </c>
      <c r="N43" s="769">
        <f t="shared" ca="1" si="8"/>
        <v>0</v>
      </c>
      <c r="O43" s="768"/>
      <c r="P43" s="765"/>
      <c r="Q43" s="765"/>
      <c r="R43" s="765"/>
      <c r="S43" s="765"/>
      <c r="T43" s="765"/>
      <c r="U43" s="765"/>
      <c r="V43" s="765"/>
      <c r="W43" s="765"/>
      <c r="X43" s="765"/>
      <c r="Y43" s="765"/>
      <c r="Z43" s="765"/>
      <c r="AA43" s="765"/>
      <c r="AB43" s="765"/>
      <c r="AC43" s="765"/>
      <c r="AD43" s="765"/>
      <c r="AE43" s="765"/>
      <c r="AF43" s="765"/>
      <c r="AG43" s="765"/>
    </row>
    <row r="44" spans="1:33" ht="17.25" customHeight="1" outlineLevel="2">
      <c r="A44" s="817"/>
      <c r="B44" s="514"/>
      <c r="C44" s="516"/>
      <c r="D44" s="771"/>
      <c r="E44" s="765"/>
      <c r="F44" s="765"/>
      <c r="G44" s="765"/>
      <c r="H44" s="765"/>
      <c r="I44" s="765"/>
      <c r="J44" s="772"/>
      <c r="K44" s="765"/>
      <c r="L44" s="765"/>
      <c r="M44" s="765"/>
      <c r="N44" s="765"/>
      <c r="O44" s="768"/>
      <c r="P44" s="765"/>
      <c r="Q44" s="765"/>
      <c r="R44" s="765"/>
      <c r="S44" s="765"/>
      <c r="T44" s="765"/>
      <c r="U44" s="765"/>
      <c r="V44" s="765"/>
      <c r="W44" s="765"/>
      <c r="X44" s="765"/>
      <c r="Y44" s="765"/>
      <c r="Z44" s="765"/>
      <c r="AA44" s="765"/>
      <c r="AB44" s="765"/>
      <c r="AC44" s="765"/>
      <c r="AD44" s="765"/>
      <c r="AE44" s="765"/>
      <c r="AF44" s="765"/>
      <c r="AG44" s="765"/>
    </row>
    <row r="45" spans="1:33" ht="17.25" customHeight="1" outlineLevel="2" thickBot="1">
      <c r="A45" s="817"/>
      <c r="B45" s="514"/>
      <c r="C45" s="780" t="str">
        <f>CHOOSE(language,"Taxes on Profit","Taxes on Income")</f>
        <v>Taxes on Income</v>
      </c>
      <c r="D45" s="631" t="str">
        <f>Currency_Label</f>
        <v>USD</v>
      </c>
      <c r="E45" s="764">
        <f>Inputs!F169</f>
        <v>0.3</v>
      </c>
      <c r="F45" s="767"/>
      <c r="G45" s="767"/>
      <c r="H45" s="767"/>
      <c r="I45" s="242">
        <f ca="1">SUM(J45:AG45)</f>
        <v>197209.78961750568</v>
      </c>
      <c r="J45" s="773">
        <f ca="1">J43*$E45</f>
        <v>88863.801818194697</v>
      </c>
      <c r="K45" s="773">
        <f ca="1">K43*$E45</f>
        <v>108345.98779931097</v>
      </c>
      <c r="L45" s="773">
        <f ca="1">L43*$E45</f>
        <v>0</v>
      </c>
      <c r="M45" s="773">
        <f ca="1">M43*$E45</f>
        <v>0</v>
      </c>
      <c r="N45" s="773">
        <f ca="1">N43*$E45</f>
        <v>0</v>
      </c>
      <c r="O45" s="768"/>
      <c r="P45" s="765"/>
      <c r="Q45" s="765"/>
      <c r="R45" s="765"/>
      <c r="S45" s="765"/>
      <c r="T45" s="765"/>
      <c r="U45" s="765"/>
      <c r="V45" s="765"/>
      <c r="W45" s="765"/>
      <c r="X45" s="765"/>
      <c r="Y45" s="765"/>
      <c r="Z45" s="765"/>
      <c r="AA45" s="765"/>
      <c r="AB45" s="765"/>
      <c r="AC45" s="765"/>
      <c r="AD45" s="765"/>
      <c r="AE45" s="765"/>
      <c r="AF45" s="765"/>
      <c r="AG45" s="765"/>
    </row>
    <row r="46" spans="1:33" ht="15" customHeight="1" outlineLevel="2" thickTop="1">
      <c r="A46" s="817"/>
      <c r="B46" s="765"/>
      <c r="C46" s="423"/>
      <c r="D46" s="765"/>
      <c r="E46" s="765"/>
      <c r="F46" s="765"/>
      <c r="G46" s="765"/>
      <c r="H46" s="765"/>
      <c r="I46" s="765"/>
      <c r="J46" s="765"/>
      <c r="K46" s="765"/>
      <c r="L46" s="765"/>
      <c r="M46" s="765"/>
      <c r="N46" s="774"/>
      <c r="O46" s="768"/>
      <c r="P46" s="765"/>
      <c r="Q46" s="765"/>
      <c r="R46" s="765"/>
      <c r="S46" s="765"/>
      <c r="T46" s="765"/>
      <c r="U46" s="765"/>
      <c r="V46" s="765"/>
      <c r="W46" s="765"/>
      <c r="X46" s="765"/>
      <c r="Y46" s="765"/>
      <c r="Z46" s="765"/>
      <c r="AA46" s="765"/>
      <c r="AB46" s="765"/>
      <c r="AC46" s="765"/>
      <c r="AD46" s="765"/>
      <c r="AE46" s="765"/>
      <c r="AF46" s="765"/>
      <c r="AG46" s="765"/>
    </row>
    <row r="47" spans="1:33" ht="24" customHeight="1" outlineLevel="1">
      <c r="A47" s="817"/>
      <c r="B47" s="279">
        <v>2</v>
      </c>
      <c r="C47" s="279" t="s">
        <v>509</v>
      </c>
      <c r="D47" s="765"/>
      <c r="E47" s="765"/>
      <c r="F47" s="765"/>
      <c r="G47" s="765"/>
      <c r="H47" s="765"/>
      <c r="I47" s="804" t="s">
        <v>812</v>
      </c>
      <c r="J47" s="958">
        <f>YEAR(Startdatum)</f>
        <v>2019</v>
      </c>
      <c r="K47" s="958">
        <f>J47+1</f>
        <v>2020</v>
      </c>
      <c r="L47" s="958">
        <f>K47+1</f>
        <v>2021</v>
      </c>
      <c r="M47" s="958">
        <f>L47+1</f>
        <v>2022</v>
      </c>
      <c r="N47" s="963">
        <f>M47+1</f>
        <v>2023</v>
      </c>
      <c r="O47" s="768"/>
      <c r="P47" s="765"/>
      <c r="Q47" s="765"/>
      <c r="R47" s="765"/>
      <c r="S47" s="765"/>
      <c r="T47" s="765"/>
      <c r="U47" s="765"/>
      <c r="V47" s="765"/>
      <c r="W47" s="765"/>
      <c r="X47" s="765"/>
      <c r="Y47" s="765"/>
      <c r="Z47" s="765"/>
      <c r="AA47" s="765"/>
      <c r="AB47" s="765"/>
      <c r="AC47" s="765"/>
      <c r="AD47" s="765"/>
      <c r="AE47" s="765"/>
      <c r="AF47" s="765"/>
      <c r="AG47" s="765"/>
    </row>
    <row r="48" spans="1:33" ht="17.25" customHeight="1" outlineLevel="2">
      <c r="A48" s="817"/>
      <c r="B48" s="765"/>
      <c r="C48" s="763" t="s">
        <v>814</v>
      </c>
      <c r="D48" s="436" t="str">
        <f>Currency_Label</f>
        <v>USD</v>
      </c>
      <c r="E48" s="767"/>
      <c r="F48" s="767"/>
      <c r="G48" s="767"/>
      <c r="H48" s="767"/>
      <c r="I48" s="242">
        <f>SUM(J48:N48)</f>
        <v>180000</v>
      </c>
      <c r="J48" s="769">
        <f>Inputs!F173</f>
        <v>80000</v>
      </c>
      <c r="K48" s="769">
        <f>Inputs!G173</f>
        <v>100000</v>
      </c>
      <c r="L48" s="769">
        <f>Inputs!H173</f>
        <v>0</v>
      </c>
      <c r="M48" s="769">
        <f>Inputs!I173</f>
        <v>0</v>
      </c>
      <c r="N48" s="775">
        <f>Inputs!J173</f>
        <v>0</v>
      </c>
      <c r="O48" s="768"/>
      <c r="P48" s="765"/>
      <c r="Q48" s="765"/>
      <c r="R48" s="765"/>
      <c r="S48" s="765"/>
      <c r="T48" s="765"/>
      <c r="U48" s="765"/>
      <c r="V48" s="765"/>
      <c r="W48" s="765"/>
      <c r="X48" s="765"/>
      <c r="Y48" s="765"/>
      <c r="Z48" s="765"/>
      <c r="AA48" s="765"/>
      <c r="AB48" s="765"/>
      <c r="AC48" s="765"/>
      <c r="AD48" s="765"/>
      <c r="AE48" s="765"/>
      <c r="AF48" s="765"/>
      <c r="AG48" s="765"/>
    </row>
    <row r="49" spans="1:33" ht="17.25" customHeight="1" outlineLevel="2">
      <c r="A49" s="817"/>
      <c r="B49" s="765"/>
      <c r="C49" s="763" t="s">
        <v>813</v>
      </c>
      <c r="D49" s="631" t="s">
        <v>39</v>
      </c>
      <c r="E49" s="767"/>
      <c r="F49" s="767"/>
      <c r="G49" s="767"/>
      <c r="H49" s="767"/>
      <c r="I49" s="767"/>
      <c r="J49" s="769">
        <f>SUMIF(Timing!$J$15:$AG$15,J$33,$J$55:$AG$55)</f>
        <v>3</v>
      </c>
      <c r="K49" s="769">
        <f>SUMIF(Timing!$J$15:$AG$15,K$33,$J$55:$AG$55)</f>
        <v>4</v>
      </c>
      <c r="L49" s="769">
        <f>SUMIF(Timing!$J$15:$AG$15,L$33,$J$55:$AG$55)</f>
        <v>0</v>
      </c>
      <c r="M49" s="769">
        <f>SUMIF(Timing!$J$15:$AG$15,M$33,$J$55:$AG$55)</f>
        <v>0</v>
      </c>
      <c r="N49" s="775">
        <f>SUMIF(Timing!$J$15:$AG$15,N$33,$J$55:$AG$55)</f>
        <v>0</v>
      </c>
      <c r="O49" s="768"/>
      <c r="P49" s="765"/>
      <c r="Q49" s="765"/>
      <c r="R49" s="765"/>
      <c r="S49" s="765"/>
      <c r="T49" s="765"/>
      <c r="U49" s="765"/>
      <c r="V49" s="765"/>
      <c r="W49" s="765"/>
      <c r="X49" s="765"/>
      <c r="Y49" s="765"/>
      <c r="Z49" s="765"/>
      <c r="AA49" s="765"/>
      <c r="AB49" s="765"/>
      <c r="AC49" s="765"/>
      <c r="AD49" s="765"/>
      <c r="AE49" s="765"/>
      <c r="AF49" s="765"/>
      <c r="AG49" s="765"/>
    </row>
    <row r="50" spans="1:33" ht="17.25" customHeight="1" outlineLevel="2">
      <c r="A50" s="817"/>
      <c r="B50" s="765"/>
      <c r="C50" s="763" t="s">
        <v>510</v>
      </c>
      <c r="D50" s="436" t="str">
        <f>Currency_Label</f>
        <v>USD</v>
      </c>
      <c r="E50" s="767"/>
      <c r="F50" s="767"/>
      <c r="G50" s="767"/>
      <c r="H50" s="767"/>
      <c r="I50" s="767"/>
      <c r="J50" s="769">
        <f>IFERROR(J48/J49,0)</f>
        <v>26666.666666666668</v>
      </c>
      <c r="K50" s="769">
        <f>IFERROR(K48/K49,0)</f>
        <v>25000</v>
      </c>
      <c r="L50" s="769">
        <f>IFERROR(L48/L49,0)</f>
        <v>0</v>
      </c>
      <c r="M50" s="769">
        <f>IFERROR(M48/M49,0)</f>
        <v>0</v>
      </c>
      <c r="N50" s="775">
        <f>IFERROR(N48/N49,0)</f>
        <v>0</v>
      </c>
      <c r="O50" s="768"/>
      <c r="P50" s="765"/>
      <c r="Q50" s="765"/>
      <c r="R50" s="765"/>
      <c r="S50" s="765"/>
      <c r="T50" s="765"/>
      <c r="U50" s="765"/>
      <c r="V50" s="765"/>
      <c r="W50" s="765"/>
      <c r="X50" s="765"/>
      <c r="Y50" s="765"/>
      <c r="Z50" s="765"/>
      <c r="AA50" s="765"/>
      <c r="AB50" s="765"/>
      <c r="AC50" s="765"/>
      <c r="AD50" s="765"/>
      <c r="AE50" s="765"/>
      <c r="AF50" s="765"/>
      <c r="AG50" s="765"/>
    </row>
    <row r="51" spans="1:33" ht="17.25" customHeight="1" outlineLevel="2">
      <c r="A51" s="817"/>
      <c r="B51" s="765"/>
      <c r="C51" s="763" t="s">
        <v>820</v>
      </c>
      <c r="D51" s="631" t="s">
        <v>39</v>
      </c>
      <c r="E51" s="767"/>
      <c r="F51" s="767"/>
      <c r="G51" s="767"/>
      <c r="H51" s="767"/>
      <c r="I51" s="767"/>
      <c r="J51" s="769">
        <f>SUMIF(Timing!$J$15:$AG$15,J$33,$J$6:$AG$6)</f>
        <v>9</v>
      </c>
      <c r="K51" s="769">
        <f>SUMIF(Timing!$J$15:$AG$15,K$33,$J$6:$AG$6)</f>
        <v>12</v>
      </c>
      <c r="L51" s="769">
        <f>SUMIF(Timing!$J$15:$AG$15,L$33,$J$6:$AG$6)</f>
        <v>0</v>
      </c>
      <c r="M51" s="769">
        <f>SUMIF(Timing!$J$15:$AG$15,M$33,$J$6:$AG$6)</f>
        <v>0</v>
      </c>
      <c r="N51" s="775">
        <f>SUMIF(Timing!$J$15:$AG$15,N$33,$J$6:$AG$6)</f>
        <v>0</v>
      </c>
      <c r="O51" s="768"/>
      <c r="P51" s="765"/>
      <c r="Q51" s="765"/>
      <c r="R51" s="765"/>
      <c r="S51" s="765"/>
      <c r="T51" s="765"/>
      <c r="U51" s="765"/>
      <c r="V51" s="765"/>
      <c r="W51" s="765"/>
      <c r="X51" s="765"/>
      <c r="Y51" s="765"/>
      <c r="Z51" s="765"/>
      <c r="AA51" s="765"/>
      <c r="AB51" s="765"/>
      <c r="AC51" s="765"/>
      <c r="AD51" s="765"/>
      <c r="AE51" s="765"/>
      <c r="AF51" s="765"/>
      <c r="AG51" s="765"/>
    </row>
    <row r="52" spans="1:33" ht="13.5" customHeight="1" outlineLevel="2">
      <c r="A52" s="817"/>
      <c r="B52" s="765"/>
      <c r="C52" s="423"/>
      <c r="D52" s="765"/>
      <c r="E52" s="765"/>
      <c r="F52" s="765"/>
      <c r="G52" s="765"/>
      <c r="H52" s="765"/>
      <c r="I52" s="765"/>
      <c r="J52" s="765"/>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row>
    <row r="53" spans="1:33" ht="24" customHeight="1" outlineLevel="2">
      <c r="A53" s="817"/>
      <c r="B53" s="765"/>
      <c r="C53" s="279" t="s">
        <v>508</v>
      </c>
      <c r="D53" s="765"/>
      <c r="E53" s="765"/>
      <c r="F53" s="765"/>
      <c r="G53" s="765"/>
      <c r="H53" s="765"/>
      <c r="I53" s="765"/>
      <c r="J53" s="765"/>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row>
    <row r="54" spans="1:33" ht="17.25" customHeight="1" outlineLevel="2">
      <c r="A54" s="817"/>
      <c r="B54" s="765"/>
      <c r="C54" s="425" t="s">
        <v>511</v>
      </c>
      <c r="D54" s="765"/>
      <c r="E54" s="966" t="s">
        <v>819</v>
      </c>
      <c r="F54" s="765"/>
      <c r="G54" s="765"/>
      <c r="H54" s="765"/>
      <c r="I54" s="765"/>
      <c r="J54" s="765"/>
      <c r="K54" s="765"/>
      <c r="L54" s="765"/>
      <c r="M54" s="765"/>
      <c r="N54" s="765"/>
      <c r="O54" s="765"/>
      <c r="P54" s="765"/>
      <c r="Q54" s="765"/>
      <c r="R54" s="765"/>
      <c r="S54" s="765"/>
      <c r="T54" s="765"/>
      <c r="U54" s="765"/>
      <c r="V54" s="765"/>
      <c r="W54" s="765"/>
      <c r="X54" s="765"/>
      <c r="Y54" s="765"/>
      <c r="Z54" s="765"/>
      <c r="AA54" s="765"/>
      <c r="AB54" s="765"/>
      <c r="AC54" s="765"/>
      <c r="AD54" s="765"/>
      <c r="AE54" s="765"/>
      <c r="AF54" s="765"/>
      <c r="AG54" s="765"/>
    </row>
    <row r="55" spans="1:33" ht="17.25" customHeight="1" outlineLevel="2">
      <c r="A55" s="817"/>
      <c r="B55" s="765"/>
      <c r="C55" s="763" t="s">
        <v>512</v>
      </c>
      <c r="D55" s="436" t="s">
        <v>29</v>
      </c>
      <c r="E55" s="526">
        <f>IF(Inputs!$J$20+Inputs!$F$176&gt;12,Inputs!$J$20+Inputs!$F$176-12,Inputs!$J$20+Inputs!$F$176)</f>
        <v>2</v>
      </c>
      <c r="F55" s="526">
        <f>E55+mths_quarter</f>
        <v>5</v>
      </c>
      <c r="G55" s="526">
        <f>F55+mths_quarter</f>
        <v>8</v>
      </c>
      <c r="H55" s="526">
        <f>G55+mths_quarter</f>
        <v>11</v>
      </c>
      <c r="I55" s="767"/>
      <c r="J55" s="522">
        <f t="shared" ref="J55:AG55" si="9">IF(OR(MONTH(J4)=$E55,MONTH(J4)=$F55,MONTH(J4)=$G55,MONTH(J4)=$H55),1,0)*J$6</f>
        <v>0</v>
      </c>
      <c r="K55" s="522">
        <f t="shared" si="9"/>
        <v>0</v>
      </c>
      <c r="L55" s="522">
        <f t="shared" si="9"/>
        <v>1</v>
      </c>
      <c r="M55" s="522">
        <f t="shared" si="9"/>
        <v>0</v>
      </c>
      <c r="N55" s="522">
        <f t="shared" si="9"/>
        <v>0</v>
      </c>
      <c r="O55" s="522">
        <f t="shared" si="9"/>
        <v>1</v>
      </c>
      <c r="P55" s="522">
        <f t="shared" si="9"/>
        <v>0</v>
      </c>
      <c r="Q55" s="522">
        <f t="shared" si="9"/>
        <v>0</v>
      </c>
      <c r="R55" s="522">
        <f t="shared" si="9"/>
        <v>1</v>
      </c>
      <c r="S55" s="522">
        <f t="shared" si="9"/>
        <v>0</v>
      </c>
      <c r="T55" s="522">
        <f t="shared" si="9"/>
        <v>0</v>
      </c>
      <c r="U55" s="522">
        <f t="shared" si="9"/>
        <v>1</v>
      </c>
      <c r="V55" s="522">
        <f t="shared" si="9"/>
        <v>0</v>
      </c>
      <c r="W55" s="522">
        <f t="shared" si="9"/>
        <v>0</v>
      </c>
      <c r="X55" s="522">
        <f t="shared" si="9"/>
        <v>1</v>
      </c>
      <c r="Y55" s="522">
        <f t="shared" si="9"/>
        <v>0</v>
      </c>
      <c r="Z55" s="522">
        <f t="shared" si="9"/>
        <v>0</v>
      </c>
      <c r="AA55" s="522">
        <f t="shared" si="9"/>
        <v>1</v>
      </c>
      <c r="AB55" s="522">
        <f t="shared" si="9"/>
        <v>0</v>
      </c>
      <c r="AC55" s="522">
        <f t="shared" si="9"/>
        <v>0</v>
      </c>
      <c r="AD55" s="522">
        <f t="shared" si="9"/>
        <v>1</v>
      </c>
      <c r="AE55" s="522">
        <f t="shared" si="9"/>
        <v>0</v>
      </c>
      <c r="AF55" s="522">
        <f t="shared" si="9"/>
        <v>0</v>
      </c>
      <c r="AG55" s="522">
        <f t="shared" si="9"/>
        <v>0</v>
      </c>
    </row>
    <row r="56" spans="1:33" ht="17.25" customHeight="1" outlineLevel="2">
      <c r="A56" s="817"/>
      <c r="B56" s="765"/>
      <c r="C56" s="763" t="s">
        <v>511</v>
      </c>
      <c r="D56" s="436" t="str">
        <f>Currency_Label</f>
        <v>USD</v>
      </c>
      <c r="E56" s="767"/>
      <c r="F56" s="767"/>
      <c r="G56" s="767"/>
      <c r="H56" s="767"/>
      <c r="I56" s="242">
        <f>SUM(J56:AG56)</f>
        <v>180000</v>
      </c>
      <c r="J56" s="769">
        <f t="shared" ref="J56:AG56" si="10">LOOKUP(J$7,$J$33:$N$33,$J$50:$N$50)*J$55</f>
        <v>0</v>
      </c>
      <c r="K56" s="769">
        <f t="shared" si="10"/>
        <v>0</v>
      </c>
      <c r="L56" s="769">
        <f t="shared" si="10"/>
        <v>26666.666666666668</v>
      </c>
      <c r="M56" s="769">
        <f t="shared" si="10"/>
        <v>0</v>
      </c>
      <c r="N56" s="769">
        <f t="shared" si="10"/>
        <v>0</v>
      </c>
      <c r="O56" s="769">
        <f t="shared" si="10"/>
        <v>26666.666666666668</v>
      </c>
      <c r="P56" s="769">
        <f t="shared" si="10"/>
        <v>0</v>
      </c>
      <c r="Q56" s="769">
        <f t="shared" si="10"/>
        <v>0</v>
      </c>
      <c r="R56" s="769">
        <f t="shared" si="10"/>
        <v>26666.666666666668</v>
      </c>
      <c r="S56" s="769">
        <f t="shared" si="10"/>
        <v>0</v>
      </c>
      <c r="T56" s="769">
        <f t="shared" si="10"/>
        <v>0</v>
      </c>
      <c r="U56" s="769">
        <f t="shared" si="10"/>
        <v>25000</v>
      </c>
      <c r="V56" s="769">
        <f t="shared" si="10"/>
        <v>0</v>
      </c>
      <c r="W56" s="769">
        <f t="shared" si="10"/>
        <v>0</v>
      </c>
      <c r="X56" s="769">
        <f t="shared" si="10"/>
        <v>25000</v>
      </c>
      <c r="Y56" s="769">
        <f t="shared" si="10"/>
        <v>0</v>
      </c>
      <c r="Z56" s="769">
        <f t="shared" si="10"/>
        <v>0</v>
      </c>
      <c r="AA56" s="769">
        <f t="shared" si="10"/>
        <v>25000</v>
      </c>
      <c r="AB56" s="769">
        <f t="shared" si="10"/>
        <v>0</v>
      </c>
      <c r="AC56" s="769">
        <f t="shared" si="10"/>
        <v>0</v>
      </c>
      <c r="AD56" s="769">
        <f t="shared" si="10"/>
        <v>25000</v>
      </c>
      <c r="AE56" s="769">
        <f t="shared" si="10"/>
        <v>0</v>
      </c>
      <c r="AF56" s="769">
        <f t="shared" si="10"/>
        <v>0</v>
      </c>
      <c r="AG56" s="769">
        <f t="shared" si="10"/>
        <v>0</v>
      </c>
    </row>
    <row r="57" spans="1:33" ht="13.5" customHeight="1" outlineLevel="2">
      <c r="A57" s="817"/>
      <c r="B57" s="765"/>
      <c r="C57" s="765"/>
      <c r="D57" s="765"/>
      <c r="E57" s="765"/>
      <c r="F57" s="765"/>
      <c r="G57" s="765"/>
      <c r="H57" s="765"/>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row>
    <row r="58" spans="1:33" ht="17.25" customHeight="1" outlineLevel="2">
      <c r="A58" s="817"/>
      <c r="B58" s="765"/>
      <c r="C58" s="425" t="s">
        <v>518</v>
      </c>
      <c r="D58" s="765"/>
      <c r="E58" s="765"/>
      <c r="F58" s="765"/>
      <c r="G58" s="765"/>
      <c r="H58" s="765"/>
      <c r="I58" s="765"/>
      <c r="J58" s="765"/>
      <c r="K58" s="765"/>
      <c r="L58" s="765"/>
      <c r="M58" s="765"/>
      <c r="N58" s="765"/>
      <c r="O58" s="765"/>
      <c r="P58" s="765"/>
      <c r="Q58" s="765"/>
      <c r="R58" s="765"/>
      <c r="S58" s="765"/>
      <c r="T58" s="765"/>
      <c r="U58" s="765"/>
      <c r="V58" s="765"/>
      <c r="W58" s="765"/>
      <c r="X58" s="765"/>
      <c r="Y58" s="765"/>
      <c r="Z58" s="765"/>
      <c r="AA58" s="765"/>
      <c r="AB58" s="765"/>
      <c r="AC58" s="765"/>
      <c r="AD58" s="765"/>
      <c r="AE58" s="765"/>
      <c r="AF58" s="765"/>
      <c r="AG58" s="765"/>
    </row>
    <row r="59" spans="1:33" ht="17.25" customHeight="1" outlineLevel="2">
      <c r="A59" s="817"/>
      <c r="B59" s="765"/>
      <c r="C59" s="510" t="s">
        <v>513</v>
      </c>
      <c r="D59" s="436" t="s">
        <v>29</v>
      </c>
      <c r="E59" s="652" t="s">
        <v>517</v>
      </c>
      <c r="F59" s="526">
        <f>IF(Inputs!$J$20+Inputs!$F$177&gt;12,Inputs!$J$20+Inputs!$F$177-12,Inputs!$J$20+Inputs!$F$177)</f>
        <v>3</v>
      </c>
      <c r="G59" s="8" t="s">
        <v>818</v>
      </c>
      <c r="H59" s="436"/>
      <c r="I59" s="436"/>
      <c r="J59" s="522">
        <f t="shared" ref="J59:AG59" si="11">IF(MONTH(J$4)=$F59,1,0)*J6</f>
        <v>1</v>
      </c>
      <c r="K59" s="522">
        <f t="shared" si="11"/>
        <v>0</v>
      </c>
      <c r="L59" s="522">
        <f t="shared" si="11"/>
        <v>0</v>
      </c>
      <c r="M59" s="522">
        <f t="shared" si="11"/>
        <v>0</v>
      </c>
      <c r="N59" s="522">
        <f t="shared" si="11"/>
        <v>0</v>
      </c>
      <c r="O59" s="522">
        <f t="shared" si="11"/>
        <v>0</v>
      </c>
      <c r="P59" s="522">
        <f t="shared" si="11"/>
        <v>0</v>
      </c>
      <c r="Q59" s="522">
        <f t="shared" si="11"/>
        <v>0</v>
      </c>
      <c r="R59" s="522">
        <f t="shared" si="11"/>
        <v>0</v>
      </c>
      <c r="S59" s="522">
        <f t="shared" si="11"/>
        <v>0</v>
      </c>
      <c r="T59" s="522">
        <f t="shared" si="11"/>
        <v>0</v>
      </c>
      <c r="U59" s="522">
        <f t="shared" si="11"/>
        <v>0</v>
      </c>
      <c r="V59" s="522">
        <f t="shared" si="11"/>
        <v>1</v>
      </c>
      <c r="W59" s="522">
        <f t="shared" si="11"/>
        <v>0</v>
      </c>
      <c r="X59" s="522">
        <f t="shared" si="11"/>
        <v>0</v>
      </c>
      <c r="Y59" s="522">
        <f t="shared" si="11"/>
        <v>0</v>
      </c>
      <c r="Z59" s="522">
        <f t="shared" si="11"/>
        <v>0</v>
      </c>
      <c r="AA59" s="522">
        <f t="shared" si="11"/>
        <v>0</v>
      </c>
      <c r="AB59" s="522">
        <f t="shared" si="11"/>
        <v>0</v>
      </c>
      <c r="AC59" s="522">
        <f t="shared" si="11"/>
        <v>0</v>
      </c>
      <c r="AD59" s="522">
        <f t="shared" si="11"/>
        <v>0</v>
      </c>
      <c r="AE59" s="522">
        <f t="shared" si="11"/>
        <v>0</v>
      </c>
      <c r="AF59" s="522">
        <f t="shared" si="11"/>
        <v>0</v>
      </c>
      <c r="AG59" s="522">
        <f t="shared" si="11"/>
        <v>0</v>
      </c>
    </row>
    <row r="60" spans="1:33" ht="17.25" customHeight="1" outlineLevel="2">
      <c r="A60" s="817"/>
      <c r="B60" s="765"/>
      <c r="C60" s="510" t="s">
        <v>514</v>
      </c>
      <c r="D60" s="436" t="str">
        <f>Currency_Label</f>
        <v>USD</v>
      </c>
      <c r="E60" s="767"/>
      <c r="F60" s="767"/>
      <c r="G60" s="767"/>
      <c r="H60" s="767"/>
      <c r="I60" s="242">
        <f ca="1">SUM(J60:AG60)</f>
        <v>88863.801818194697</v>
      </c>
      <c r="J60" s="769">
        <f t="shared" ref="J60:AG60" si="12">IF(J$7=1,0,LOOKUP(MAX(1,J$7-1),$J$33:$N$33,$J$45:$N$45)*J$59)</f>
        <v>0</v>
      </c>
      <c r="K60" s="769">
        <f t="shared" si="12"/>
        <v>0</v>
      </c>
      <c r="L60" s="769">
        <f t="shared" si="12"/>
        <v>0</v>
      </c>
      <c r="M60" s="769">
        <f t="shared" si="12"/>
        <v>0</v>
      </c>
      <c r="N60" s="769">
        <f t="shared" si="12"/>
        <v>0</v>
      </c>
      <c r="O60" s="769">
        <f t="shared" si="12"/>
        <v>0</v>
      </c>
      <c r="P60" s="769">
        <f t="shared" si="12"/>
        <v>0</v>
      </c>
      <c r="Q60" s="769">
        <f t="shared" si="12"/>
        <v>0</v>
      </c>
      <c r="R60" s="769">
        <f t="shared" si="12"/>
        <v>0</v>
      </c>
      <c r="S60" s="769">
        <f t="shared" ca="1" si="12"/>
        <v>0</v>
      </c>
      <c r="T60" s="769">
        <f t="shared" ca="1" si="12"/>
        <v>0</v>
      </c>
      <c r="U60" s="769">
        <f t="shared" ca="1" si="12"/>
        <v>0</v>
      </c>
      <c r="V60" s="769">
        <f t="shared" ca="1" si="12"/>
        <v>88863.801818194697</v>
      </c>
      <c r="W60" s="769">
        <f t="shared" ca="1" si="12"/>
        <v>0</v>
      </c>
      <c r="X60" s="769">
        <f t="shared" ca="1" si="12"/>
        <v>0</v>
      </c>
      <c r="Y60" s="769">
        <f t="shared" ca="1" si="12"/>
        <v>0</v>
      </c>
      <c r="Z60" s="769">
        <f t="shared" ca="1" si="12"/>
        <v>0</v>
      </c>
      <c r="AA60" s="769">
        <f t="shared" ca="1" si="12"/>
        <v>0</v>
      </c>
      <c r="AB60" s="769">
        <f t="shared" ca="1" si="12"/>
        <v>0</v>
      </c>
      <c r="AC60" s="769">
        <f t="shared" ca="1" si="12"/>
        <v>0</v>
      </c>
      <c r="AD60" s="769">
        <f t="shared" ca="1" si="12"/>
        <v>0</v>
      </c>
      <c r="AE60" s="769">
        <f t="shared" ca="1" si="12"/>
        <v>0</v>
      </c>
      <c r="AF60" s="769">
        <f t="shared" ca="1" si="12"/>
        <v>0</v>
      </c>
      <c r="AG60" s="769">
        <f t="shared" ca="1" si="12"/>
        <v>0</v>
      </c>
    </row>
    <row r="61" spans="1:33" ht="17.25" customHeight="1" outlineLevel="2">
      <c r="A61" s="817"/>
      <c r="B61" s="765"/>
      <c r="C61" s="767" t="s">
        <v>515</v>
      </c>
      <c r="D61" s="436" t="str">
        <f>Currency_Label</f>
        <v>USD</v>
      </c>
      <c r="E61" s="767"/>
      <c r="F61" s="767"/>
      <c r="G61" s="767"/>
      <c r="H61" s="767"/>
      <c r="I61" s="242">
        <f>SUM(J61:AG61)</f>
        <v>80000</v>
      </c>
      <c r="J61" s="769">
        <f t="shared" ref="J61:AG61" si="13">IF(J$7=1,0,LOOKUP(MAX(1,J$7-1),$J$33:$N$33,$J$48:$N$48)*J$59)</f>
        <v>0</v>
      </c>
      <c r="K61" s="769">
        <f t="shared" si="13"/>
        <v>0</v>
      </c>
      <c r="L61" s="769">
        <f t="shared" si="13"/>
        <v>0</v>
      </c>
      <c r="M61" s="769">
        <f t="shared" si="13"/>
        <v>0</v>
      </c>
      <c r="N61" s="769">
        <f t="shared" si="13"/>
        <v>0</v>
      </c>
      <c r="O61" s="769">
        <f t="shared" si="13"/>
        <v>0</v>
      </c>
      <c r="P61" s="769">
        <f t="shared" si="13"/>
        <v>0</v>
      </c>
      <c r="Q61" s="769">
        <f t="shared" si="13"/>
        <v>0</v>
      </c>
      <c r="R61" s="769">
        <f t="shared" si="13"/>
        <v>0</v>
      </c>
      <c r="S61" s="769">
        <f t="shared" si="13"/>
        <v>0</v>
      </c>
      <c r="T61" s="769">
        <f t="shared" si="13"/>
        <v>0</v>
      </c>
      <c r="U61" s="769">
        <f t="shared" si="13"/>
        <v>0</v>
      </c>
      <c r="V61" s="769">
        <f t="shared" si="13"/>
        <v>80000</v>
      </c>
      <c r="W61" s="769">
        <f t="shared" si="13"/>
        <v>0</v>
      </c>
      <c r="X61" s="769">
        <f t="shared" si="13"/>
        <v>0</v>
      </c>
      <c r="Y61" s="769">
        <f t="shared" si="13"/>
        <v>0</v>
      </c>
      <c r="Z61" s="769">
        <f t="shared" si="13"/>
        <v>0</v>
      </c>
      <c r="AA61" s="769">
        <f t="shared" si="13"/>
        <v>0</v>
      </c>
      <c r="AB61" s="769">
        <f t="shared" si="13"/>
        <v>0</v>
      </c>
      <c r="AC61" s="769">
        <f t="shared" si="13"/>
        <v>0</v>
      </c>
      <c r="AD61" s="769">
        <f t="shared" si="13"/>
        <v>0</v>
      </c>
      <c r="AE61" s="769">
        <f t="shared" si="13"/>
        <v>0</v>
      </c>
      <c r="AF61" s="769">
        <f t="shared" si="13"/>
        <v>0</v>
      </c>
      <c r="AG61" s="769">
        <f t="shared" si="13"/>
        <v>0</v>
      </c>
    </row>
    <row r="62" spans="1:33" ht="17.25" customHeight="1" outlineLevel="2">
      <c r="A62" s="817"/>
      <c r="B62" s="765"/>
      <c r="C62" s="767" t="s">
        <v>516</v>
      </c>
      <c r="D62" s="436" t="str">
        <f>Currency_Label</f>
        <v>USD</v>
      </c>
      <c r="E62" s="767"/>
      <c r="F62" s="767"/>
      <c r="G62" s="767"/>
      <c r="H62" s="767"/>
      <c r="I62" s="242">
        <f ca="1">SUM(J62:AG62)</f>
        <v>8863.8018181946973</v>
      </c>
      <c r="J62" s="437">
        <f t="shared" ref="J62:AG62" si="14">(J60-J61)*J$59</f>
        <v>0</v>
      </c>
      <c r="K62" s="437">
        <f t="shared" si="14"/>
        <v>0</v>
      </c>
      <c r="L62" s="437">
        <f t="shared" si="14"/>
        <v>0</v>
      </c>
      <c r="M62" s="437">
        <f t="shared" si="14"/>
        <v>0</v>
      </c>
      <c r="N62" s="437">
        <f t="shared" si="14"/>
        <v>0</v>
      </c>
      <c r="O62" s="437">
        <f t="shared" si="14"/>
        <v>0</v>
      </c>
      <c r="P62" s="437">
        <f t="shared" si="14"/>
        <v>0</v>
      </c>
      <c r="Q62" s="437">
        <f t="shared" si="14"/>
        <v>0</v>
      </c>
      <c r="R62" s="437">
        <f t="shared" si="14"/>
        <v>0</v>
      </c>
      <c r="S62" s="437">
        <f t="shared" ca="1" si="14"/>
        <v>0</v>
      </c>
      <c r="T62" s="437">
        <f t="shared" ca="1" si="14"/>
        <v>0</v>
      </c>
      <c r="U62" s="437">
        <f t="shared" ca="1" si="14"/>
        <v>0</v>
      </c>
      <c r="V62" s="437">
        <f t="shared" ca="1" si="14"/>
        <v>8863.8018181946973</v>
      </c>
      <c r="W62" s="437">
        <f t="shared" ca="1" si="14"/>
        <v>0</v>
      </c>
      <c r="X62" s="437">
        <f t="shared" ca="1" si="14"/>
        <v>0</v>
      </c>
      <c r="Y62" s="437">
        <f t="shared" ca="1" si="14"/>
        <v>0</v>
      </c>
      <c r="Z62" s="437">
        <f t="shared" ca="1" si="14"/>
        <v>0</v>
      </c>
      <c r="AA62" s="437">
        <f t="shared" ca="1" si="14"/>
        <v>0</v>
      </c>
      <c r="AB62" s="437">
        <f t="shared" ca="1" si="14"/>
        <v>0</v>
      </c>
      <c r="AC62" s="437">
        <f t="shared" ca="1" si="14"/>
        <v>0</v>
      </c>
      <c r="AD62" s="437">
        <f t="shared" ca="1" si="14"/>
        <v>0</v>
      </c>
      <c r="AE62" s="437">
        <f t="shared" ca="1" si="14"/>
        <v>0</v>
      </c>
      <c r="AF62" s="437">
        <f t="shared" ca="1" si="14"/>
        <v>0</v>
      </c>
      <c r="AG62" s="437">
        <f t="shared" ca="1" si="14"/>
        <v>0</v>
      </c>
    </row>
    <row r="63" spans="1:33" ht="13.5" customHeight="1" outlineLevel="2">
      <c r="A63" s="817"/>
      <c r="B63" s="765"/>
      <c r="C63" s="765"/>
      <c r="D63" s="765"/>
      <c r="E63" s="765"/>
      <c r="F63" s="765"/>
      <c r="G63" s="765"/>
      <c r="H63" s="765"/>
      <c r="I63" s="455"/>
      <c r="J63" s="765"/>
      <c r="K63" s="765"/>
      <c r="L63" s="765"/>
      <c r="M63" s="765"/>
      <c r="N63" s="765"/>
      <c r="O63" s="765"/>
      <c r="P63" s="765"/>
      <c r="Q63" s="765"/>
      <c r="R63" s="765"/>
      <c r="S63" s="765"/>
      <c r="T63" s="765"/>
      <c r="U63" s="765"/>
      <c r="V63" s="765"/>
      <c r="W63" s="765"/>
      <c r="X63" s="765"/>
      <c r="Y63" s="765"/>
      <c r="Z63" s="765"/>
      <c r="AA63" s="765"/>
      <c r="AB63" s="765"/>
      <c r="AC63" s="765"/>
      <c r="AD63" s="765"/>
      <c r="AE63" s="765"/>
      <c r="AF63" s="765"/>
      <c r="AG63" s="765"/>
    </row>
    <row r="64" spans="1:33" ht="21" customHeight="1" outlineLevel="1">
      <c r="A64" s="817"/>
      <c r="B64" s="279">
        <v>3</v>
      </c>
      <c r="C64" s="279" t="s">
        <v>519</v>
      </c>
      <c r="D64" s="765"/>
      <c r="E64" s="765"/>
      <c r="F64" s="765"/>
      <c r="G64" s="765"/>
      <c r="H64" s="765"/>
      <c r="I64" s="765"/>
      <c r="J64" s="765"/>
      <c r="K64" s="765"/>
      <c r="L64" s="765"/>
      <c r="M64" s="765"/>
      <c r="N64" s="765"/>
      <c r="O64" s="765"/>
      <c r="P64" s="765"/>
      <c r="Q64" s="765"/>
      <c r="R64" s="765"/>
      <c r="S64" s="765"/>
      <c r="T64" s="765"/>
      <c r="U64" s="765"/>
      <c r="V64" s="765"/>
      <c r="W64" s="765"/>
      <c r="X64" s="765"/>
      <c r="Y64" s="765"/>
      <c r="Z64" s="765"/>
      <c r="AA64" s="765"/>
      <c r="AB64" s="765"/>
      <c r="AC64" s="765"/>
      <c r="AD64" s="765"/>
      <c r="AE64" s="765"/>
      <c r="AF64" s="765"/>
      <c r="AG64" s="765"/>
    </row>
    <row r="65" spans="1:33" ht="17.25" customHeight="1" outlineLevel="2">
      <c r="A65" s="817"/>
      <c r="B65" s="765"/>
      <c r="C65" s="767" t="s">
        <v>520</v>
      </c>
      <c r="D65" s="436" t="str">
        <f>Currency_Label</f>
        <v>USD</v>
      </c>
      <c r="E65" s="195" t="s">
        <v>521</v>
      </c>
      <c r="F65" s="767"/>
      <c r="G65" s="767"/>
      <c r="H65" s="767"/>
      <c r="I65" s="242">
        <f ca="1">SUM(J65:AG65)</f>
        <v>197209.78961750565</v>
      </c>
      <c r="J65" s="769">
        <f t="shared" ref="J65:AG65" ca="1" si="15">IF(J6=0,0,LOOKUP(J$7,$J$33:$N$33,$J$45:$N$45)/LOOKUP(J$7,$J$33:$N$33,$J$51:$N$51))</f>
        <v>9873.755757577188</v>
      </c>
      <c r="K65" s="769">
        <f t="shared" ca="1" si="15"/>
        <v>9873.755757577188</v>
      </c>
      <c r="L65" s="769">
        <f t="shared" ca="1" si="15"/>
        <v>9873.755757577188</v>
      </c>
      <c r="M65" s="769">
        <f t="shared" ca="1" si="15"/>
        <v>9873.755757577188</v>
      </c>
      <c r="N65" s="769">
        <f t="shared" ca="1" si="15"/>
        <v>9873.755757577188</v>
      </c>
      <c r="O65" s="769">
        <f t="shared" ca="1" si="15"/>
        <v>9873.755757577188</v>
      </c>
      <c r="P65" s="769">
        <f t="shared" ca="1" si="15"/>
        <v>9873.755757577188</v>
      </c>
      <c r="Q65" s="769">
        <f t="shared" ca="1" si="15"/>
        <v>9873.755757577188</v>
      </c>
      <c r="R65" s="769">
        <f t="shared" ca="1" si="15"/>
        <v>9873.755757577188</v>
      </c>
      <c r="S65" s="769">
        <f t="shared" ca="1" si="15"/>
        <v>9028.8323166092468</v>
      </c>
      <c r="T65" s="769">
        <f t="shared" ca="1" si="15"/>
        <v>9028.8323166092468</v>
      </c>
      <c r="U65" s="769">
        <f t="shared" ca="1" si="15"/>
        <v>9028.8323166092468</v>
      </c>
      <c r="V65" s="769">
        <f t="shared" ca="1" si="15"/>
        <v>9028.8323166092468</v>
      </c>
      <c r="W65" s="769">
        <f t="shared" ca="1" si="15"/>
        <v>9028.8323166092468</v>
      </c>
      <c r="X65" s="769">
        <f t="shared" ca="1" si="15"/>
        <v>9028.8323166092468</v>
      </c>
      <c r="Y65" s="769">
        <f t="shared" ca="1" si="15"/>
        <v>9028.8323166092468</v>
      </c>
      <c r="Z65" s="769">
        <f t="shared" ca="1" si="15"/>
        <v>9028.8323166092468</v>
      </c>
      <c r="AA65" s="769">
        <f t="shared" ca="1" si="15"/>
        <v>9028.8323166092468</v>
      </c>
      <c r="AB65" s="769">
        <f t="shared" ca="1" si="15"/>
        <v>9028.8323166092468</v>
      </c>
      <c r="AC65" s="769">
        <f t="shared" ca="1" si="15"/>
        <v>9028.8323166092468</v>
      </c>
      <c r="AD65" s="769">
        <f t="shared" ca="1" si="15"/>
        <v>9028.8323166092468</v>
      </c>
      <c r="AE65" s="769">
        <f t="shared" si="15"/>
        <v>0</v>
      </c>
      <c r="AF65" s="769">
        <f t="shared" si="15"/>
        <v>0</v>
      </c>
      <c r="AG65" s="769">
        <f t="shared" si="15"/>
        <v>0</v>
      </c>
    </row>
    <row r="66" spans="1:33" ht="13.5" customHeight="1" outlineLevel="2">
      <c r="A66" s="817"/>
      <c r="B66" s="765"/>
      <c r="C66" s="765"/>
      <c r="D66" s="765"/>
      <c r="E66" s="765"/>
      <c r="F66" s="765"/>
      <c r="G66" s="765"/>
      <c r="H66" s="765"/>
      <c r="I66" s="765"/>
      <c r="J66" s="455"/>
      <c r="K66" s="455"/>
      <c r="L66" s="455"/>
      <c r="M66" s="455"/>
      <c r="N66" s="455"/>
      <c r="O66" s="455"/>
      <c r="P66" s="455"/>
      <c r="Q66" s="455"/>
      <c r="R66" s="455"/>
      <c r="S66" s="455"/>
      <c r="T66" s="455"/>
      <c r="U66" s="455"/>
      <c r="V66" s="455"/>
      <c r="W66" s="455"/>
      <c r="X66" s="455"/>
      <c r="Y66" s="455"/>
      <c r="Z66" s="455"/>
      <c r="AA66" s="455"/>
      <c r="AB66" s="455"/>
      <c r="AC66" s="455"/>
      <c r="AD66" s="455"/>
      <c r="AE66" s="455"/>
      <c r="AF66" s="455"/>
      <c r="AG66" s="455"/>
    </row>
    <row r="67" spans="1:33" ht="21" customHeight="1" outlineLevel="1">
      <c r="A67" s="817"/>
      <c r="B67" s="279">
        <v>4</v>
      </c>
      <c r="C67" s="279" t="str">
        <f>CHOOSE(language,"BS Account: Taxes on profit owed","BS Account: Taxes on income owed")</f>
        <v>BS Account: Taxes on income owed</v>
      </c>
      <c r="D67" s="765"/>
      <c r="E67" s="765"/>
      <c r="F67" s="765"/>
      <c r="G67" s="765"/>
      <c r="H67" s="765"/>
      <c r="I67" s="765"/>
      <c r="J67" s="765"/>
      <c r="K67" s="765"/>
      <c r="L67" s="765"/>
      <c r="M67" s="765"/>
      <c r="N67" s="765"/>
      <c r="O67" s="765"/>
      <c r="P67" s="765"/>
      <c r="Q67" s="765"/>
      <c r="R67" s="765"/>
      <c r="S67" s="765"/>
      <c r="T67" s="765"/>
      <c r="U67" s="765"/>
      <c r="V67" s="765"/>
      <c r="W67" s="765"/>
      <c r="X67" s="765"/>
      <c r="Y67" s="765"/>
      <c r="Z67" s="765"/>
      <c r="AA67" s="765"/>
      <c r="AB67" s="765"/>
      <c r="AC67" s="765"/>
      <c r="AD67" s="765"/>
      <c r="AE67" s="765"/>
      <c r="AF67" s="765"/>
      <c r="AG67" s="765"/>
    </row>
    <row r="68" spans="1:33" ht="17.25" customHeight="1" outlineLevel="2">
      <c r="A68" s="817"/>
      <c r="B68" s="765"/>
      <c r="C68" s="767" t="s">
        <v>140</v>
      </c>
      <c r="D68" s="436" t="str">
        <f>Currency_Label</f>
        <v>USD</v>
      </c>
      <c r="E68" s="767"/>
      <c r="F68" s="767"/>
      <c r="G68" s="767"/>
      <c r="H68" s="767"/>
      <c r="I68" s="767"/>
      <c r="J68" s="769">
        <f t="shared" ref="J68:AG68" si="16">I71*J6</f>
        <v>0</v>
      </c>
      <c r="K68" s="769">
        <f t="shared" ca="1" si="16"/>
        <v>9873.755757577188</v>
      </c>
      <c r="L68" s="769">
        <f t="shared" ca="1" si="16"/>
        <v>19747.511515154376</v>
      </c>
      <c r="M68" s="769">
        <f t="shared" ca="1" si="16"/>
        <v>2954.6006060648979</v>
      </c>
      <c r="N68" s="769">
        <f t="shared" ca="1" si="16"/>
        <v>12828.356363642086</v>
      </c>
      <c r="O68" s="769">
        <f t="shared" ca="1" si="16"/>
        <v>22702.112121219274</v>
      </c>
      <c r="P68" s="769">
        <f t="shared" ca="1" si="16"/>
        <v>5909.2012121297921</v>
      </c>
      <c r="Q68" s="769">
        <f t="shared" ca="1" si="16"/>
        <v>15782.95696970698</v>
      </c>
      <c r="R68" s="769">
        <f t="shared" ca="1" si="16"/>
        <v>25656.712727284168</v>
      </c>
      <c r="S68" s="769">
        <f t="shared" ca="1" si="16"/>
        <v>8863.8018181946863</v>
      </c>
      <c r="T68" s="769">
        <f t="shared" ca="1" si="16"/>
        <v>17892.634134803935</v>
      </c>
      <c r="U68" s="769">
        <f t="shared" ca="1" si="16"/>
        <v>26921.46645141318</v>
      </c>
      <c r="V68" s="769">
        <f t="shared" ca="1" si="16"/>
        <v>10950.298768022425</v>
      </c>
      <c r="W68" s="769">
        <f t="shared" ca="1" si="16"/>
        <v>11115.329266436973</v>
      </c>
      <c r="X68" s="769">
        <f t="shared" ca="1" si="16"/>
        <v>20144.161583046218</v>
      </c>
      <c r="Y68" s="769">
        <f t="shared" ca="1" si="16"/>
        <v>4172.9938996554629</v>
      </c>
      <c r="Z68" s="769">
        <f t="shared" ca="1" si="16"/>
        <v>13201.82621626471</v>
      </c>
      <c r="AA68" s="769">
        <f t="shared" ca="1" si="16"/>
        <v>22230.658532873957</v>
      </c>
      <c r="AB68" s="769">
        <f t="shared" ca="1" si="16"/>
        <v>6259.4908494832052</v>
      </c>
      <c r="AC68" s="769">
        <f t="shared" ca="1" si="16"/>
        <v>15288.323166092452</v>
      </c>
      <c r="AD68" s="769">
        <f t="shared" ca="1" si="16"/>
        <v>24317.155482701699</v>
      </c>
      <c r="AE68" s="769">
        <f t="shared" ca="1" si="16"/>
        <v>0</v>
      </c>
      <c r="AF68" s="769">
        <f t="shared" ca="1" si="16"/>
        <v>0</v>
      </c>
      <c r="AG68" s="769">
        <f t="shared" ca="1" si="16"/>
        <v>0</v>
      </c>
    </row>
    <row r="69" spans="1:33" ht="17.25" customHeight="1" outlineLevel="2">
      <c r="A69" s="817"/>
      <c r="B69" s="765"/>
      <c r="C69" s="767" t="s">
        <v>522</v>
      </c>
      <c r="D69" s="436" t="str">
        <f>Currency_Label</f>
        <v>USD</v>
      </c>
      <c r="E69" s="767"/>
      <c r="F69" s="767"/>
      <c r="G69" s="767"/>
      <c r="H69" s="767"/>
      <c r="I69" s="242">
        <f ca="1">SUM(J69:AG69)</f>
        <v>197209.78961750565</v>
      </c>
      <c r="J69" s="769">
        <f ca="1">J65</f>
        <v>9873.755757577188</v>
      </c>
      <c r="K69" s="769">
        <f t="shared" ref="K69:AG69" ca="1" si="17">K65</f>
        <v>9873.755757577188</v>
      </c>
      <c r="L69" s="769">
        <f t="shared" ca="1" si="17"/>
        <v>9873.755757577188</v>
      </c>
      <c r="M69" s="769">
        <f t="shared" ca="1" si="17"/>
        <v>9873.755757577188</v>
      </c>
      <c r="N69" s="769">
        <f t="shared" ca="1" si="17"/>
        <v>9873.755757577188</v>
      </c>
      <c r="O69" s="769">
        <f t="shared" ca="1" si="17"/>
        <v>9873.755757577188</v>
      </c>
      <c r="P69" s="769">
        <f t="shared" ca="1" si="17"/>
        <v>9873.755757577188</v>
      </c>
      <c r="Q69" s="769">
        <f t="shared" ca="1" si="17"/>
        <v>9873.755757577188</v>
      </c>
      <c r="R69" s="769">
        <f t="shared" ca="1" si="17"/>
        <v>9873.755757577188</v>
      </c>
      <c r="S69" s="769">
        <f t="shared" ca="1" si="17"/>
        <v>9028.8323166092468</v>
      </c>
      <c r="T69" s="769">
        <f t="shared" ca="1" si="17"/>
        <v>9028.8323166092468</v>
      </c>
      <c r="U69" s="769">
        <f t="shared" ca="1" si="17"/>
        <v>9028.8323166092468</v>
      </c>
      <c r="V69" s="769">
        <f t="shared" ca="1" si="17"/>
        <v>9028.8323166092468</v>
      </c>
      <c r="W69" s="769">
        <f t="shared" ca="1" si="17"/>
        <v>9028.8323166092468</v>
      </c>
      <c r="X69" s="769">
        <f t="shared" ca="1" si="17"/>
        <v>9028.8323166092468</v>
      </c>
      <c r="Y69" s="769">
        <f t="shared" ca="1" si="17"/>
        <v>9028.8323166092468</v>
      </c>
      <c r="Z69" s="769">
        <f t="shared" ca="1" si="17"/>
        <v>9028.8323166092468</v>
      </c>
      <c r="AA69" s="769">
        <f t="shared" ca="1" si="17"/>
        <v>9028.8323166092468</v>
      </c>
      <c r="AB69" s="769">
        <f t="shared" ca="1" si="17"/>
        <v>9028.8323166092468</v>
      </c>
      <c r="AC69" s="769">
        <f t="shared" ca="1" si="17"/>
        <v>9028.8323166092468</v>
      </c>
      <c r="AD69" s="769">
        <f t="shared" ca="1" si="17"/>
        <v>9028.8323166092468</v>
      </c>
      <c r="AE69" s="769">
        <f t="shared" si="17"/>
        <v>0</v>
      </c>
      <c r="AF69" s="769">
        <f t="shared" si="17"/>
        <v>0</v>
      </c>
      <c r="AG69" s="769">
        <f t="shared" si="17"/>
        <v>0</v>
      </c>
    </row>
    <row r="70" spans="1:33" ht="17.25" customHeight="1" outlineLevel="2">
      <c r="A70" s="817"/>
      <c r="B70" s="765"/>
      <c r="C70" s="767" t="s">
        <v>694</v>
      </c>
      <c r="D70" s="436" t="str">
        <f>Currency_Label</f>
        <v>USD</v>
      </c>
      <c r="E70" s="195" t="s">
        <v>524</v>
      </c>
      <c r="F70" s="767"/>
      <c r="G70" s="776"/>
      <c r="H70" s="767"/>
      <c r="I70" s="242">
        <f ca="1">SUM(J70:AG70)</f>
        <v>-188863.80181819468</v>
      </c>
      <c r="J70" s="243">
        <f>-(J56+J62)</f>
        <v>0</v>
      </c>
      <c r="K70" s="243">
        <f t="shared" ref="K70:AG70" si="18">-(K56+K62)</f>
        <v>0</v>
      </c>
      <c r="L70" s="243">
        <f t="shared" si="18"/>
        <v>-26666.666666666668</v>
      </c>
      <c r="M70" s="243">
        <f t="shared" si="18"/>
        <v>0</v>
      </c>
      <c r="N70" s="243">
        <f t="shared" si="18"/>
        <v>0</v>
      </c>
      <c r="O70" s="243">
        <f t="shared" si="18"/>
        <v>-26666.666666666668</v>
      </c>
      <c r="P70" s="243">
        <f t="shared" si="18"/>
        <v>0</v>
      </c>
      <c r="Q70" s="243">
        <f t="shared" si="18"/>
        <v>0</v>
      </c>
      <c r="R70" s="243">
        <f t="shared" si="18"/>
        <v>-26666.666666666668</v>
      </c>
      <c r="S70" s="243">
        <f t="shared" ca="1" si="18"/>
        <v>0</v>
      </c>
      <c r="T70" s="243">
        <f t="shared" ca="1" si="18"/>
        <v>0</v>
      </c>
      <c r="U70" s="243">
        <f t="shared" ca="1" si="18"/>
        <v>-25000</v>
      </c>
      <c r="V70" s="243">
        <f t="shared" ca="1" si="18"/>
        <v>-8863.8018181946973</v>
      </c>
      <c r="W70" s="243">
        <f t="shared" ca="1" si="18"/>
        <v>0</v>
      </c>
      <c r="X70" s="243">
        <f t="shared" ca="1" si="18"/>
        <v>-25000</v>
      </c>
      <c r="Y70" s="243">
        <f t="shared" ca="1" si="18"/>
        <v>0</v>
      </c>
      <c r="Z70" s="243">
        <f t="shared" ca="1" si="18"/>
        <v>0</v>
      </c>
      <c r="AA70" s="243">
        <f t="shared" ca="1" si="18"/>
        <v>-25000</v>
      </c>
      <c r="AB70" s="243">
        <f t="shared" ca="1" si="18"/>
        <v>0</v>
      </c>
      <c r="AC70" s="243">
        <f t="shared" ca="1" si="18"/>
        <v>0</v>
      </c>
      <c r="AD70" s="243">
        <f t="shared" ca="1" si="18"/>
        <v>-25000</v>
      </c>
      <c r="AE70" s="243">
        <f t="shared" ca="1" si="18"/>
        <v>0</v>
      </c>
      <c r="AF70" s="243">
        <f t="shared" ca="1" si="18"/>
        <v>0</v>
      </c>
      <c r="AG70" s="243">
        <f t="shared" ca="1" si="18"/>
        <v>0</v>
      </c>
    </row>
    <row r="71" spans="1:33" ht="17.25" customHeight="1" outlineLevel="2" thickBot="1">
      <c r="A71" s="817"/>
      <c r="B71" s="765"/>
      <c r="C71" s="767" t="s">
        <v>141</v>
      </c>
      <c r="D71" s="436" t="str">
        <f>Currency_Label</f>
        <v>USD</v>
      </c>
      <c r="E71" s="767"/>
      <c r="F71" s="767"/>
      <c r="G71" s="767"/>
      <c r="H71" s="767"/>
      <c r="I71" s="523"/>
      <c r="J71" s="777">
        <f t="shared" ref="J71" ca="1" si="19">SUM(J68:J70)</f>
        <v>9873.755757577188</v>
      </c>
      <c r="K71" s="777">
        <f t="shared" ref="K71:AG71" ca="1" si="20">SUM(K68:K70)</f>
        <v>19747.511515154376</v>
      </c>
      <c r="L71" s="777">
        <f t="shared" ca="1" si="20"/>
        <v>2954.6006060648979</v>
      </c>
      <c r="M71" s="777">
        <f t="shared" ca="1" si="20"/>
        <v>12828.356363642086</v>
      </c>
      <c r="N71" s="777">
        <f t="shared" ca="1" si="20"/>
        <v>22702.112121219274</v>
      </c>
      <c r="O71" s="777">
        <f t="shared" ca="1" si="20"/>
        <v>5909.2012121297921</v>
      </c>
      <c r="P71" s="777">
        <f t="shared" ca="1" si="20"/>
        <v>15782.95696970698</v>
      </c>
      <c r="Q71" s="777">
        <f t="shared" ca="1" si="20"/>
        <v>25656.712727284168</v>
      </c>
      <c r="R71" s="777">
        <f t="shared" ca="1" si="20"/>
        <v>8863.8018181946863</v>
      </c>
      <c r="S71" s="777">
        <f t="shared" ca="1" si="20"/>
        <v>17892.634134803935</v>
      </c>
      <c r="T71" s="777">
        <f t="shared" ca="1" si="20"/>
        <v>26921.46645141318</v>
      </c>
      <c r="U71" s="777">
        <f t="shared" ca="1" si="20"/>
        <v>10950.298768022425</v>
      </c>
      <c r="V71" s="777">
        <f t="shared" ca="1" si="20"/>
        <v>11115.329266436973</v>
      </c>
      <c r="W71" s="777">
        <f t="shared" ca="1" si="20"/>
        <v>20144.161583046218</v>
      </c>
      <c r="X71" s="777">
        <f t="shared" ca="1" si="20"/>
        <v>4172.9938996554629</v>
      </c>
      <c r="Y71" s="777">
        <f t="shared" ca="1" si="20"/>
        <v>13201.82621626471</v>
      </c>
      <c r="Z71" s="777">
        <f t="shared" ca="1" si="20"/>
        <v>22230.658532873957</v>
      </c>
      <c r="AA71" s="777">
        <f t="shared" ca="1" si="20"/>
        <v>6259.4908494832052</v>
      </c>
      <c r="AB71" s="777">
        <f t="shared" ca="1" si="20"/>
        <v>15288.323166092452</v>
      </c>
      <c r="AC71" s="777">
        <f t="shared" ca="1" si="20"/>
        <v>24317.155482701699</v>
      </c>
      <c r="AD71" s="777">
        <f t="shared" ca="1" si="20"/>
        <v>8345.9877993109476</v>
      </c>
      <c r="AE71" s="777">
        <f t="shared" ca="1" si="20"/>
        <v>0</v>
      </c>
      <c r="AF71" s="777">
        <f t="shared" ca="1" si="20"/>
        <v>0</v>
      </c>
      <c r="AG71" s="777">
        <f t="shared" ca="1" si="20"/>
        <v>0</v>
      </c>
    </row>
    <row r="72" spans="1:33" ht="17.25" customHeight="1" outlineLevel="2" thickTop="1">
      <c r="A72" s="817"/>
      <c r="B72" s="765"/>
      <c r="C72" s="767" t="s">
        <v>523</v>
      </c>
      <c r="D72" s="436" t="str">
        <f>Currency_Label</f>
        <v>USD</v>
      </c>
      <c r="E72" s="767"/>
      <c r="F72" s="511">
        <f ca="1">I69+I70</f>
        <v>8345.9877993109694</v>
      </c>
      <c r="G72" s="685">
        <f ca="1">ROUND(I69+I70-F72,4)</f>
        <v>0</v>
      </c>
      <c r="H72" s="767"/>
      <c r="I72" s="455"/>
      <c r="J72" s="455"/>
      <c r="K72" s="765"/>
      <c r="L72" s="765"/>
      <c r="M72" s="765"/>
      <c r="N72" s="765"/>
      <c r="O72" s="765"/>
      <c r="P72" s="765"/>
      <c r="Q72" s="765"/>
      <c r="R72" s="765"/>
      <c r="S72" s="765"/>
      <c r="T72" s="765"/>
      <c r="U72" s="765"/>
      <c r="V72" s="765"/>
      <c r="W72" s="765"/>
      <c r="X72" s="765"/>
      <c r="Y72" s="765"/>
      <c r="Z72" s="765"/>
      <c r="AA72" s="765"/>
      <c r="AB72" s="765"/>
      <c r="AC72" s="765"/>
      <c r="AD72" s="765"/>
      <c r="AE72" s="765"/>
      <c r="AF72" s="765"/>
      <c r="AG72" s="765"/>
    </row>
    <row r="73" spans="1:33" ht="17.25" customHeight="1" outlineLevel="1">
      <c r="A73" s="817"/>
      <c r="B73" s="765"/>
      <c r="C73" s="765"/>
      <c r="D73" s="527"/>
      <c r="E73" s="765"/>
      <c r="F73" s="765"/>
      <c r="G73" s="765"/>
      <c r="H73" s="455"/>
      <c r="I73" s="778"/>
      <c r="J73" s="779"/>
      <c r="K73" s="531"/>
      <c r="L73" s="765"/>
      <c r="M73" s="765"/>
      <c r="N73" s="765"/>
      <c r="O73" s="765"/>
      <c r="P73" s="765"/>
      <c r="Q73" s="765"/>
      <c r="R73" s="765"/>
      <c r="S73" s="765"/>
      <c r="T73" s="765"/>
      <c r="U73" s="765"/>
      <c r="V73" s="765"/>
      <c r="W73" s="765"/>
      <c r="X73" s="765"/>
      <c r="Y73" s="765"/>
      <c r="Z73" s="765"/>
      <c r="AA73" s="765"/>
      <c r="AB73" s="765"/>
      <c r="AC73" s="765"/>
      <c r="AD73" s="765"/>
      <c r="AE73" s="765"/>
      <c r="AF73" s="765"/>
      <c r="AG73" s="765"/>
    </row>
    <row r="74" spans="1:33" ht="17.25" customHeight="1">
      <c r="A74" s="817"/>
      <c r="B74" s="765"/>
      <c r="C74" s="765"/>
      <c r="D74" s="765"/>
      <c r="E74" s="765"/>
      <c r="F74" s="765"/>
      <c r="G74" s="765"/>
      <c r="H74" s="765"/>
      <c r="I74" s="765"/>
      <c r="J74" s="765"/>
      <c r="K74" s="765"/>
      <c r="L74" s="765"/>
      <c r="M74" s="765"/>
      <c r="N74" s="765"/>
      <c r="O74" s="765"/>
      <c r="P74" s="765"/>
      <c r="Q74" s="765"/>
      <c r="R74" s="765"/>
      <c r="S74" s="765"/>
      <c r="T74" s="765"/>
      <c r="U74" s="765"/>
      <c r="V74" s="765"/>
      <c r="W74" s="765"/>
      <c r="X74" s="765"/>
      <c r="Y74" s="765"/>
      <c r="Z74" s="765"/>
      <c r="AA74" s="765"/>
      <c r="AB74" s="765"/>
      <c r="AC74" s="765"/>
      <c r="AD74" s="765"/>
      <c r="AE74" s="765"/>
      <c r="AF74" s="765"/>
      <c r="AG74" s="765"/>
    </row>
    <row r="75" spans="1:33" ht="17.25" customHeight="1">
      <c r="A75" s="894"/>
      <c r="B75" s="241"/>
      <c r="C75" s="241"/>
      <c r="D75" s="241"/>
      <c r="E75" s="241"/>
      <c r="F75" s="241"/>
      <c r="G75" s="241"/>
      <c r="H75" s="241"/>
      <c r="I75" s="241"/>
      <c r="J75" s="241"/>
      <c r="K75" s="241"/>
      <c r="L75" s="241"/>
      <c r="M75" s="241"/>
      <c r="N75" s="241"/>
      <c r="O75" s="241"/>
      <c r="P75" s="241"/>
      <c r="Q75" s="241"/>
      <c r="R75" s="241"/>
      <c r="S75" s="241"/>
      <c r="T75" s="241"/>
      <c r="U75" s="241"/>
      <c r="V75" s="241"/>
      <c r="W75" s="241"/>
      <c r="X75" s="241"/>
      <c r="Y75" s="241"/>
      <c r="Z75" s="241"/>
      <c r="AA75" s="241"/>
      <c r="AB75" s="241"/>
      <c r="AC75" s="241"/>
      <c r="AD75" s="241"/>
      <c r="AE75" s="241"/>
      <c r="AF75" s="241"/>
      <c r="AG75" s="241"/>
    </row>
    <row r="76" spans="1:33" ht="17.25" customHeight="1">
      <c r="A76" s="287"/>
      <c r="B76" s="287"/>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E76" s="287"/>
      <c r="AF76" s="287"/>
      <c r="AG76" s="287"/>
    </row>
    <row r="77" spans="1:33" ht="17.25" customHeight="1">
      <c r="A77" s="287"/>
      <c r="B77" s="287"/>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row>
    <row r="78" spans="1:33" ht="17.25" customHeight="1">
      <c r="A78" s="287"/>
      <c r="B78" s="287"/>
      <c r="C78" s="287"/>
      <c r="D78" s="287"/>
      <c r="E78" s="287"/>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E78" s="287"/>
      <c r="AF78" s="287"/>
      <c r="AG78" s="287"/>
    </row>
    <row r="79" spans="1:33" ht="17.25" customHeight="1">
      <c r="A79" s="287"/>
      <c r="B79" s="287"/>
      <c r="C79" s="287"/>
      <c r="D79" s="287"/>
      <c r="E79" s="287"/>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7"/>
    </row>
    <row r="80" spans="1:33" ht="17.25" customHeight="1">
      <c r="A80" s="287"/>
      <c r="B80" s="287"/>
      <c r="C80" s="287"/>
      <c r="D80" s="287"/>
      <c r="E80" s="287"/>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E80" s="287"/>
      <c r="AF80" s="287"/>
      <c r="AG80" s="287"/>
    </row>
    <row r="81" spans="1:33" ht="17.25" customHeight="1">
      <c r="A81" s="287"/>
      <c r="B81" s="287"/>
      <c r="C81" s="287"/>
      <c r="D81" s="287"/>
      <c r="E81" s="287"/>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E81" s="287"/>
      <c r="AF81" s="287"/>
      <c r="AG81" s="287"/>
    </row>
    <row r="82" spans="1:33" ht="17.25" customHeight="1">
      <c r="A82" s="287"/>
      <c r="B82" s="287"/>
      <c r="C82" s="287"/>
      <c r="D82" s="287"/>
      <c r="E82" s="287"/>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7"/>
    </row>
    <row r="83" spans="1:33" ht="17.25" customHeight="1">
      <c r="A83" s="287"/>
      <c r="B83" s="287"/>
      <c r="C83" s="287"/>
      <c r="D83" s="287"/>
      <c r="E83" s="287"/>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E83" s="287"/>
      <c r="AF83" s="287"/>
      <c r="AG83" s="287"/>
    </row>
    <row r="84" spans="1:33" s="911" customFormat="1" ht="17.25" customHeight="1">
      <c r="A84" s="894"/>
      <c r="B84" s="894"/>
      <c r="C84" s="894"/>
      <c r="D84" s="894"/>
      <c r="E84" s="894"/>
      <c r="F84" s="894"/>
      <c r="G84" s="894"/>
      <c r="H84" s="894"/>
      <c r="I84" s="894"/>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row>
    <row r="85" spans="1:33" s="911" customFormat="1" ht="17.25" customHeight="1">
      <c r="A85" s="894"/>
      <c r="B85" s="894"/>
      <c r="C85" s="894"/>
      <c r="D85" s="894"/>
      <c r="E85" s="894"/>
      <c r="F85" s="894"/>
      <c r="G85" s="894"/>
      <c r="H85" s="894"/>
      <c r="I85" s="894"/>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row>
    <row r="86" spans="1:33" s="911" customFormat="1" ht="17.25" customHeight="1">
      <c r="A86" s="894"/>
      <c r="B86" s="894"/>
      <c r="C86" s="894"/>
      <c r="D86" s="894"/>
      <c r="E86" s="894"/>
      <c r="F86" s="894"/>
      <c r="G86" s="894"/>
      <c r="H86" s="894"/>
      <c r="I86" s="894"/>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row>
    <row r="87" spans="1:33" s="911" customFormat="1" ht="17.25" customHeight="1">
      <c r="A87" s="894"/>
      <c r="B87" s="894"/>
      <c r="C87" s="894"/>
      <c r="D87" s="894"/>
      <c r="E87" s="894"/>
      <c r="F87" s="894"/>
      <c r="G87" s="894"/>
      <c r="H87" s="894"/>
      <c r="I87" s="894"/>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row>
    <row r="88" spans="1:33" ht="17.25" customHeight="1">
      <c r="A88" s="287"/>
      <c r="B88" s="287"/>
      <c r="C88" s="287"/>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row>
    <row r="89" spans="1:33" ht="17.25" customHeight="1">
      <c r="A89" s="287"/>
      <c r="B89" s="287"/>
      <c r="C89" s="287"/>
      <c r="D89" s="287"/>
      <c r="E89" s="287"/>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row>
    <row r="90" spans="1:33" ht="17.25" customHeight="1">
      <c r="A90" s="287"/>
      <c r="B90" s="287"/>
      <c r="C90" s="287"/>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row>
    <row r="91" spans="1:33" ht="17.25" customHeight="1">
      <c r="A91" s="287"/>
      <c r="B91" s="287"/>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E91" s="287"/>
      <c r="AF91" s="287"/>
      <c r="AG91" s="287"/>
    </row>
    <row r="92" spans="1:33" ht="17.25" customHeight="1">
      <c r="A92" s="287"/>
      <c r="B92" s="287"/>
      <c r="C92" s="287"/>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row>
    <row r="93" spans="1:33" ht="17.25" customHeight="1">
      <c r="A93" s="287"/>
      <c r="B93" s="287"/>
      <c r="C93" s="287"/>
      <c r="D93" s="287"/>
      <c r="E93" s="287"/>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E93" s="287"/>
      <c r="AF93" s="287"/>
      <c r="AG93" s="287"/>
    </row>
    <row r="94" spans="1:33" ht="17.25" customHeight="1">
      <c r="A94" s="287"/>
      <c r="B94" s="287"/>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E94" s="287"/>
      <c r="AF94" s="287"/>
      <c r="AG94" s="287"/>
    </row>
    <row r="95" spans="1:33" ht="17.25" customHeight="1">
      <c r="A95" s="287"/>
      <c r="B95" s="287"/>
      <c r="C95" s="287"/>
      <c r="D95" s="287"/>
      <c r="E95" s="287"/>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E95" s="287"/>
      <c r="AF95" s="287"/>
      <c r="AG95" s="287"/>
    </row>
    <row r="96" spans="1:33" ht="17.25" customHeight="1">
      <c r="A96" s="287"/>
      <c r="B96" s="287"/>
      <c r="C96" s="287"/>
      <c r="D96" s="287"/>
      <c r="E96" s="287"/>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E96" s="287"/>
      <c r="AF96" s="287"/>
      <c r="AG96" s="287"/>
    </row>
    <row r="97" spans="1:33" ht="17.25" customHeight="1">
      <c r="A97" s="287"/>
      <c r="B97" s="287"/>
      <c r="C97" s="287"/>
      <c r="D97" s="287"/>
      <c r="E97" s="287"/>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E97" s="287"/>
      <c r="AF97" s="287"/>
      <c r="AG97" s="287"/>
    </row>
    <row r="98" spans="1:33" ht="17.25" customHeight="1">
      <c r="A98" s="287"/>
      <c r="B98" s="287"/>
      <c r="C98" s="287"/>
      <c r="D98" s="287"/>
      <c r="E98" s="287"/>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E98" s="287"/>
      <c r="AF98" s="287"/>
      <c r="AG98" s="287"/>
    </row>
    <row r="99" spans="1:33" ht="17.25" customHeight="1">
      <c r="A99" s="287"/>
      <c r="B99" s="287"/>
      <c r="C99" s="287"/>
      <c r="D99" s="287"/>
      <c r="E99" s="287"/>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E99" s="287"/>
      <c r="AF99" s="287"/>
      <c r="AG99" s="287"/>
    </row>
    <row r="100" spans="1:33" ht="17.25" customHeight="1">
      <c r="A100" s="287"/>
      <c r="B100" s="287"/>
      <c r="C100" s="287"/>
      <c r="D100" s="287"/>
      <c r="E100" s="287"/>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E100" s="287"/>
      <c r="AF100" s="287"/>
      <c r="AG100" s="287"/>
    </row>
    <row r="101" spans="1:33" ht="17.25" customHeight="1">
      <c r="A101" s="287"/>
      <c r="B101" s="287"/>
      <c r="C101" s="287"/>
      <c r="D101" s="287"/>
      <c r="E101" s="287"/>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E101" s="287"/>
      <c r="AF101" s="287"/>
      <c r="AG101" s="287"/>
    </row>
    <row r="102" spans="1:33" ht="17.25" customHeight="1">
      <c r="A102" s="287"/>
      <c r="B102" s="287"/>
      <c r="C102" s="287"/>
      <c r="D102" s="287"/>
      <c r="E102" s="287"/>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E102" s="287"/>
      <c r="AF102" s="287"/>
      <c r="AG102" s="287"/>
    </row>
    <row r="103" spans="1:33" ht="17.25" customHeight="1">
      <c r="A103" s="287"/>
      <c r="B103" s="287"/>
      <c r="C103" s="287"/>
      <c r="D103" s="287"/>
      <c r="E103" s="287"/>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E103" s="287"/>
      <c r="AF103" s="287"/>
      <c r="AG103" s="287"/>
    </row>
    <row r="104" spans="1:33" ht="17.25" customHeight="1">
      <c r="A104" s="287"/>
      <c r="B104" s="287"/>
      <c r="C104" s="287"/>
      <c r="D104" s="287"/>
      <c r="E104" s="287"/>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E104" s="287"/>
      <c r="AF104" s="287"/>
      <c r="AG104" s="287"/>
    </row>
  </sheetData>
  <sheetProtection password="F66A" sheet="1"/>
  <conditionalFormatting sqref="D3">
    <cfRule type="cellIs" dxfId="34" priority="78" operator="notEqual">
      <formula>0</formula>
    </cfRule>
  </conditionalFormatting>
  <conditionalFormatting sqref="J59:AG59 J55:AG55 J28:AG28">
    <cfRule type="cellIs" dxfId="33" priority="60" stopIfTrue="1" operator="equal">
      <formula>1</formula>
    </cfRule>
  </conditionalFormatting>
  <conditionalFormatting sqref="H23">
    <cfRule type="cellIs" dxfId="32" priority="13" operator="notEqual">
      <formula>0</formula>
    </cfRule>
  </conditionalFormatting>
  <conditionalFormatting sqref="G72">
    <cfRule type="cellIs" dxfId="31" priority="12" operator="notEqual">
      <formula>0</formula>
    </cfRule>
  </conditionalFormatting>
  <conditionalFormatting sqref="J35">
    <cfRule type="cellIs" dxfId="30" priority="11" stopIfTrue="1" operator="equal">
      <formula>1</formula>
    </cfRule>
  </conditionalFormatting>
  <conditionalFormatting sqref="K35:N35">
    <cfRule type="cellIs" dxfId="29" priority="10" stopIfTrue="1" operator="equal">
      <formula>1</formula>
    </cfRule>
  </conditionalFormatting>
  <conditionalFormatting sqref="K6:L6">
    <cfRule type="cellIs" dxfId="28" priority="9" stopIfTrue="1" operator="equal">
      <formula>1</formula>
    </cfRule>
  </conditionalFormatting>
  <conditionalFormatting sqref="J4">
    <cfRule type="expression" dxfId="27" priority="8" stopIfTrue="1">
      <formula>J$6=1</formula>
    </cfRule>
  </conditionalFormatting>
  <conditionalFormatting sqref="M6:Q6">
    <cfRule type="cellIs" dxfId="26" priority="7" stopIfTrue="1" operator="equal">
      <formula>1</formula>
    </cfRule>
  </conditionalFormatting>
  <conditionalFormatting sqref="J5">
    <cfRule type="expression" dxfId="25" priority="6" stopIfTrue="1">
      <formula>J$6=1</formula>
    </cfRule>
  </conditionalFormatting>
  <conditionalFormatting sqref="R6:BU6">
    <cfRule type="cellIs" dxfId="24" priority="5" stopIfTrue="1" operator="equal">
      <formula>1</formula>
    </cfRule>
  </conditionalFormatting>
  <conditionalFormatting sqref="J6:BU6">
    <cfRule type="cellIs" dxfId="23" priority="4" stopIfTrue="1" operator="equal">
      <formula>1</formula>
    </cfRule>
  </conditionalFormatting>
  <conditionalFormatting sqref="K4:BU4">
    <cfRule type="expression" dxfId="22" priority="3" stopIfTrue="1">
      <formula>K$6=1</formula>
    </cfRule>
  </conditionalFormatting>
  <conditionalFormatting sqref="L5:BU5">
    <cfRule type="expression" dxfId="21" priority="2" stopIfTrue="1">
      <formula>L$6=1</formula>
    </cfRule>
  </conditionalFormatting>
  <conditionalFormatting sqref="K5:BU5">
    <cfRule type="expression" dxfId="20" priority="1" stopIfTrue="1">
      <formula>K$6=1</formula>
    </cfRule>
  </conditionalFormatting>
  <dataValidations count="1">
    <dataValidation type="whole" allowBlank="1" showInputMessage="1" showErrorMessage="1" errorTitle="Error" error="Only integral numbers between 0 and 11" sqref="H28">
      <formula1>0</formula1>
      <formula2>11</formula2>
    </dataValidation>
  </dataValidations>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57"/>
  <sheetViews>
    <sheetView showGridLines="0" showRowColHeaders="0" zoomScale="85" zoomScaleNormal="85" workbookViewId="0"/>
  </sheetViews>
  <sheetFormatPr baseColWidth="10" defaultColWidth="0" defaultRowHeight="12.75" zeroHeight="1"/>
  <cols>
    <col min="1" max="1" width="4.5703125" customWidth="1"/>
    <col min="2" max="2" width="64.28515625" customWidth="1"/>
    <col min="3" max="3" width="8.7109375" customWidth="1"/>
    <col min="4" max="4" width="64.28515625" customWidth="1"/>
    <col min="5" max="5" width="8.7109375" customWidth="1"/>
    <col min="6" max="6" width="64.28515625" customWidth="1"/>
    <col min="7" max="7" width="4.5703125" customWidth="1"/>
    <col min="8" max="13" width="0" hidden="1" customWidth="1"/>
    <col min="14" max="16384" width="11.42578125" hidden="1"/>
  </cols>
  <sheetData>
    <row r="1" spans="1:7">
      <c r="A1" s="1103"/>
      <c r="B1" s="1103"/>
      <c r="C1" s="1103"/>
      <c r="D1" s="1103"/>
      <c r="E1" s="1103"/>
      <c r="F1" s="1103"/>
      <c r="G1" s="1103"/>
    </row>
    <row r="2" spans="1:7">
      <c r="A2" s="1103"/>
      <c r="B2" s="61"/>
      <c r="C2" s="61"/>
      <c r="D2" s="61"/>
      <c r="E2" s="61"/>
      <c r="F2" s="61"/>
      <c r="G2" s="1107"/>
    </row>
    <row r="3" spans="1:7">
      <c r="A3" s="1103"/>
      <c r="B3" s="61"/>
      <c r="G3" s="1107"/>
    </row>
    <row r="4" spans="1:7">
      <c r="A4" s="1103"/>
      <c r="B4" s="61"/>
      <c r="G4" s="1107"/>
    </row>
    <row r="5" spans="1:7">
      <c r="A5" s="1103"/>
      <c r="B5" s="61"/>
      <c r="G5" s="1107"/>
    </row>
    <row r="6" spans="1:7">
      <c r="A6" s="1103"/>
      <c r="B6" s="61"/>
      <c r="G6" s="1107"/>
    </row>
    <row r="7" spans="1:7" ht="26.25">
      <c r="A7" s="1103"/>
      <c r="B7" s="1133" t="s">
        <v>896</v>
      </c>
      <c r="C7" s="1090"/>
      <c r="D7" s="1090"/>
      <c r="G7" s="1107"/>
    </row>
    <row r="8" spans="1:7" ht="18">
      <c r="A8" s="1103"/>
      <c r="B8" s="61"/>
      <c r="C8" s="1090"/>
      <c r="D8" s="1090"/>
      <c r="G8" s="1107"/>
    </row>
    <row r="9" spans="1:7" ht="26.25">
      <c r="A9" s="1103"/>
      <c r="B9" s="1132" t="s">
        <v>984</v>
      </c>
      <c r="C9" s="1090"/>
      <c r="D9" s="1090"/>
      <c r="G9" s="1107"/>
    </row>
    <row r="10" spans="1:7" ht="26.25">
      <c r="A10" s="1103"/>
      <c r="B10" s="1132" t="s">
        <v>986</v>
      </c>
      <c r="C10" s="1090"/>
      <c r="D10" s="1090"/>
      <c r="G10" s="1107"/>
    </row>
    <row r="11" spans="1:7" s="911" customFormat="1" ht="26.25">
      <c r="A11" s="1103"/>
      <c r="B11" s="1132" t="s">
        <v>985</v>
      </c>
      <c r="C11" s="1090"/>
      <c r="D11" s="1090"/>
      <c r="G11" s="1107"/>
    </row>
    <row r="12" spans="1:7" ht="18">
      <c r="A12" s="1103"/>
      <c r="B12" s="61"/>
      <c r="C12" s="1090"/>
      <c r="D12" s="1090"/>
      <c r="G12" s="1107"/>
    </row>
    <row r="13" spans="1:7" ht="18">
      <c r="A13" s="1103"/>
      <c r="B13" s="61"/>
      <c r="C13" s="1090"/>
      <c r="D13" s="1090"/>
      <c r="G13" s="1107"/>
    </row>
    <row r="14" spans="1:7" s="911" customFormat="1" ht="18">
      <c r="A14" s="1103"/>
      <c r="B14" s="61"/>
      <c r="C14" s="1090"/>
      <c r="D14" s="1090"/>
      <c r="G14" s="1107"/>
    </row>
    <row r="15" spans="1:7" ht="18">
      <c r="A15" s="1103"/>
      <c r="B15" s="61"/>
      <c r="C15" s="1090"/>
      <c r="D15" s="1090"/>
      <c r="G15" s="1107"/>
    </row>
    <row r="16" spans="1:7" ht="18">
      <c r="A16" s="1103"/>
      <c r="B16" s="61"/>
      <c r="C16" s="1090"/>
      <c r="D16" s="1090"/>
      <c r="G16" s="1107"/>
    </row>
    <row r="17" spans="1:7" ht="18">
      <c r="A17" s="1103"/>
      <c r="B17" s="61"/>
      <c r="C17" s="1090"/>
      <c r="D17" s="1090"/>
      <c r="G17" s="1107"/>
    </row>
    <row r="18" spans="1:7" ht="18">
      <c r="A18" s="1103"/>
      <c r="B18" s="61"/>
      <c r="C18" s="1090"/>
      <c r="D18" s="1090"/>
      <c r="G18" s="1107"/>
    </row>
    <row r="19" spans="1:7" ht="18">
      <c r="A19" s="1103"/>
      <c r="B19" s="61"/>
      <c r="C19" s="1090"/>
      <c r="D19" s="1090"/>
      <c r="G19" s="1107"/>
    </row>
    <row r="20" spans="1:7">
      <c r="A20" s="1103"/>
      <c r="B20" s="1103"/>
      <c r="C20" s="1103"/>
      <c r="D20" s="1103"/>
      <c r="E20" s="1103"/>
      <c r="F20" s="1103"/>
      <c r="G20" s="1103"/>
    </row>
    <row r="21" spans="1:7">
      <c r="A21" s="1103"/>
      <c r="B21" s="1103"/>
      <c r="C21" s="1103"/>
      <c r="D21" s="1103"/>
      <c r="E21" s="1103"/>
      <c r="F21" s="1103"/>
      <c r="G21" s="1103"/>
    </row>
    <row r="22" spans="1:7" ht="13.5" thickBot="1">
      <c r="A22" s="1103"/>
      <c r="B22" s="1103"/>
      <c r="C22" s="1103"/>
      <c r="D22" s="1103"/>
      <c r="E22" s="1103"/>
      <c r="F22" s="1103"/>
      <c r="G22" s="1103"/>
    </row>
    <row r="23" spans="1:7" ht="47.25" customHeight="1" thickTop="1" thickBot="1">
      <c r="A23" s="1103"/>
      <c r="B23" s="1129" t="s">
        <v>995</v>
      </c>
      <c r="C23" s="1130"/>
      <c r="D23" s="1130"/>
      <c r="E23" s="1130"/>
      <c r="F23" s="1131"/>
      <c r="G23" s="1107"/>
    </row>
    <row r="24" spans="1:7" ht="14.25" thickTop="1" thickBot="1">
      <c r="A24" s="1103"/>
      <c r="B24" s="1103"/>
      <c r="C24" s="1103"/>
      <c r="D24" s="1103"/>
      <c r="E24" s="1103"/>
      <c r="F24" s="1103"/>
      <c r="G24" s="1103"/>
    </row>
    <row r="25" spans="1:7" ht="42" customHeight="1" thickTop="1">
      <c r="A25" s="1103"/>
      <c r="B25" s="1109" t="s">
        <v>957</v>
      </c>
      <c r="C25" s="1110"/>
      <c r="D25" s="1111" t="s">
        <v>955</v>
      </c>
      <c r="E25" s="1112"/>
      <c r="F25" s="1113" t="s">
        <v>956</v>
      </c>
      <c r="G25" s="1107"/>
    </row>
    <row r="26" spans="1:7" ht="45" customHeight="1">
      <c r="A26" s="1103"/>
      <c r="B26" s="1114" t="s">
        <v>960</v>
      </c>
      <c r="C26" s="1097"/>
      <c r="D26" s="1098" t="s">
        <v>966</v>
      </c>
      <c r="E26" s="1099"/>
      <c r="F26" s="1115" t="s">
        <v>961</v>
      </c>
      <c r="G26" s="1107"/>
    </row>
    <row r="27" spans="1:7" ht="45" customHeight="1">
      <c r="A27" s="1103"/>
      <c r="B27" s="1121" t="s">
        <v>964</v>
      </c>
      <c r="C27" s="1095"/>
      <c r="D27" s="1096" t="s">
        <v>963</v>
      </c>
      <c r="E27" s="1091"/>
      <c r="F27" s="1116" t="s">
        <v>962</v>
      </c>
      <c r="G27" s="1107"/>
    </row>
    <row r="28" spans="1:7" ht="45" customHeight="1">
      <c r="A28" s="1103"/>
      <c r="B28" s="1114" t="s">
        <v>965</v>
      </c>
      <c r="C28" s="1092"/>
      <c r="D28" s="1098" t="s">
        <v>967</v>
      </c>
      <c r="E28" s="1094"/>
      <c r="F28" s="1115" t="s">
        <v>968</v>
      </c>
      <c r="G28" s="1107"/>
    </row>
    <row r="29" spans="1:7" ht="45" customHeight="1">
      <c r="A29" s="1103"/>
      <c r="B29" s="1121" t="s">
        <v>970</v>
      </c>
      <c r="C29" s="1095"/>
      <c r="D29" s="1096" t="s">
        <v>991</v>
      </c>
      <c r="E29" s="1091"/>
      <c r="F29" s="1116" t="s">
        <v>972</v>
      </c>
      <c r="G29" s="1107"/>
    </row>
    <row r="30" spans="1:7" ht="45" customHeight="1">
      <c r="A30" s="1103"/>
      <c r="B30" s="1114" t="s">
        <v>969</v>
      </c>
      <c r="C30" s="1092"/>
      <c r="D30" s="1098" t="s">
        <v>971</v>
      </c>
      <c r="E30" s="1094"/>
      <c r="F30" s="1115" t="s">
        <v>990</v>
      </c>
      <c r="G30" s="1107"/>
    </row>
    <row r="31" spans="1:7" ht="45" customHeight="1">
      <c r="A31" s="1103"/>
      <c r="B31" s="1121" t="s">
        <v>973</v>
      </c>
      <c r="C31" s="1095"/>
      <c r="D31" s="1096" t="s">
        <v>975</v>
      </c>
      <c r="E31" s="1091"/>
      <c r="F31" s="1116" t="s">
        <v>974</v>
      </c>
      <c r="G31" s="1107"/>
    </row>
    <row r="32" spans="1:7" ht="18" customHeight="1" thickBot="1">
      <c r="A32" s="1103"/>
      <c r="B32" s="1117"/>
      <c r="C32" s="1092"/>
      <c r="D32" s="1093"/>
      <c r="E32" s="1094"/>
      <c r="F32" s="1118"/>
      <c r="G32" s="1107"/>
    </row>
    <row r="33" spans="1:7" ht="36.75" customHeight="1" thickTop="1">
      <c r="A33" s="1103"/>
      <c r="B33" s="1119" t="s">
        <v>958</v>
      </c>
      <c r="C33" s="1101"/>
      <c r="D33" s="1102" t="str">
        <f>$D$25</f>
        <v>Free Trial Version</v>
      </c>
      <c r="E33" s="1100"/>
      <c r="F33" s="1120" t="str">
        <f>$F$25</f>
        <v>Full Commercial Version</v>
      </c>
      <c r="G33" s="1107"/>
    </row>
    <row r="34" spans="1:7" ht="45.75" customHeight="1">
      <c r="A34" s="1103"/>
      <c r="B34" s="1114" t="s">
        <v>980</v>
      </c>
      <c r="C34" s="1097"/>
      <c r="D34" s="1098" t="s">
        <v>988</v>
      </c>
      <c r="E34" s="1099"/>
      <c r="F34" s="1115" t="s">
        <v>989</v>
      </c>
      <c r="G34" s="1107"/>
    </row>
    <row r="35" spans="1:7" s="911" customFormat="1" ht="45.75" customHeight="1">
      <c r="A35" s="1103"/>
      <c r="B35" s="1121" t="s">
        <v>981</v>
      </c>
      <c r="C35" s="1095"/>
      <c r="D35" s="1096" t="s">
        <v>982</v>
      </c>
      <c r="E35" s="1091"/>
      <c r="F35" s="1116" t="s">
        <v>992</v>
      </c>
      <c r="G35" s="1107"/>
    </row>
    <row r="36" spans="1:7" s="911" customFormat="1" ht="62.25" customHeight="1">
      <c r="A36" s="1103"/>
      <c r="B36" s="1114" t="s">
        <v>983</v>
      </c>
      <c r="C36" s="1097"/>
      <c r="D36" s="1098" t="s">
        <v>982</v>
      </c>
      <c r="E36" s="1099"/>
      <c r="F36" s="1115" t="s">
        <v>993</v>
      </c>
      <c r="G36" s="1107"/>
    </row>
    <row r="37" spans="1:7" ht="18" customHeight="1" thickBot="1">
      <c r="A37" s="1103"/>
      <c r="B37" s="1122"/>
      <c r="C37" s="1089"/>
      <c r="D37" s="1087"/>
      <c r="E37" s="1088"/>
      <c r="F37" s="1123"/>
      <c r="G37" s="1107"/>
    </row>
    <row r="38" spans="1:7" ht="36.75" customHeight="1" thickTop="1">
      <c r="A38" s="1103"/>
      <c r="B38" s="1119" t="s">
        <v>959</v>
      </c>
      <c r="C38" s="1101"/>
      <c r="D38" s="1102" t="str">
        <f>$D$25</f>
        <v>Free Trial Version</v>
      </c>
      <c r="E38" s="1100"/>
      <c r="F38" s="1120" t="str">
        <f>$F$25</f>
        <v>Full Commercial Version</v>
      </c>
      <c r="G38" s="1107"/>
    </row>
    <row r="39" spans="1:7" ht="45" customHeight="1">
      <c r="A39" s="1103"/>
      <c r="B39" s="1114" t="s">
        <v>954</v>
      </c>
      <c r="C39" s="1097"/>
      <c r="D39" s="1098" t="s">
        <v>979</v>
      </c>
      <c r="E39" s="1099"/>
      <c r="F39" s="1115" t="s">
        <v>978</v>
      </c>
      <c r="G39" s="1107"/>
    </row>
    <row r="40" spans="1:7" ht="45" customHeight="1" thickBot="1">
      <c r="A40" s="1103"/>
      <c r="B40" s="1124" t="s">
        <v>953</v>
      </c>
      <c r="C40" s="1125"/>
      <c r="D40" s="1126" t="s">
        <v>976</v>
      </c>
      <c r="E40" s="1127"/>
      <c r="F40" s="1128" t="s">
        <v>977</v>
      </c>
      <c r="G40" s="1107"/>
    </row>
    <row r="41" spans="1:7" ht="45" customHeight="1" thickTop="1">
      <c r="A41" s="1103"/>
      <c r="B41" s="1104"/>
      <c r="C41" s="1105"/>
      <c r="D41" s="1104"/>
      <c r="E41" s="1106"/>
      <c r="F41" s="1104"/>
      <c r="G41" s="1107"/>
    </row>
    <row r="42" spans="1:7" ht="36.75" customHeight="1">
      <c r="A42" s="1103"/>
      <c r="B42" s="1104"/>
      <c r="C42" s="1105"/>
      <c r="D42" s="1104"/>
      <c r="E42" s="1106"/>
      <c r="F42" s="1104"/>
      <c r="G42" s="1107"/>
    </row>
    <row r="43" spans="1:7" s="911" customFormat="1" ht="36.75" hidden="1" customHeight="1">
      <c r="A43" s="1103"/>
      <c r="B43" s="1104"/>
      <c r="C43" s="1105"/>
      <c r="D43" s="1104"/>
      <c r="E43" s="1106"/>
      <c r="F43" s="1104"/>
      <c r="G43" s="1107"/>
    </row>
    <row r="44" spans="1:7" s="911" customFormat="1" ht="36.75" hidden="1" customHeight="1">
      <c r="A44" s="1103"/>
      <c r="B44" s="1104"/>
      <c r="C44" s="1105"/>
      <c r="D44" s="1104"/>
      <c r="E44" s="1106"/>
      <c r="F44" s="1104"/>
      <c r="G44" s="1107"/>
    </row>
    <row r="45" spans="1:7" s="911" customFormat="1" ht="36.75" hidden="1" customHeight="1">
      <c r="A45" s="1103"/>
      <c r="B45" s="1104"/>
      <c r="C45" s="1105"/>
      <c r="D45" s="1104"/>
      <c r="E45" s="1106"/>
      <c r="F45" s="1104"/>
      <c r="G45" s="1107"/>
    </row>
    <row r="46" spans="1:7" s="911" customFormat="1" ht="36.75" hidden="1" customHeight="1">
      <c r="A46" s="1103"/>
      <c r="B46" s="1104"/>
      <c r="C46" s="1105"/>
      <c r="D46" s="1104"/>
      <c r="E46" s="1106"/>
      <c r="F46" s="1104"/>
      <c r="G46" s="1107"/>
    </row>
    <row r="47" spans="1:7" s="911" customFormat="1" ht="36.75" hidden="1" customHeight="1">
      <c r="A47" s="1103"/>
      <c r="B47" s="1104"/>
      <c r="C47" s="1105"/>
      <c r="D47" s="1104"/>
      <c r="E47" s="1106"/>
      <c r="F47" s="1104"/>
      <c r="G47" s="1107"/>
    </row>
    <row r="48" spans="1:7" s="911" customFormat="1" ht="36.75" hidden="1" customHeight="1">
      <c r="A48" s="1103"/>
      <c r="B48" s="1104"/>
      <c r="C48" s="1105"/>
      <c r="D48" s="1104"/>
      <c r="E48" s="1106"/>
      <c r="F48" s="1104"/>
      <c r="G48" s="1107"/>
    </row>
    <row r="49" spans="1:7" s="911" customFormat="1" ht="36.75" hidden="1" customHeight="1">
      <c r="A49" s="1103"/>
      <c r="B49" s="1104"/>
      <c r="C49" s="1105"/>
      <c r="D49" s="1104"/>
      <c r="E49" s="1106"/>
      <c r="F49" s="1104"/>
      <c r="G49" s="1107"/>
    </row>
    <row r="50" spans="1:7" s="911" customFormat="1" ht="36.75" hidden="1" customHeight="1">
      <c r="A50" s="1103"/>
      <c r="B50" s="1104"/>
      <c r="C50" s="1105"/>
      <c r="D50" s="1104"/>
      <c r="E50" s="1106"/>
      <c r="F50" s="1104"/>
      <c r="G50" s="1107"/>
    </row>
    <row r="51" spans="1:7" s="911" customFormat="1" ht="36.75" hidden="1" customHeight="1">
      <c r="A51" s="1103"/>
      <c r="B51" s="1104"/>
      <c r="C51" s="1105"/>
      <c r="D51" s="1104"/>
      <c r="E51" s="1106"/>
      <c r="F51" s="1104"/>
      <c r="G51" s="1107"/>
    </row>
    <row r="52" spans="1:7" s="911" customFormat="1" ht="36.75" hidden="1" customHeight="1">
      <c r="A52" s="1103"/>
      <c r="B52" s="1104"/>
      <c r="C52" s="1105"/>
      <c r="D52" s="1104"/>
      <c r="E52" s="1106"/>
      <c r="F52" s="1104"/>
      <c r="G52" s="1107"/>
    </row>
    <row r="53" spans="1:7" s="911" customFormat="1" ht="36.75" hidden="1" customHeight="1">
      <c r="A53" s="1103"/>
      <c r="B53" s="1104"/>
      <c r="C53" s="1105"/>
      <c r="D53" s="1104"/>
      <c r="E53" s="1106"/>
      <c r="F53" s="1104"/>
      <c r="G53" s="1107"/>
    </row>
    <row r="54" spans="1:7" s="911" customFormat="1" ht="36.75" hidden="1" customHeight="1">
      <c r="A54" s="1103"/>
      <c r="B54" s="1104"/>
      <c r="C54" s="1105"/>
      <c r="D54" s="1104"/>
      <c r="E54" s="1106"/>
      <c r="F54" s="1104"/>
      <c r="G54" s="1107"/>
    </row>
    <row r="55" spans="1:7" s="911" customFormat="1" ht="36.75" hidden="1" customHeight="1">
      <c r="A55" s="1103"/>
      <c r="B55" s="1104"/>
      <c r="C55" s="1105"/>
      <c r="D55" s="1104"/>
      <c r="E55" s="1106"/>
      <c r="F55" s="1104"/>
      <c r="G55" s="1107"/>
    </row>
    <row r="56" spans="1:7" ht="36.75" hidden="1" customHeight="1">
      <c r="A56" s="1103"/>
      <c r="B56" s="1107"/>
      <c r="C56" s="1108"/>
      <c r="D56" s="1107"/>
      <c r="E56" s="1108"/>
      <c r="F56" s="1107"/>
      <c r="G56" s="1107"/>
    </row>
    <row r="57" spans="1:7" hidden="1">
      <c r="A57" s="1103"/>
      <c r="B57" s="1103"/>
      <c r="C57" s="1103"/>
      <c r="D57" s="1103"/>
      <c r="E57" s="1103"/>
      <c r="F57" s="1103"/>
      <c r="G57" s="1103"/>
    </row>
  </sheetData>
  <sheetProtection password="F66A" sheet="1"/>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iming">
    <tabColor theme="1"/>
    <pageSetUpPr autoPageBreaks="0"/>
  </sheetPr>
  <dimension ref="A1:MJ40"/>
  <sheetViews>
    <sheetView showGridLines="0" zoomScaleNormal="100" workbookViewId="0">
      <pane ySplit="6" topLeftCell="A7" activePane="bottomLeft" state="frozenSplit"/>
      <selection activeCell="G23" sqref="G23"/>
      <selection pane="bottomLeft" activeCell="A7" sqref="A7"/>
    </sheetView>
  </sheetViews>
  <sheetFormatPr baseColWidth="10" defaultColWidth="0" defaultRowHeight="12.75" zeroHeight="1"/>
  <cols>
    <col min="1" max="2" width="4.140625" style="232" customWidth="1"/>
    <col min="3" max="3" width="49.42578125" style="232" customWidth="1"/>
    <col min="4" max="5" width="13" style="232" customWidth="1"/>
    <col min="6" max="8" width="5.85546875" style="232" customWidth="1"/>
    <col min="9" max="33" width="11.42578125" style="232" customWidth="1"/>
    <col min="34" max="348" width="0" style="232" hidden="1" customWidth="1"/>
    <col min="349" max="16384" width="11.42578125" style="232" hidden="1"/>
  </cols>
  <sheetData>
    <row r="1" spans="1:33" ht="20.25">
      <c r="A1" s="231" t="s">
        <v>150</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row>
    <row r="2" spans="1:33" ht="15" customHeight="1">
      <c r="A2" s="290"/>
      <c r="B2" s="290"/>
      <c r="C2" s="291" t="str">
        <f>"Model: "&amp;Name_Model</f>
        <v>Model: 5 Year Forecast</v>
      </c>
      <c r="D2" s="291"/>
      <c r="E2" s="292" t="s">
        <v>148</v>
      </c>
      <c r="F2" s="290"/>
      <c r="G2" s="290"/>
      <c r="H2" s="184"/>
      <c r="I2" s="184"/>
      <c r="J2" s="1083" t="s">
        <v>951</v>
      </c>
      <c r="K2" s="1084"/>
      <c r="L2" s="1084"/>
      <c r="M2" s="1084"/>
      <c r="N2" s="1084"/>
      <c r="O2" s="1084"/>
      <c r="P2" s="347"/>
      <c r="Q2" s="347"/>
      <c r="R2" s="347"/>
      <c r="S2" s="347"/>
      <c r="T2" s="347"/>
      <c r="U2" s="347"/>
      <c r="V2" s="347"/>
      <c r="W2" s="347"/>
      <c r="X2" s="347"/>
      <c r="Y2" s="347"/>
      <c r="Z2" s="347"/>
      <c r="AA2" s="347"/>
      <c r="AB2" s="347"/>
      <c r="AC2" s="347"/>
      <c r="AD2" s="347"/>
      <c r="AE2" s="347"/>
      <c r="AF2" s="347"/>
      <c r="AG2" s="347"/>
    </row>
    <row r="3" spans="1:33" ht="15" customHeight="1">
      <c r="A3" s="290"/>
      <c r="B3" s="290"/>
      <c r="C3" s="291" t="s">
        <v>151</v>
      </c>
      <c r="D3" s="680">
        <f ca="1">Fehlerkontrolle</f>
        <v>0</v>
      </c>
      <c r="E3" s="292" t="s">
        <v>149</v>
      </c>
      <c r="F3" s="290"/>
      <c r="G3" s="297"/>
      <c r="H3" s="297"/>
      <c r="I3" s="350"/>
      <c r="J3" s="351"/>
      <c r="K3" s="347"/>
      <c r="L3" s="352"/>
      <c r="M3" s="347"/>
      <c r="N3" s="352"/>
      <c r="O3" s="347"/>
      <c r="P3" s="352"/>
      <c r="Q3" s="347"/>
      <c r="R3" s="352"/>
      <c r="S3" s="347"/>
      <c r="T3" s="352"/>
      <c r="U3" s="347"/>
      <c r="V3" s="352"/>
      <c r="W3" s="347"/>
      <c r="X3" s="352"/>
      <c r="Y3" s="347"/>
      <c r="Z3" s="352"/>
      <c r="AA3" s="347"/>
      <c r="AB3" s="352"/>
      <c r="AC3" s="347"/>
      <c r="AD3" s="352"/>
      <c r="AE3" s="347"/>
      <c r="AF3" s="352"/>
      <c r="AG3" s="347"/>
    </row>
    <row r="4" spans="1:33" ht="15" customHeight="1">
      <c r="A4" s="290"/>
      <c r="B4" s="294"/>
      <c r="C4" s="571" t="s">
        <v>152</v>
      </c>
      <c r="D4" s="353"/>
      <c r="E4" s="353"/>
      <c r="F4" s="353"/>
      <c r="G4" s="354"/>
      <c r="H4" s="350"/>
      <c r="I4" s="415"/>
      <c r="J4" s="655">
        <v>43525</v>
      </c>
      <c r="K4" s="655">
        <v>43556</v>
      </c>
      <c r="L4" s="655">
        <v>43586</v>
      </c>
      <c r="M4" s="655">
        <v>43617</v>
      </c>
      <c r="N4" s="655">
        <v>43647</v>
      </c>
      <c r="O4" s="655">
        <v>43678</v>
      </c>
      <c r="P4" s="655">
        <v>43709</v>
      </c>
      <c r="Q4" s="655">
        <v>43739</v>
      </c>
      <c r="R4" s="655">
        <v>43770</v>
      </c>
      <c r="S4" s="655">
        <v>43800</v>
      </c>
      <c r="T4" s="655">
        <v>43831</v>
      </c>
      <c r="U4" s="655">
        <v>43862</v>
      </c>
      <c r="V4" s="655">
        <v>43891</v>
      </c>
      <c r="W4" s="655">
        <v>43922</v>
      </c>
      <c r="X4" s="655">
        <v>43952</v>
      </c>
      <c r="Y4" s="655">
        <v>43983</v>
      </c>
      <c r="Z4" s="655">
        <v>44013</v>
      </c>
      <c r="AA4" s="655">
        <v>44044</v>
      </c>
      <c r="AB4" s="655">
        <v>44075</v>
      </c>
      <c r="AC4" s="655">
        <v>44105</v>
      </c>
      <c r="AD4" s="655">
        <v>44136</v>
      </c>
      <c r="AE4" s="655">
        <v>44166</v>
      </c>
      <c r="AF4" s="655">
        <v>44197</v>
      </c>
      <c r="AG4" s="655">
        <v>44228</v>
      </c>
    </row>
    <row r="5" spans="1:33" ht="15" customHeight="1">
      <c r="A5" s="290"/>
      <c r="B5" s="290"/>
      <c r="C5" s="571" t="s">
        <v>153</v>
      </c>
      <c r="D5" s="65" t="s">
        <v>25</v>
      </c>
      <c r="E5" s="11" t="s">
        <v>155</v>
      </c>
      <c r="F5" s="353"/>
      <c r="G5" s="354"/>
      <c r="H5" s="350"/>
      <c r="I5" s="661">
        <v>43524</v>
      </c>
      <c r="J5" s="656">
        <v>43555</v>
      </c>
      <c r="K5" s="656">
        <v>43585</v>
      </c>
      <c r="L5" s="656">
        <v>43616</v>
      </c>
      <c r="M5" s="656">
        <v>43646</v>
      </c>
      <c r="N5" s="656">
        <v>43677</v>
      </c>
      <c r="O5" s="656">
        <v>43708</v>
      </c>
      <c r="P5" s="656">
        <v>43738</v>
      </c>
      <c r="Q5" s="656">
        <v>43769</v>
      </c>
      <c r="R5" s="656">
        <v>43799</v>
      </c>
      <c r="S5" s="656">
        <v>43830</v>
      </c>
      <c r="T5" s="656">
        <v>43861</v>
      </c>
      <c r="U5" s="656">
        <v>43890</v>
      </c>
      <c r="V5" s="656">
        <v>43921</v>
      </c>
      <c r="W5" s="656">
        <v>43951</v>
      </c>
      <c r="X5" s="656">
        <v>43982</v>
      </c>
      <c r="Y5" s="656">
        <v>44012</v>
      </c>
      <c r="Z5" s="656">
        <v>44043</v>
      </c>
      <c r="AA5" s="656">
        <v>44074</v>
      </c>
      <c r="AB5" s="656">
        <v>44104</v>
      </c>
      <c r="AC5" s="656">
        <v>44135</v>
      </c>
      <c r="AD5" s="656">
        <v>44165</v>
      </c>
      <c r="AE5" s="656">
        <v>44196</v>
      </c>
      <c r="AF5" s="656">
        <v>44227</v>
      </c>
      <c r="AG5" s="656">
        <v>44255</v>
      </c>
    </row>
    <row r="6" spans="1:33" ht="15" customHeight="1">
      <c r="A6" s="348"/>
      <c r="B6" s="348"/>
      <c r="C6" s="350" t="s">
        <v>154</v>
      </c>
      <c r="D6" s="654">
        <v>43525</v>
      </c>
      <c r="E6" s="654">
        <v>44165</v>
      </c>
      <c r="F6" s="350"/>
      <c r="G6" s="657"/>
      <c r="H6" s="658"/>
      <c r="I6" s="659">
        <v>21</v>
      </c>
      <c r="J6" s="660">
        <v>1</v>
      </c>
      <c r="K6" s="660">
        <v>1</v>
      </c>
      <c r="L6" s="660">
        <v>1</v>
      </c>
      <c r="M6" s="660">
        <v>1</v>
      </c>
      <c r="N6" s="660">
        <v>1</v>
      </c>
      <c r="O6" s="660">
        <v>1</v>
      </c>
      <c r="P6" s="660">
        <v>1</v>
      </c>
      <c r="Q6" s="660">
        <v>1</v>
      </c>
      <c r="R6" s="660">
        <v>1</v>
      </c>
      <c r="S6" s="660">
        <v>1</v>
      </c>
      <c r="T6" s="660">
        <v>1</v>
      </c>
      <c r="U6" s="660">
        <v>1</v>
      </c>
      <c r="V6" s="660">
        <v>1</v>
      </c>
      <c r="W6" s="660">
        <v>1</v>
      </c>
      <c r="X6" s="660">
        <v>1</v>
      </c>
      <c r="Y6" s="660">
        <v>1</v>
      </c>
      <c r="Z6" s="660">
        <v>1</v>
      </c>
      <c r="AA6" s="660">
        <v>1</v>
      </c>
      <c r="AB6" s="660">
        <v>1</v>
      </c>
      <c r="AC6" s="660">
        <v>1</v>
      </c>
      <c r="AD6" s="660">
        <v>1</v>
      </c>
      <c r="AE6" s="660">
        <v>0</v>
      </c>
      <c r="AF6" s="660">
        <v>0</v>
      </c>
      <c r="AG6" s="660">
        <v>0</v>
      </c>
    </row>
    <row r="7" spans="1:33" ht="15" customHeight="1">
      <c r="A7" s="347"/>
      <c r="B7" s="350"/>
      <c r="C7" s="350"/>
      <c r="D7" s="350"/>
      <c r="E7" s="350"/>
      <c r="F7" s="350"/>
      <c r="G7" s="354"/>
      <c r="H7" s="350"/>
      <c r="I7" s="347"/>
      <c r="J7" s="319"/>
      <c r="K7" s="319"/>
      <c r="L7" s="319"/>
      <c r="M7" s="319"/>
      <c r="N7" s="319"/>
      <c r="O7" s="319"/>
      <c r="P7" s="319"/>
      <c r="Q7" s="319"/>
      <c r="R7" s="319"/>
      <c r="S7" s="319"/>
      <c r="T7" s="319"/>
      <c r="U7" s="319"/>
      <c r="V7" s="319"/>
      <c r="W7" s="319"/>
      <c r="X7" s="319"/>
      <c r="Y7" s="319"/>
      <c r="Z7" s="319"/>
      <c r="AA7" s="319"/>
      <c r="AB7" s="319"/>
      <c r="AC7" s="319"/>
      <c r="AD7" s="319"/>
      <c r="AE7" s="319"/>
      <c r="AF7" s="319"/>
      <c r="AG7" s="319"/>
    </row>
    <row r="8" spans="1:33" ht="21.75" customHeight="1">
      <c r="A8" s="347"/>
      <c r="B8" s="347"/>
      <c r="C8" s="349" t="s">
        <v>156</v>
      </c>
      <c r="D8" s="347"/>
      <c r="E8" s="347"/>
      <c r="F8" s="350"/>
      <c r="G8" s="354"/>
      <c r="H8" s="350"/>
      <c r="I8" s="347"/>
      <c r="J8" s="319"/>
      <c r="K8" s="319"/>
      <c r="L8" s="319"/>
      <c r="M8" s="319"/>
      <c r="N8" s="319"/>
      <c r="O8" s="319"/>
      <c r="P8" s="319"/>
      <c r="Q8" s="319"/>
      <c r="R8" s="319"/>
      <c r="S8" s="319"/>
      <c r="T8" s="319"/>
      <c r="U8" s="319"/>
      <c r="V8" s="319"/>
      <c r="W8" s="319"/>
      <c r="X8" s="319"/>
      <c r="Y8" s="319"/>
      <c r="Z8" s="319"/>
      <c r="AA8" s="319"/>
      <c r="AB8" s="319"/>
      <c r="AC8" s="319"/>
      <c r="AD8" s="319"/>
      <c r="AE8" s="319"/>
      <c r="AF8" s="319"/>
      <c r="AG8" s="319"/>
    </row>
    <row r="9" spans="1:33" ht="18" customHeight="1">
      <c r="A9" s="347"/>
      <c r="B9" s="662"/>
      <c r="C9" s="230" t="s">
        <v>157</v>
      </c>
      <c r="D9" s="436" t="s">
        <v>171</v>
      </c>
      <c r="E9" s="230"/>
      <c r="F9" s="416"/>
      <c r="G9" s="416"/>
      <c r="H9" s="416"/>
      <c r="I9" s="416"/>
      <c r="J9" s="416">
        <v>31</v>
      </c>
      <c r="K9" s="416">
        <v>30</v>
      </c>
      <c r="L9" s="416">
        <v>31</v>
      </c>
      <c r="M9" s="416">
        <v>30</v>
      </c>
      <c r="N9" s="416">
        <v>31</v>
      </c>
      <c r="O9" s="416">
        <v>31</v>
      </c>
      <c r="P9" s="416">
        <v>30</v>
      </c>
      <c r="Q9" s="416">
        <v>31</v>
      </c>
      <c r="R9" s="416">
        <v>30</v>
      </c>
      <c r="S9" s="416">
        <v>31</v>
      </c>
      <c r="T9" s="416">
        <v>31</v>
      </c>
      <c r="U9" s="416">
        <v>29</v>
      </c>
      <c r="V9" s="416">
        <v>31</v>
      </c>
      <c r="W9" s="416">
        <v>30</v>
      </c>
      <c r="X9" s="416">
        <v>31</v>
      </c>
      <c r="Y9" s="416">
        <v>30</v>
      </c>
      <c r="Z9" s="416">
        <v>31</v>
      </c>
      <c r="AA9" s="416">
        <v>31</v>
      </c>
      <c r="AB9" s="416">
        <v>30</v>
      </c>
      <c r="AC9" s="416">
        <v>31</v>
      </c>
      <c r="AD9" s="416">
        <v>30</v>
      </c>
      <c r="AE9" s="416">
        <v>31</v>
      </c>
      <c r="AF9" s="416">
        <v>31</v>
      </c>
      <c r="AG9" s="416">
        <v>28</v>
      </c>
    </row>
    <row r="10" spans="1:33" ht="18" customHeight="1">
      <c r="A10" s="347"/>
      <c r="B10" s="662"/>
      <c r="C10" s="230" t="s">
        <v>158</v>
      </c>
      <c r="D10" s="436" t="s">
        <v>172</v>
      </c>
      <c r="E10" s="230"/>
      <c r="F10" s="416"/>
      <c r="G10" s="416"/>
      <c r="H10" s="416"/>
      <c r="I10" s="416"/>
      <c r="J10" s="416">
        <v>2019</v>
      </c>
      <c r="K10" s="416">
        <v>2019</v>
      </c>
      <c r="L10" s="416">
        <v>2019</v>
      </c>
      <c r="M10" s="416">
        <v>2019</v>
      </c>
      <c r="N10" s="416">
        <v>2019</v>
      </c>
      <c r="O10" s="416">
        <v>2019</v>
      </c>
      <c r="P10" s="416">
        <v>2019</v>
      </c>
      <c r="Q10" s="416">
        <v>2019</v>
      </c>
      <c r="R10" s="416">
        <v>2019</v>
      </c>
      <c r="S10" s="416">
        <v>2019</v>
      </c>
      <c r="T10" s="416">
        <v>2020</v>
      </c>
      <c r="U10" s="416">
        <v>2020</v>
      </c>
      <c r="V10" s="416">
        <v>2020</v>
      </c>
      <c r="W10" s="416">
        <v>2020</v>
      </c>
      <c r="X10" s="416">
        <v>2020</v>
      </c>
      <c r="Y10" s="416">
        <v>2020</v>
      </c>
      <c r="Z10" s="416">
        <v>2020</v>
      </c>
      <c r="AA10" s="416">
        <v>2020</v>
      </c>
      <c r="AB10" s="416">
        <v>2020</v>
      </c>
      <c r="AC10" s="416">
        <v>2020</v>
      </c>
      <c r="AD10" s="416">
        <v>2020</v>
      </c>
      <c r="AE10" s="416">
        <v>2020</v>
      </c>
      <c r="AF10" s="416">
        <v>2021</v>
      </c>
      <c r="AG10" s="416">
        <v>2021</v>
      </c>
    </row>
    <row r="11" spans="1:33" ht="18" customHeight="1">
      <c r="A11" s="347"/>
      <c r="B11" s="662"/>
      <c r="C11" s="230" t="s">
        <v>159</v>
      </c>
      <c r="D11" s="663" t="s">
        <v>39</v>
      </c>
      <c r="E11" s="230"/>
      <c r="F11" s="416"/>
      <c r="G11" s="416"/>
      <c r="H11" s="416"/>
      <c r="I11" s="416"/>
      <c r="J11" s="417">
        <v>1</v>
      </c>
      <c r="K11" s="417">
        <v>1</v>
      </c>
      <c r="L11" s="417">
        <v>1</v>
      </c>
      <c r="M11" s="417">
        <v>1</v>
      </c>
      <c r="N11" s="417">
        <v>1</v>
      </c>
      <c r="O11" s="417">
        <v>1</v>
      </c>
      <c r="P11" s="417">
        <v>1</v>
      </c>
      <c r="Q11" s="417">
        <v>1</v>
      </c>
      <c r="R11" s="417">
        <v>1</v>
      </c>
      <c r="S11" s="417">
        <v>1</v>
      </c>
      <c r="T11" s="417">
        <v>2</v>
      </c>
      <c r="U11" s="417">
        <v>2</v>
      </c>
      <c r="V11" s="417">
        <v>2</v>
      </c>
      <c r="W11" s="417">
        <v>2</v>
      </c>
      <c r="X11" s="417">
        <v>2</v>
      </c>
      <c r="Y11" s="417">
        <v>2</v>
      </c>
      <c r="Z11" s="417">
        <v>2</v>
      </c>
      <c r="AA11" s="417">
        <v>2</v>
      </c>
      <c r="AB11" s="417">
        <v>2</v>
      </c>
      <c r="AC11" s="417">
        <v>2</v>
      </c>
      <c r="AD11" s="417">
        <v>2</v>
      </c>
      <c r="AE11" s="417">
        <v>2</v>
      </c>
      <c r="AF11" s="417">
        <v>3</v>
      </c>
      <c r="AG11" s="417">
        <v>3</v>
      </c>
    </row>
    <row r="12" spans="1:33" ht="18" customHeight="1">
      <c r="A12" s="347"/>
      <c r="B12" s="662"/>
      <c r="C12" s="230" t="s">
        <v>160</v>
      </c>
      <c r="D12" s="663" t="s">
        <v>39</v>
      </c>
      <c r="E12" s="230"/>
      <c r="F12" s="416"/>
      <c r="G12" s="416"/>
      <c r="H12" s="421"/>
      <c r="I12" s="669">
        <v>3</v>
      </c>
      <c r="J12" s="417">
        <v>4</v>
      </c>
      <c r="K12" s="417">
        <v>5</v>
      </c>
      <c r="L12" s="417">
        <v>6</v>
      </c>
      <c r="M12" s="417">
        <v>7</v>
      </c>
      <c r="N12" s="417">
        <v>8</v>
      </c>
      <c r="O12" s="417">
        <v>9</v>
      </c>
      <c r="P12" s="417">
        <v>10</v>
      </c>
      <c r="Q12" s="417">
        <v>11</v>
      </c>
      <c r="R12" s="417">
        <v>12</v>
      </c>
      <c r="S12" s="417">
        <v>13</v>
      </c>
      <c r="T12" s="417">
        <v>14</v>
      </c>
      <c r="U12" s="417">
        <v>15</v>
      </c>
      <c r="V12" s="417">
        <v>16</v>
      </c>
      <c r="W12" s="417">
        <v>17</v>
      </c>
      <c r="X12" s="417">
        <v>18</v>
      </c>
      <c r="Y12" s="417">
        <v>19</v>
      </c>
      <c r="Z12" s="417">
        <v>20</v>
      </c>
      <c r="AA12" s="417">
        <v>21</v>
      </c>
      <c r="AB12" s="417">
        <v>22</v>
      </c>
      <c r="AC12" s="417">
        <v>23</v>
      </c>
      <c r="AD12" s="417">
        <v>24</v>
      </c>
      <c r="AE12" s="417">
        <v>25</v>
      </c>
      <c r="AF12" s="417">
        <v>26</v>
      </c>
      <c r="AG12" s="417">
        <v>27</v>
      </c>
    </row>
    <row r="13" spans="1:33" ht="18" customHeight="1">
      <c r="A13" s="347"/>
      <c r="B13" s="662"/>
      <c r="C13" s="230" t="s">
        <v>161</v>
      </c>
      <c r="D13" s="436" t="s">
        <v>172</v>
      </c>
      <c r="E13" s="230"/>
      <c r="F13" s="421"/>
      <c r="G13" s="416"/>
      <c r="H13" s="421" t="s">
        <v>173</v>
      </c>
      <c r="I13" s="670">
        <v>11</v>
      </c>
      <c r="J13" s="418">
        <v>2019</v>
      </c>
      <c r="K13" s="418">
        <v>2019</v>
      </c>
      <c r="L13" s="418">
        <v>2019</v>
      </c>
      <c r="M13" s="418">
        <v>2019</v>
      </c>
      <c r="N13" s="418">
        <v>2019</v>
      </c>
      <c r="O13" s="418">
        <v>2019</v>
      </c>
      <c r="P13" s="418">
        <v>2019</v>
      </c>
      <c r="Q13" s="418">
        <v>2019</v>
      </c>
      <c r="R13" s="418">
        <v>2019</v>
      </c>
      <c r="S13" s="418">
        <v>2020</v>
      </c>
      <c r="T13" s="418">
        <v>2020</v>
      </c>
      <c r="U13" s="418">
        <v>2020</v>
      </c>
      <c r="V13" s="418">
        <v>2020</v>
      </c>
      <c r="W13" s="418">
        <v>2020</v>
      </c>
      <c r="X13" s="418">
        <v>2020</v>
      </c>
      <c r="Y13" s="418">
        <v>2020</v>
      </c>
      <c r="Z13" s="418">
        <v>2020</v>
      </c>
      <c r="AA13" s="418">
        <v>2020</v>
      </c>
      <c r="AB13" s="418">
        <v>2020</v>
      </c>
      <c r="AC13" s="418">
        <v>2020</v>
      </c>
      <c r="AD13" s="418">
        <v>2020</v>
      </c>
      <c r="AE13" s="418">
        <v>2021</v>
      </c>
      <c r="AF13" s="418">
        <v>2021</v>
      </c>
      <c r="AG13" s="418">
        <v>2021</v>
      </c>
    </row>
    <row r="14" spans="1:33" ht="18" customHeight="1">
      <c r="A14" s="347"/>
      <c r="B14" s="662"/>
      <c r="C14" s="230" t="s">
        <v>638</v>
      </c>
      <c r="D14" s="663" t="s">
        <v>39</v>
      </c>
      <c r="E14" s="664"/>
      <c r="F14" s="416"/>
      <c r="G14" s="416"/>
      <c r="H14" s="416"/>
      <c r="I14" s="416"/>
      <c r="J14" s="419">
        <v>4</v>
      </c>
      <c r="K14" s="419">
        <v>5</v>
      </c>
      <c r="L14" s="419">
        <v>6</v>
      </c>
      <c r="M14" s="419">
        <v>7</v>
      </c>
      <c r="N14" s="419">
        <v>8</v>
      </c>
      <c r="O14" s="419">
        <v>9</v>
      </c>
      <c r="P14" s="419">
        <v>10</v>
      </c>
      <c r="Q14" s="419">
        <v>11</v>
      </c>
      <c r="R14" s="419">
        <v>12</v>
      </c>
      <c r="S14" s="419">
        <v>1</v>
      </c>
      <c r="T14" s="419">
        <v>2</v>
      </c>
      <c r="U14" s="419">
        <v>3</v>
      </c>
      <c r="V14" s="419">
        <v>4</v>
      </c>
      <c r="W14" s="419">
        <v>5</v>
      </c>
      <c r="X14" s="419">
        <v>6</v>
      </c>
      <c r="Y14" s="419">
        <v>7</v>
      </c>
      <c r="Z14" s="419">
        <v>8</v>
      </c>
      <c r="AA14" s="419">
        <v>9</v>
      </c>
      <c r="AB14" s="419">
        <v>10</v>
      </c>
      <c r="AC14" s="419">
        <v>11</v>
      </c>
      <c r="AD14" s="419">
        <v>12</v>
      </c>
      <c r="AE14" s="419">
        <v>1</v>
      </c>
      <c r="AF14" s="419">
        <v>2</v>
      </c>
      <c r="AG14" s="419">
        <v>3</v>
      </c>
    </row>
    <row r="15" spans="1:33" ht="18" customHeight="1">
      <c r="A15" s="347"/>
      <c r="B15" s="662"/>
      <c r="C15" s="230" t="s">
        <v>162</v>
      </c>
      <c r="D15" s="663" t="s">
        <v>39</v>
      </c>
      <c r="E15" s="664"/>
      <c r="F15" s="416"/>
      <c r="G15" s="416"/>
      <c r="H15" s="416"/>
      <c r="I15" s="416"/>
      <c r="J15" s="419">
        <v>1</v>
      </c>
      <c r="K15" s="419">
        <v>1</v>
      </c>
      <c r="L15" s="419">
        <v>1</v>
      </c>
      <c r="M15" s="419">
        <v>1</v>
      </c>
      <c r="N15" s="419">
        <v>1</v>
      </c>
      <c r="O15" s="419">
        <v>1</v>
      </c>
      <c r="P15" s="419">
        <v>1</v>
      </c>
      <c r="Q15" s="419">
        <v>1</v>
      </c>
      <c r="R15" s="419">
        <v>1</v>
      </c>
      <c r="S15" s="419">
        <v>2</v>
      </c>
      <c r="T15" s="419">
        <v>2</v>
      </c>
      <c r="U15" s="419">
        <v>2</v>
      </c>
      <c r="V15" s="419">
        <v>2</v>
      </c>
      <c r="W15" s="419">
        <v>2</v>
      </c>
      <c r="X15" s="419">
        <v>2</v>
      </c>
      <c r="Y15" s="419">
        <v>2</v>
      </c>
      <c r="Z15" s="419">
        <v>2</v>
      </c>
      <c r="AA15" s="419">
        <v>2</v>
      </c>
      <c r="AB15" s="419">
        <v>2</v>
      </c>
      <c r="AC15" s="419">
        <v>2</v>
      </c>
      <c r="AD15" s="419">
        <v>2</v>
      </c>
      <c r="AE15" s="419">
        <v>3</v>
      </c>
      <c r="AF15" s="419">
        <v>3</v>
      </c>
      <c r="AG15" s="419">
        <v>3</v>
      </c>
    </row>
    <row r="16" spans="1:33" ht="18" customHeight="1">
      <c r="A16" s="347"/>
      <c r="B16" s="662"/>
      <c r="C16" s="662"/>
      <c r="D16" s="665"/>
      <c r="E16" s="662"/>
      <c r="F16" s="319"/>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row>
    <row r="17" spans="1:33" ht="18" customHeight="1">
      <c r="A17" s="347"/>
      <c r="B17" s="662"/>
      <c r="C17" s="230" t="s">
        <v>163</v>
      </c>
      <c r="D17" s="663" t="s">
        <v>39</v>
      </c>
      <c r="E17" s="230"/>
      <c r="F17" s="416"/>
      <c r="G17" s="416"/>
      <c r="H17" s="416"/>
      <c r="I17" s="422"/>
      <c r="J17" s="417">
        <v>1</v>
      </c>
      <c r="K17" s="417">
        <v>2</v>
      </c>
      <c r="L17" s="417">
        <v>3</v>
      </c>
      <c r="M17" s="417">
        <v>4</v>
      </c>
      <c r="N17" s="417">
        <v>5</v>
      </c>
      <c r="O17" s="417">
        <v>6</v>
      </c>
      <c r="P17" s="417">
        <v>7</v>
      </c>
      <c r="Q17" s="417">
        <v>8</v>
      </c>
      <c r="R17" s="417">
        <v>9</v>
      </c>
      <c r="S17" s="417">
        <v>10</v>
      </c>
      <c r="T17" s="417">
        <v>11</v>
      </c>
      <c r="U17" s="417">
        <v>12</v>
      </c>
      <c r="V17" s="417">
        <v>13</v>
      </c>
      <c r="W17" s="417">
        <v>14</v>
      </c>
      <c r="X17" s="417">
        <v>15</v>
      </c>
      <c r="Y17" s="417">
        <v>16</v>
      </c>
      <c r="Z17" s="417">
        <v>17</v>
      </c>
      <c r="AA17" s="417">
        <v>18</v>
      </c>
      <c r="AB17" s="417">
        <v>19</v>
      </c>
      <c r="AC17" s="417">
        <v>20</v>
      </c>
      <c r="AD17" s="417">
        <v>21</v>
      </c>
      <c r="AE17" s="417">
        <v>22</v>
      </c>
      <c r="AF17" s="417">
        <v>23</v>
      </c>
      <c r="AG17" s="417">
        <v>24</v>
      </c>
    </row>
    <row r="18" spans="1:33" ht="18" customHeight="1">
      <c r="A18" s="347"/>
      <c r="B18" s="662"/>
      <c r="C18" s="230" t="s">
        <v>164</v>
      </c>
      <c r="D18" s="663" t="s">
        <v>39</v>
      </c>
      <c r="E18" s="230"/>
      <c r="F18" s="416"/>
      <c r="G18" s="416"/>
      <c r="H18" s="416"/>
      <c r="I18" s="416"/>
      <c r="J18" s="417">
        <v>1</v>
      </c>
      <c r="K18" s="417">
        <v>1</v>
      </c>
      <c r="L18" s="417">
        <v>1</v>
      </c>
      <c r="M18" s="417">
        <v>1</v>
      </c>
      <c r="N18" s="417">
        <v>1</v>
      </c>
      <c r="O18" s="417">
        <v>1</v>
      </c>
      <c r="P18" s="417">
        <v>1</v>
      </c>
      <c r="Q18" s="417">
        <v>1</v>
      </c>
      <c r="R18" s="417">
        <v>1</v>
      </c>
      <c r="S18" s="417">
        <v>1</v>
      </c>
      <c r="T18" s="417">
        <v>1</v>
      </c>
      <c r="U18" s="417">
        <v>1</v>
      </c>
      <c r="V18" s="417">
        <v>2</v>
      </c>
      <c r="W18" s="417">
        <v>2</v>
      </c>
      <c r="X18" s="417">
        <v>2</v>
      </c>
      <c r="Y18" s="417">
        <v>2</v>
      </c>
      <c r="Z18" s="417">
        <v>2</v>
      </c>
      <c r="AA18" s="417">
        <v>2</v>
      </c>
      <c r="AB18" s="417">
        <v>2</v>
      </c>
      <c r="AC18" s="417">
        <v>2</v>
      </c>
      <c r="AD18" s="417">
        <v>2</v>
      </c>
      <c r="AE18" s="417">
        <v>0</v>
      </c>
      <c r="AF18" s="417">
        <v>0</v>
      </c>
      <c r="AG18" s="417">
        <v>0</v>
      </c>
    </row>
    <row r="19" spans="1:33" ht="18" customHeight="1">
      <c r="A19" s="347"/>
      <c r="B19" s="662"/>
      <c r="C19" s="662"/>
      <c r="D19" s="665"/>
      <c r="E19" s="662"/>
      <c r="F19" s="319"/>
      <c r="G19" s="319"/>
      <c r="H19" s="319"/>
      <c r="I19" s="319"/>
      <c r="J19" s="319"/>
      <c r="K19" s="319"/>
      <c r="L19" s="319"/>
      <c r="M19" s="319"/>
      <c r="N19" s="319"/>
      <c r="O19" s="319"/>
      <c r="P19" s="319"/>
      <c r="Q19" s="319"/>
      <c r="R19" s="319"/>
      <c r="S19" s="319"/>
      <c r="T19" s="319"/>
      <c r="U19" s="319"/>
      <c r="V19" s="319"/>
      <c r="W19" s="319"/>
      <c r="X19" s="319"/>
      <c r="Y19" s="319"/>
      <c r="Z19" s="319"/>
      <c r="AA19" s="319"/>
      <c r="AB19" s="319"/>
      <c r="AC19" s="319"/>
      <c r="AD19" s="319"/>
      <c r="AE19" s="319"/>
      <c r="AF19" s="319"/>
      <c r="AG19" s="319"/>
    </row>
    <row r="20" spans="1:33" ht="18" customHeight="1">
      <c r="A20" s="347"/>
      <c r="B20" s="662"/>
      <c r="C20" s="666" t="s">
        <v>165</v>
      </c>
      <c r="D20" s="436"/>
      <c r="E20" s="230"/>
      <c r="F20" s="416"/>
      <c r="G20" s="416"/>
      <c r="H20" s="416"/>
      <c r="I20" s="416"/>
      <c r="J20" s="416"/>
      <c r="K20" s="416"/>
      <c r="L20" s="416"/>
      <c r="M20" s="416"/>
      <c r="N20" s="416"/>
      <c r="O20" s="416"/>
      <c r="P20" s="416"/>
      <c r="Q20" s="416"/>
      <c r="R20" s="416"/>
      <c r="S20" s="416"/>
      <c r="T20" s="416"/>
      <c r="U20" s="416"/>
      <c r="V20" s="416"/>
      <c r="W20" s="416"/>
      <c r="X20" s="416"/>
      <c r="Y20" s="416"/>
      <c r="Z20" s="416"/>
      <c r="AA20" s="416"/>
      <c r="AB20" s="416"/>
      <c r="AC20" s="416"/>
      <c r="AD20" s="416"/>
      <c r="AE20" s="416"/>
      <c r="AF20" s="416"/>
      <c r="AG20" s="416"/>
    </row>
    <row r="21" spans="1:33" ht="18" customHeight="1">
      <c r="A21" s="347"/>
      <c r="B21" s="662"/>
      <c r="C21" s="230" t="s">
        <v>166</v>
      </c>
      <c r="D21" s="663" t="s">
        <v>39</v>
      </c>
      <c r="E21" s="675" t="s">
        <v>175</v>
      </c>
      <c r="F21" s="416"/>
      <c r="G21" s="416"/>
      <c r="H21" s="416"/>
      <c r="I21" s="416"/>
      <c r="J21" s="677">
        <v>1</v>
      </c>
      <c r="K21" s="677">
        <v>2</v>
      </c>
      <c r="L21" s="677">
        <v>2</v>
      </c>
      <c r="M21" s="677">
        <v>2</v>
      </c>
      <c r="N21" s="677">
        <v>3</v>
      </c>
      <c r="O21" s="677">
        <v>3</v>
      </c>
      <c r="P21" s="677">
        <v>3</v>
      </c>
      <c r="Q21" s="677">
        <v>4</v>
      </c>
      <c r="R21" s="677">
        <v>4</v>
      </c>
      <c r="S21" s="677">
        <v>4</v>
      </c>
      <c r="T21" s="677">
        <v>1</v>
      </c>
      <c r="U21" s="677">
        <v>1</v>
      </c>
      <c r="V21" s="677">
        <v>1</v>
      </c>
      <c r="W21" s="677">
        <v>2</v>
      </c>
      <c r="X21" s="677">
        <v>2</v>
      </c>
      <c r="Y21" s="677">
        <v>2</v>
      </c>
      <c r="Z21" s="677">
        <v>3</v>
      </c>
      <c r="AA21" s="677">
        <v>3</v>
      </c>
      <c r="AB21" s="677">
        <v>3</v>
      </c>
      <c r="AC21" s="677">
        <v>4</v>
      </c>
      <c r="AD21" s="677">
        <v>4</v>
      </c>
      <c r="AE21" s="677">
        <v>4</v>
      </c>
      <c r="AF21" s="677">
        <v>1</v>
      </c>
      <c r="AG21" s="677">
        <v>1</v>
      </c>
    </row>
    <row r="22" spans="1:33" ht="18" customHeight="1">
      <c r="A22" s="347"/>
      <c r="B22" s="662"/>
      <c r="C22" s="230" t="s">
        <v>167</v>
      </c>
      <c r="D22" s="663" t="s">
        <v>39</v>
      </c>
      <c r="E22" s="675" t="s">
        <v>174</v>
      </c>
      <c r="F22" s="416"/>
      <c r="G22" s="416"/>
      <c r="H22" s="416"/>
      <c r="I22" s="416"/>
      <c r="J22" s="676">
        <v>1</v>
      </c>
      <c r="K22" s="676">
        <v>1</v>
      </c>
      <c r="L22" s="676">
        <v>1</v>
      </c>
      <c r="M22" s="676">
        <v>1</v>
      </c>
      <c r="N22" s="676">
        <v>2</v>
      </c>
      <c r="O22" s="676">
        <v>2</v>
      </c>
      <c r="P22" s="676">
        <v>2</v>
      </c>
      <c r="Q22" s="676">
        <v>2</v>
      </c>
      <c r="R22" s="676">
        <v>2</v>
      </c>
      <c r="S22" s="676">
        <v>2</v>
      </c>
      <c r="T22" s="676">
        <v>1</v>
      </c>
      <c r="U22" s="676">
        <v>1</v>
      </c>
      <c r="V22" s="676">
        <v>1</v>
      </c>
      <c r="W22" s="676">
        <v>1</v>
      </c>
      <c r="X22" s="676">
        <v>1</v>
      </c>
      <c r="Y22" s="676">
        <v>1</v>
      </c>
      <c r="Z22" s="676">
        <v>2</v>
      </c>
      <c r="AA22" s="676">
        <v>2</v>
      </c>
      <c r="AB22" s="676">
        <v>2</v>
      </c>
      <c r="AC22" s="676">
        <v>2</v>
      </c>
      <c r="AD22" s="676">
        <v>2</v>
      </c>
      <c r="AE22" s="676">
        <v>2</v>
      </c>
      <c r="AF22" s="676">
        <v>1</v>
      </c>
      <c r="AG22" s="676">
        <v>1</v>
      </c>
    </row>
    <row r="23" spans="1:33" ht="18" customHeight="1">
      <c r="A23" s="347"/>
      <c r="B23" s="662"/>
      <c r="C23" s="662"/>
      <c r="D23" s="662"/>
      <c r="E23" s="662"/>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row>
    <row r="24" spans="1:33" ht="18" customHeight="1">
      <c r="A24" s="347"/>
      <c r="B24" s="662"/>
      <c r="C24" s="666" t="s">
        <v>168</v>
      </c>
      <c r="D24" s="667"/>
      <c r="E24" s="230"/>
      <c r="F24" s="416"/>
      <c r="G24" s="416"/>
      <c r="H24" s="416"/>
      <c r="I24" s="416"/>
      <c r="J24" s="673">
        <v>1</v>
      </c>
      <c r="K24" s="673">
        <v>2</v>
      </c>
      <c r="L24" s="673">
        <v>3</v>
      </c>
      <c r="M24" s="673">
        <v>4</v>
      </c>
      <c r="N24" s="673">
        <v>5</v>
      </c>
      <c r="O24" s="673">
        <v>6</v>
      </c>
      <c r="P24" s="673">
        <v>7</v>
      </c>
      <c r="Q24" s="673">
        <v>8</v>
      </c>
      <c r="R24" s="673">
        <v>9</v>
      </c>
      <c r="S24" s="673">
        <v>10</v>
      </c>
      <c r="T24" s="673">
        <v>11</v>
      </c>
      <c r="U24" s="673">
        <v>12</v>
      </c>
      <c r="V24" s="319"/>
      <c r="W24" s="319"/>
      <c r="X24" s="319"/>
      <c r="Y24" s="319"/>
      <c r="Z24" s="319"/>
      <c r="AA24" s="319"/>
      <c r="AB24" s="319"/>
      <c r="AC24" s="319"/>
      <c r="AD24" s="319"/>
      <c r="AE24" s="319"/>
      <c r="AF24" s="319"/>
      <c r="AG24" s="319"/>
    </row>
    <row r="25" spans="1:33" ht="18" customHeight="1">
      <c r="A25" s="347"/>
      <c r="B25" s="662"/>
      <c r="C25" s="662"/>
      <c r="D25" s="662"/>
      <c r="E25" s="662"/>
      <c r="F25" s="319"/>
      <c r="G25" s="319"/>
      <c r="H25" s="319"/>
      <c r="I25" s="319"/>
      <c r="J25" s="671">
        <v>12</v>
      </c>
      <c r="K25" s="671">
        <v>1</v>
      </c>
      <c r="L25" s="671">
        <v>2</v>
      </c>
      <c r="M25" s="672">
        <v>3</v>
      </c>
      <c r="N25" s="672">
        <v>4</v>
      </c>
      <c r="O25" s="672">
        <v>5</v>
      </c>
      <c r="P25" s="671">
        <v>6</v>
      </c>
      <c r="Q25" s="671">
        <v>7</v>
      </c>
      <c r="R25" s="671">
        <v>8</v>
      </c>
      <c r="S25" s="672">
        <v>9</v>
      </c>
      <c r="T25" s="672">
        <v>10</v>
      </c>
      <c r="U25" s="672">
        <v>11</v>
      </c>
      <c r="V25" s="319"/>
      <c r="W25" s="319"/>
      <c r="X25" s="319"/>
      <c r="Y25" s="319"/>
      <c r="Z25" s="319"/>
      <c r="AA25" s="319"/>
      <c r="AB25" s="319"/>
      <c r="AC25" s="319"/>
      <c r="AD25" s="319"/>
      <c r="AE25" s="319"/>
      <c r="AF25" s="319"/>
      <c r="AG25" s="319"/>
    </row>
    <row r="26" spans="1:33" ht="18" customHeight="1">
      <c r="A26" s="347"/>
      <c r="B26" s="662"/>
      <c r="C26" s="662"/>
      <c r="D26" s="662"/>
      <c r="E26" s="662"/>
      <c r="F26" s="319"/>
      <c r="G26" s="319"/>
      <c r="H26" s="319"/>
      <c r="I26" s="319"/>
      <c r="J26" s="678">
        <v>1</v>
      </c>
      <c r="K26" s="678">
        <v>1</v>
      </c>
      <c r="L26" s="678">
        <v>1</v>
      </c>
      <c r="M26" s="679">
        <v>2</v>
      </c>
      <c r="N26" s="679">
        <v>2</v>
      </c>
      <c r="O26" s="679">
        <v>2</v>
      </c>
      <c r="P26" s="678">
        <v>3</v>
      </c>
      <c r="Q26" s="678">
        <v>3</v>
      </c>
      <c r="R26" s="678">
        <v>3</v>
      </c>
      <c r="S26" s="679">
        <v>4</v>
      </c>
      <c r="T26" s="679">
        <v>4</v>
      </c>
      <c r="U26" s="679">
        <v>4</v>
      </c>
      <c r="V26" s="319"/>
      <c r="W26" s="319"/>
      <c r="X26" s="319"/>
      <c r="Y26" s="319"/>
      <c r="Z26" s="319"/>
      <c r="AA26" s="319"/>
      <c r="AB26" s="319"/>
      <c r="AC26" s="319"/>
      <c r="AD26" s="319"/>
      <c r="AE26" s="319"/>
      <c r="AF26" s="319"/>
      <c r="AG26" s="319"/>
    </row>
    <row r="27" spans="1:33" ht="18" customHeight="1">
      <c r="A27" s="347"/>
      <c r="B27" s="662"/>
      <c r="C27" s="662"/>
      <c r="D27" s="662"/>
      <c r="E27" s="662"/>
      <c r="F27" s="319"/>
      <c r="G27" s="319"/>
      <c r="H27" s="319"/>
      <c r="I27" s="319"/>
      <c r="J27" s="674">
        <v>1</v>
      </c>
      <c r="K27" s="674">
        <v>2</v>
      </c>
      <c r="L27" s="674">
        <v>3</v>
      </c>
      <c r="M27" s="674">
        <v>4</v>
      </c>
      <c r="N27" s="674">
        <v>5</v>
      </c>
      <c r="O27" s="674">
        <v>6</v>
      </c>
      <c r="P27" s="674">
        <v>7</v>
      </c>
      <c r="Q27" s="674">
        <v>8</v>
      </c>
      <c r="R27" s="674">
        <v>9</v>
      </c>
      <c r="S27" s="674">
        <v>10</v>
      </c>
      <c r="T27" s="674">
        <v>11</v>
      </c>
      <c r="U27" s="674">
        <v>12</v>
      </c>
      <c r="V27" s="319"/>
      <c r="W27" s="319"/>
      <c r="X27" s="319"/>
      <c r="Y27" s="319"/>
      <c r="Z27" s="319"/>
      <c r="AA27" s="319"/>
      <c r="AB27" s="319"/>
      <c r="AC27" s="319"/>
      <c r="AD27" s="319"/>
      <c r="AE27" s="319"/>
      <c r="AF27" s="319"/>
      <c r="AG27" s="319"/>
    </row>
    <row r="28" spans="1:33" ht="18" customHeight="1">
      <c r="A28" s="347"/>
      <c r="B28" s="662"/>
      <c r="C28" s="666" t="s">
        <v>169</v>
      </c>
      <c r="D28" s="668"/>
      <c r="E28" s="230"/>
      <c r="F28" s="416"/>
      <c r="G28" s="416"/>
      <c r="H28" s="416"/>
      <c r="I28" s="416"/>
      <c r="J28" s="416"/>
      <c r="K28" s="416"/>
      <c r="L28" s="416"/>
      <c r="M28" s="416"/>
      <c r="N28" s="416"/>
      <c r="O28" s="416"/>
      <c r="P28" s="416"/>
      <c r="Q28" s="416"/>
      <c r="R28" s="416"/>
      <c r="S28" s="416"/>
      <c r="T28" s="416"/>
      <c r="U28" s="416"/>
      <c r="V28" s="416"/>
      <c r="W28" s="416"/>
      <c r="X28" s="416"/>
      <c r="Y28" s="416"/>
      <c r="Z28" s="416"/>
      <c r="AA28" s="416"/>
      <c r="AB28" s="416"/>
      <c r="AC28" s="416"/>
      <c r="AD28" s="416"/>
      <c r="AE28" s="416"/>
      <c r="AF28" s="416"/>
      <c r="AG28" s="416"/>
    </row>
    <row r="29" spans="1:33" ht="18" customHeight="1">
      <c r="A29" s="347"/>
      <c r="B29" s="662"/>
      <c r="C29" s="230" t="s">
        <v>170</v>
      </c>
      <c r="D29" s="663" t="s">
        <v>39</v>
      </c>
      <c r="E29" s="230"/>
      <c r="F29" s="416"/>
      <c r="G29" s="416"/>
      <c r="H29" s="416"/>
      <c r="I29" s="416"/>
      <c r="J29" s="677">
        <v>2</v>
      </c>
      <c r="K29" s="677">
        <v>2</v>
      </c>
      <c r="L29" s="677">
        <v>2</v>
      </c>
      <c r="M29" s="677">
        <v>3</v>
      </c>
      <c r="N29" s="677">
        <v>3</v>
      </c>
      <c r="O29" s="677">
        <v>3</v>
      </c>
      <c r="P29" s="677">
        <v>4</v>
      </c>
      <c r="Q29" s="677">
        <v>4</v>
      </c>
      <c r="R29" s="677">
        <v>4</v>
      </c>
      <c r="S29" s="677">
        <v>1</v>
      </c>
      <c r="T29" s="677">
        <v>1</v>
      </c>
      <c r="U29" s="677">
        <v>1</v>
      </c>
      <c r="V29" s="677">
        <v>2</v>
      </c>
      <c r="W29" s="677">
        <v>2</v>
      </c>
      <c r="X29" s="677">
        <v>2</v>
      </c>
      <c r="Y29" s="677">
        <v>3</v>
      </c>
      <c r="Z29" s="677">
        <v>3</v>
      </c>
      <c r="AA29" s="677">
        <v>3</v>
      </c>
      <c r="AB29" s="677">
        <v>4</v>
      </c>
      <c r="AC29" s="677">
        <v>4</v>
      </c>
      <c r="AD29" s="677">
        <v>4</v>
      </c>
      <c r="AE29" s="677">
        <v>1</v>
      </c>
      <c r="AF29" s="677">
        <v>1</v>
      </c>
      <c r="AG29" s="677">
        <v>1</v>
      </c>
    </row>
    <row r="30" spans="1:33" ht="18" customHeight="1">
      <c r="A30" s="347"/>
      <c r="B30" s="662"/>
      <c r="C30" s="662"/>
      <c r="D30" s="662"/>
      <c r="E30" s="662"/>
      <c r="F30" s="319"/>
      <c r="G30" s="319"/>
      <c r="H30" s="319"/>
      <c r="I30" s="319"/>
      <c r="J30" s="420"/>
      <c r="K30" s="420"/>
      <c r="L30" s="420"/>
      <c r="M30" s="420"/>
      <c r="N30" s="420"/>
      <c r="O30" s="319"/>
      <c r="P30" s="319"/>
      <c r="Q30" s="319"/>
      <c r="R30" s="319"/>
      <c r="S30" s="319"/>
      <c r="T30" s="319"/>
      <c r="U30" s="319"/>
      <c r="V30" s="319"/>
      <c r="W30" s="319"/>
      <c r="X30" s="319"/>
      <c r="Y30" s="319"/>
      <c r="Z30" s="319"/>
      <c r="AA30" s="319"/>
      <c r="AB30" s="319"/>
      <c r="AC30" s="319"/>
      <c r="AD30" s="319"/>
      <c r="AE30" s="319"/>
      <c r="AF30" s="319"/>
      <c r="AG30" s="319"/>
    </row>
    <row r="31" spans="1:33" ht="18" customHeight="1">
      <c r="A31" s="319"/>
      <c r="B31" s="662"/>
      <c r="C31" s="230" t="s">
        <v>866</v>
      </c>
      <c r="I31" s="1018" t="s">
        <v>190</v>
      </c>
      <c r="J31" s="347"/>
      <c r="K31" s="347"/>
      <c r="L31" s="347"/>
      <c r="M31" s="347"/>
      <c r="N31" s="347"/>
      <c r="O31" s="347"/>
      <c r="P31" s="347"/>
      <c r="Q31" s="347"/>
      <c r="R31" s="347"/>
      <c r="S31" s="347"/>
      <c r="T31" s="347"/>
      <c r="U31" s="347"/>
      <c r="V31" s="347"/>
      <c r="W31" s="347"/>
      <c r="X31" s="347"/>
      <c r="Y31" s="347"/>
      <c r="Z31" s="347"/>
      <c r="AA31" s="347"/>
      <c r="AB31" s="347"/>
      <c r="AC31" s="347"/>
      <c r="AD31" s="347"/>
      <c r="AE31" s="347"/>
      <c r="AF31" s="347"/>
      <c r="AG31" s="347"/>
    </row>
    <row r="32" spans="1:33">
      <c r="A32" s="319"/>
      <c r="B32" s="319"/>
      <c r="C32" s="230" t="s">
        <v>865</v>
      </c>
      <c r="I32" s="1017">
        <v>2019</v>
      </c>
      <c r="J32" s="347"/>
      <c r="K32" s="347"/>
      <c r="L32" s="347"/>
      <c r="M32" s="347"/>
      <c r="N32" s="347"/>
      <c r="O32" s="347"/>
      <c r="P32" s="347"/>
      <c r="Q32" s="347"/>
      <c r="R32" s="347"/>
      <c r="S32" s="347"/>
      <c r="T32" s="347"/>
      <c r="U32" s="347"/>
      <c r="V32" s="347"/>
      <c r="W32" s="347"/>
      <c r="X32" s="347"/>
      <c r="Y32" s="347"/>
      <c r="Z32" s="347"/>
      <c r="AA32" s="347"/>
      <c r="AB32" s="347"/>
      <c r="AC32" s="347"/>
      <c r="AD32" s="347"/>
      <c r="AE32" s="347"/>
      <c r="AF32" s="347"/>
      <c r="AG32" s="347"/>
    </row>
    <row r="33" spans="1:33">
      <c r="A33" s="347"/>
      <c r="B33" s="347"/>
      <c r="C33" s="347"/>
      <c r="D33" s="347"/>
      <c r="E33" s="347"/>
      <c r="F33" s="347"/>
      <c r="G33" s="347"/>
      <c r="H33" s="347"/>
      <c r="I33" s="1077" t="s">
        <v>943</v>
      </c>
      <c r="J33" s="347"/>
      <c r="K33" s="347"/>
      <c r="L33" s="347"/>
      <c r="M33" s="347"/>
      <c r="N33" s="347"/>
      <c r="O33" s="347"/>
      <c r="P33" s="347"/>
      <c r="Q33" s="347"/>
      <c r="R33" s="347"/>
      <c r="S33" s="347"/>
      <c r="T33" s="347"/>
      <c r="U33" s="347"/>
      <c r="V33" s="347"/>
      <c r="W33" s="347"/>
      <c r="X33" s="347"/>
      <c r="Y33" s="347"/>
      <c r="Z33" s="347"/>
      <c r="AA33" s="347"/>
      <c r="AB33" s="347"/>
      <c r="AC33" s="347"/>
      <c r="AD33" s="347"/>
      <c r="AE33" s="347"/>
      <c r="AF33" s="347"/>
      <c r="AG33" s="347"/>
    </row>
    <row r="34" spans="1:33">
      <c r="A34" s="347"/>
      <c r="B34" s="347"/>
      <c r="C34" s="347"/>
      <c r="D34" s="347"/>
      <c r="E34" s="347"/>
      <c r="F34" s="347"/>
      <c r="G34" s="347"/>
      <c r="H34" s="347"/>
      <c r="I34" s="347"/>
      <c r="J34" s="347"/>
      <c r="K34" s="347"/>
      <c r="L34" s="347"/>
      <c r="M34" s="347"/>
      <c r="N34" s="347"/>
      <c r="O34" s="347"/>
      <c r="P34" s="347"/>
      <c r="Q34" s="347"/>
      <c r="R34" s="347"/>
      <c r="S34" s="347"/>
      <c r="T34" s="347"/>
      <c r="U34" s="347"/>
      <c r="V34" s="347"/>
      <c r="W34" s="347"/>
      <c r="X34" s="347"/>
      <c r="Y34" s="347"/>
      <c r="Z34" s="347"/>
      <c r="AA34" s="347"/>
      <c r="AB34" s="347"/>
      <c r="AC34" s="347"/>
      <c r="AD34" s="347"/>
      <c r="AE34" s="347"/>
      <c r="AF34" s="347"/>
      <c r="AG34" s="347"/>
    </row>
    <row r="35" spans="1:33" hidden="1">
      <c r="A35" s="347"/>
      <c r="B35" s="347"/>
      <c r="C35" s="347"/>
      <c r="D35" s="347"/>
      <c r="E35" s="347"/>
      <c r="F35" s="347"/>
      <c r="G35" s="347"/>
      <c r="H35" s="347"/>
      <c r="I35" s="347"/>
      <c r="J35" s="347"/>
      <c r="K35" s="347"/>
      <c r="L35" s="347"/>
      <c r="M35" s="347"/>
      <c r="N35" s="347"/>
      <c r="O35" s="347"/>
      <c r="P35" s="347"/>
      <c r="Q35" s="347"/>
      <c r="R35" s="347"/>
      <c r="S35" s="347"/>
      <c r="T35" s="347"/>
      <c r="U35" s="347"/>
      <c r="V35" s="347"/>
      <c r="W35" s="347"/>
      <c r="X35" s="347"/>
      <c r="Y35" s="347"/>
      <c r="Z35" s="347"/>
      <c r="AA35" s="347"/>
      <c r="AB35" s="347"/>
      <c r="AC35" s="347"/>
      <c r="AD35" s="347"/>
      <c r="AE35" s="347"/>
      <c r="AF35" s="347"/>
      <c r="AG35" s="347"/>
    </row>
    <row r="36" spans="1:33">
      <c r="A36" s="347"/>
      <c r="B36" s="347"/>
      <c r="C36" s="347"/>
      <c r="D36" s="347"/>
      <c r="E36" s="347"/>
      <c r="F36" s="347"/>
      <c r="G36" s="347"/>
      <c r="H36" s="347"/>
      <c r="I36" s="347"/>
      <c r="J36" s="347"/>
      <c r="K36" s="347"/>
      <c r="L36" s="347"/>
      <c r="M36" s="347"/>
      <c r="N36" s="347"/>
      <c r="O36" s="347"/>
      <c r="P36" s="347"/>
      <c r="Q36" s="347"/>
      <c r="R36" s="347"/>
      <c r="S36" s="347"/>
      <c r="T36" s="347"/>
      <c r="U36" s="347"/>
      <c r="V36" s="347"/>
      <c r="W36" s="347"/>
      <c r="X36" s="347"/>
      <c r="Y36" s="347"/>
      <c r="Z36" s="347"/>
      <c r="AA36" s="347"/>
      <c r="AB36" s="347"/>
      <c r="AC36" s="347"/>
      <c r="AD36" s="347"/>
      <c r="AE36" s="347"/>
      <c r="AF36" s="347"/>
      <c r="AG36" s="347"/>
    </row>
    <row r="37" spans="1:33">
      <c r="A37" s="347"/>
      <c r="B37" s="347"/>
      <c r="C37" s="347"/>
      <c r="D37" s="347"/>
      <c r="E37" s="347"/>
      <c r="F37" s="347"/>
      <c r="G37" s="347"/>
      <c r="H37" s="347"/>
      <c r="I37" s="347"/>
      <c r="J37" s="347"/>
      <c r="K37" s="347"/>
      <c r="L37" s="347"/>
      <c r="M37" s="347"/>
      <c r="N37" s="347"/>
      <c r="O37" s="347"/>
      <c r="P37" s="347"/>
      <c r="Q37" s="347"/>
      <c r="R37" s="347"/>
      <c r="S37" s="347"/>
      <c r="T37" s="347"/>
      <c r="U37" s="347"/>
      <c r="V37" s="347"/>
      <c r="W37" s="347"/>
      <c r="X37" s="347"/>
      <c r="Y37" s="347"/>
      <c r="Z37" s="347"/>
      <c r="AA37" s="347"/>
      <c r="AB37" s="347"/>
      <c r="AC37" s="347"/>
      <c r="AD37" s="347"/>
      <c r="AE37" s="347"/>
      <c r="AF37" s="347"/>
      <c r="AG37" s="347"/>
    </row>
    <row r="38" spans="1:33">
      <c r="A38" s="347"/>
      <c r="B38" s="347"/>
      <c r="C38" s="347"/>
      <c r="D38" s="347"/>
      <c r="E38" s="347"/>
      <c r="F38" s="347"/>
      <c r="G38" s="347"/>
      <c r="H38" s="347"/>
      <c r="I38" s="347"/>
      <c r="J38" s="347"/>
      <c r="K38" s="347"/>
      <c r="L38" s="347"/>
      <c r="M38" s="347"/>
      <c r="N38" s="347"/>
      <c r="O38" s="347"/>
      <c r="P38" s="347"/>
      <c r="Q38" s="347"/>
      <c r="R38" s="347"/>
      <c r="S38" s="347"/>
      <c r="T38" s="347"/>
      <c r="U38" s="347"/>
      <c r="V38" s="347"/>
      <c r="W38" s="347"/>
      <c r="X38" s="347"/>
      <c r="Y38" s="347"/>
      <c r="Z38" s="347"/>
      <c r="AA38" s="347"/>
      <c r="AB38" s="347"/>
      <c r="AC38" s="347"/>
      <c r="AD38" s="347"/>
      <c r="AE38" s="347"/>
      <c r="AF38" s="347"/>
      <c r="AG38" s="347"/>
    </row>
    <row r="39" spans="1:33">
      <c r="A39" s="347"/>
      <c r="B39" s="347"/>
      <c r="C39" s="347"/>
      <c r="D39" s="347"/>
      <c r="E39" s="347"/>
      <c r="F39" s="347"/>
      <c r="G39" s="347"/>
      <c r="H39" s="347"/>
      <c r="I39" s="347"/>
      <c r="J39" s="347"/>
      <c r="K39" s="347"/>
      <c r="L39" s="347"/>
      <c r="M39" s="347"/>
      <c r="N39" s="347"/>
      <c r="O39" s="347"/>
      <c r="P39" s="347"/>
      <c r="Q39" s="347"/>
      <c r="R39" s="347"/>
      <c r="S39" s="347"/>
      <c r="T39" s="347"/>
      <c r="U39" s="347"/>
      <c r="V39" s="347"/>
      <c r="W39" s="347"/>
      <c r="X39" s="347"/>
      <c r="Y39" s="347"/>
      <c r="Z39" s="347"/>
      <c r="AA39" s="347"/>
      <c r="AB39" s="347"/>
      <c r="AC39" s="347"/>
      <c r="AD39" s="347"/>
      <c r="AE39" s="347"/>
      <c r="AF39" s="347"/>
      <c r="AG39" s="347"/>
    </row>
    <row r="40" spans="1:33">
      <c r="A40" s="347"/>
      <c r="B40" s="347"/>
      <c r="C40" s="347"/>
      <c r="D40" s="347"/>
      <c r="E40" s="347"/>
      <c r="F40" s="347"/>
      <c r="G40" s="347"/>
      <c r="H40" s="347"/>
      <c r="I40" s="347"/>
      <c r="J40" s="347"/>
      <c r="K40" s="347"/>
      <c r="L40" s="347"/>
      <c r="M40" s="347"/>
      <c r="N40" s="347"/>
      <c r="O40" s="347"/>
      <c r="P40" s="347"/>
      <c r="Q40" s="347"/>
      <c r="R40" s="347"/>
      <c r="S40" s="347"/>
      <c r="T40" s="347"/>
      <c r="U40" s="347"/>
      <c r="V40" s="347"/>
      <c r="W40" s="347"/>
      <c r="X40" s="347"/>
      <c r="Y40" s="347"/>
      <c r="Z40" s="347"/>
      <c r="AA40" s="347"/>
      <c r="AB40" s="347"/>
      <c r="AC40" s="347"/>
      <c r="AD40" s="347"/>
      <c r="AE40" s="347"/>
      <c r="AF40" s="347"/>
      <c r="AG40" s="347"/>
    </row>
  </sheetData>
  <sheetProtection password="F66A" sheet="1"/>
  <conditionalFormatting sqref="K6:L6 R6:AG6">
    <cfRule type="cellIs" dxfId="19" priority="67" stopIfTrue="1" operator="equal">
      <formula>1</formula>
    </cfRule>
  </conditionalFormatting>
  <conditionalFormatting sqref="J4 K4:AG5">
    <cfRule type="expression" dxfId="18" priority="61" stopIfTrue="1">
      <formula>J$6=1</formula>
    </cfRule>
  </conditionalFormatting>
  <conditionalFormatting sqref="M6:Q6">
    <cfRule type="cellIs" dxfId="17" priority="59" stopIfTrue="1" operator="equal">
      <formula>1</formula>
    </cfRule>
  </conditionalFormatting>
  <conditionalFormatting sqref="J5">
    <cfRule type="expression" dxfId="16" priority="51" stopIfTrue="1">
      <formula>J$6=1</formula>
    </cfRule>
  </conditionalFormatting>
  <conditionalFormatting sqref="J21:AG21 R29:AG29">
    <cfRule type="expression" dxfId="15" priority="47">
      <formula>MOD(J21,2)=0</formula>
    </cfRule>
  </conditionalFormatting>
  <conditionalFormatting sqref="J22:AG22">
    <cfRule type="expression" dxfId="14" priority="46">
      <formula>MOD(J22,2)=0</formula>
    </cfRule>
  </conditionalFormatting>
  <conditionalFormatting sqref="J6:AG6">
    <cfRule type="cellIs" dxfId="13" priority="15" stopIfTrue="1" operator="equal">
      <formula>1</formula>
    </cfRule>
  </conditionalFormatting>
  <conditionalFormatting sqref="D3">
    <cfRule type="cellIs" dxfId="12" priority="3" operator="notEqual">
      <formula>0</formula>
    </cfRule>
  </conditionalFormatting>
  <conditionalFormatting sqref="J29:Q29">
    <cfRule type="expression" dxfId="11" priority="2">
      <formula>MOD(J29,2)=0</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orientation="landscape" r:id="rId1"/>
  <headerFooter>
    <oddFooter>&amp;C&amp;A&amp;R&amp;P von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rmate">
    <tabColor theme="1"/>
    <pageSetUpPr autoPageBreaks="0"/>
  </sheetPr>
  <dimension ref="A1:S95"/>
  <sheetViews>
    <sheetView showGridLines="0" zoomScaleNormal="100" zoomScaleSheetLayoutView="85" workbookViewId="0"/>
  </sheetViews>
  <sheetFormatPr baseColWidth="10" defaultColWidth="0" defaultRowHeight="12.75"/>
  <cols>
    <col min="1" max="1" width="4.7109375" style="89" customWidth="1"/>
    <col min="2" max="2" width="32.28515625" style="89" customWidth="1"/>
    <col min="3" max="3" width="11.42578125" style="89" customWidth="1"/>
    <col min="4" max="4" width="21.5703125" style="89" customWidth="1"/>
    <col min="5" max="5" width="15.85546875" style="89" customWidth="1"/>
    <col min="6" max="6" width="12.7109375" style="89" customWidth="1"/>
    <col min="7" max="9" width="11.42578125" style="89" customWidth="1"/>
    <col min="10" max="10" width="31.5703125" style="89" customWidth="1"/>
    <col min="11" max="11" width="11.42578125" style="89" customWidth="1"/>
    <col min="12" max="12" width="13.28515625" style="89" customWidth="1"/>
    <col min="13" max="19" width="0" style="89" hidden="1" customWidth="1"/>
    <col min="20" max="16384" width="11.42578125" style="89" hidden="1"/>
  </cols>
  <sheetData>
    <row r="1" spans="1:12" ht="20.25">
      <c r="A1" s="41"/>
      <c r="B1" s="41" t="s">
        <v>771</v>
      </c>
      <c r="C1" s="41"/>
      <c r="D1" s="41"/>
      <c r="E1" s="41"/>
      <c r="F1" s="41"/>
      <c r="G1" s="41"/>
      <c r="H1" s="41"/>
      <c r="I1" s="41"/>
      <c r="J1" s="41"/>
      <c r="K1" s="41"/>
      <c r="L1" s="41"/>
    </row>
    <row r="2" spans="1:12">
      <c r="G2" s="240"/>
    </row>
    <row r="3" spans="1:12" ht="24" thickBot="1">
      <c r="A3" s="38"/>
      <c r="B3" s="38" t="s">
        <v>772</v>
      </c>
      <c r="C3" s="1"/>
      <c r="D3" s="38"/>
      <c r="E3" s="38"/>
      <c r="F3" s="38"/>
      <c r="G3" s="38"/>
      <c r="H3" s="1"/>
      <c r="I3" s="1"/>
      <c r="J3" s="1"/>
      <c r="K3" s="1"/>
      <c r="L3" s="1"/>
    </row>
    <row r="4" spans="1:12" ht="18" customHeight="1">
      <c r="A4" s="831"/>
      <c r="B4" s="89" t="s">
        <v>63</v>
      </c>
      <c r="D4" s="11" t="s">
        <v>63</v>
      </c>
    </row>
    <row r="5" spans="1:12" ht="18" customHeight="1">
      <c r="A5" s="831"/>
    </row>
    <row r="6" spans="1:12" ht="18" customHeight="1">
      <c r="A6" s="831"/>
      <c r="B6" s="89" t="s">
        <v>54</v>
      </c>
      <c r="D6" s="46">
        <v>100</v>
      </c>
    </row>
    <row r="7" spans="1:12" s="203" customFormat="1" ht="18" customHeight="1">
      <c r="A7" s="831"/>
      <c r="B7" s="203" t="s">
        <v>61</v>
      </c>
      <c r="D7" s="46">
        <v>100</v>
      </c>
      <c r="E7" s="203" t="s">
        <v>761</v>
      </c>
    </row>
    <row r="8" spans="1:12" ht="18" customHeight="1">
      <c r="A8" s="831"/>
      <c r="B8" s="89" t="s">
        <v>60</v>
      </c>
      <c r="D8" s="15">
        <v>100</v>
      </c>
    </row>
    <row r="9" spans="1:12" ht="18" customHeight="1">
      <c r="A9" s="831"/>
      <c r="B9" s="89" t="s">
        <v>59</v>
      </c>
      <c r="D9" s="17">
        <v>100</v>
      </c>
    </row>
    <row r="10" spans="1:12" ht="18" customHeight="1">
      <c r="A10" s="831"/>
      <c r="B10" s="89" t="s">
        <v>58</v>
      </c>
      <c r="D10" s="18" t="s">
        <v>2</v>
      </c>
      <c r="G10" s="203"/>
      <c r="H10" s="47"/>
    </row>
    <row r="11" spans="1:12" ht="18" customHeight="1">
      <c r="A11" s="831"/>
      <c r="B11" s="89" t="s">
        <v>57</v>
      </c>
      <c r="D11" s="19">
        <v>100</v>
      </c>
    </row>
    <row r="12" spans="1:12" s="118" customFormat="1" ht="18" customHeight="1">
      <c r="A12" s="831"/>
      <c r="B12" s="118" t="s">
        <v>98</v>
      </c>
      <c r="D12" s="638">
        <v>100</v>
      </c>
    </row>
    <row r="13" spans="1:12" ht="18" customHeight="1">
      <c r="A13" s="831"/>
      <c r="B13" s="89" t="s">
        <v>56</v>
      </c>
      <c r="D13" s="21"/>
    </row>
    <row r="14" spans="1:12" ht="18" customHeight="1">
      <c r="A14" s="831"/>
      <c r="B14" s="89" t="s">
        <v>55</v>
      </c>
      <c r="D14" s="90">
        <v>100</v>
      </c>
    </row>
    <row r="15" spans="1:12" ht="18" customHeight="1">
      <c r="A15" s="831"/>
      <c r="B15" s="89" t="s">
        <v>32</v>
      </c>
      <c r="D15" s="22">
        <v>1</v>
      </c>
    </row>
    <row r="16" spans="1:12" ht="18" customHeight="1">
      <c r="A16" s="831"/>
      <c r="D16" s="29">
        <v>1</v>
      </c>
      <c r="E16" s="89" t="s">
        <v>62</v>
      </c>
    </row>
    <row r="17" spans="1:12" ht="18" customHeight="1">
      <c r="A17" s="831"/>
      <c r="D17" s="30">
        <v>1</v>
      </c>
      <c r="E17" s="203" t="s">
        <v>62</v>
      </c>
    </row>
    <row r="18" spans="1:12" ht="18" customHeight="1">
      <c r="A18" s="831"/>
      <c r="D18" s="30">
        <v>1</v>
      </c>
      <c r="E18" s="203" t="s">
        <v>62</v>
      </c>
    </row>
    <row r="19" spans="1:12" ht="18" customHeight="1">
      <c r="A19" s="831"/>
      <c r="D19" s="22">
        <v>1</v>
      </c>
      <c r="E19" s="203" t="s">
        <v>62</v>
      </c>
    </row>
    <row r="20" spans="1:12" ht="18" customHeight="1">
      <c r="A20" s="831"/>
    </row>
    <row r="21" spans="1:12" ht="24" thickBot="1">
      <c r="A21" s="38"/>
      <c r="B21" s="38" t="s">
        <v>770</v>
      </c>
      <c r="C21" s="1"/>
      <c r="D21" s="38"/>
      <c r="E21" s="38"/>
      <c r="F21" s="38"/>
      <c r="G21" s="38"/>
      <c r="H21" s="1"/>
      <c r="I21" s="1"/>
      <c r="J21" s="1"/>
      <c r="K21" s="1"/>
      <c r="L21" s="1"/>
    </row>
    <row r="22" spans="1:12" ht="18" customHeight="1">
      <c r="A22" s="831"/>
      <c r="B22" s="89" t="s">
        <v>15</v>
      </c>
      <c r="D22" s="34" t="s">
        <v>15</v>
      </c>
    </row>
    <row r="23" spans="1:12" ht="18" customHeight="1">
      <c r="A23" s="831"/>
      <c r="D23" s="33"/>
      <c r="E23" s="33"/>
      <c r="F23" s="33"/>
    </row>
    <row r="24" spans="1:12" ht="18" customHeight="1">
      <c r="A24" s="831"/>
      <c r="B24" s="89" t="s">
        <v>64</v>
      </c>
      <c r="D24" s="643">
        <v>1</v>
      </c>
      <c r="E24" s="203" t="s">
        <v>759</v>
      </c>
      <c r="K24" s="649"/>
    </row>
    <row r="25" spans="1:12" s="116" customFormat="1" ht="18" customHeight="1">
      <c r="A25" s="831"/>
      <c r="B25" s="116" t="s">
        <v>65</v>
      </c>
      <c r="D25" s="644">
        <v>1</v>
      </c>
      <c r="E25" s="911" t="s">
        <v>759</v>
      </c>
    </row>
    <row r="26" spans="1:12" ht="18" customHeight="1">
      <c r="A26" s="831"/>
      <c r="B26" s="89" t="s">
        <v>66</v>
      </c>
      <c r="D26" s="645">
        <v>1</v>
      </c>
      <c r="E26" s="911" t="s">
        <v>759</v>
      </c>
    </row>
    <row r="27" spans="1:12" ht="18" customHeight="1">
      <c r="A27" s="831"/>
      <c r="B27" s="574" t="s">
        <v>67</v>
      </c>
      <c r="C27" s="574"/>
      <c r="D27" s="639">
        <v>1</v>
      </c>
      <c r="E27" s="631" t="s">
        <v>28</v>
      </c>
      <c r="F27" s="89" t="s">
        <v>760</v>
      </c>
      <c r="J27" s="911"/>
    </row>
    <row r="28" spans="1:12" ht="18" customHeight="1">
      <c r="A28" s="831"/>
      <c r="B28" s="89" t="s">
        <v>68</v>
      </c>
      <c r="D28" s="640">
        <v>1</v>
      </c>
      <c r="E28" s="203" t="s">
        <v>62</v>
      </c>
    </row>
    <row r="29" spans="1:12" ht="18" customHeight="1">
      <c r="A29" s="831"/>
    </row>
    <row r="30" spans="1:12" ht="18" customHeight="1">
      <c r="A30" s="831"/>
      <c r="B30" s="89" t="s">
        <v>69</v>
      </c>
      <c r="D30" s="23" t="s">
        <v>70</v>
      </c>
    </row>
    <row r="31" spans="1:12" ht="18" customHeight="1">
      <c r="A31" s="831"/>
      <c r="B31" s="203" t="s">
        <v>74</v>
      </c>
      <c r="D31" s="44" t="s">
        <v>71</v>
      </c>
    </row>
    <row r="32" spans="1:12" ht="18" customHeight="1">
      <c r="A32" s="831"/>
      <c r="B32" s="203" t="s">
        <v>75</v>
      </c>
      <c r="D32" s="45" t="s">
        <v>72</v>
      </c>
    </row>
    <row r="33" spans="1:12" ht="18" customHeight="1">
      <c r="A33" s="831"/>
      <c r="B33" s="89" t="s">
        <v>73</v>
      </c>
      <c r="D33" s="35" t="s">
        <v>73</v>
      </c>
    </row>
    <row r="34" spans="1:12" ht="18" customHeight="1">
      <c r="A34" s="831"/>
    </row>
    <row r="35" spans="1:12" ht="18" customHeight="1">
      <c r="A35" s="831"/>
      <c r="B35" s="89" t="s">
        <v>77</v>
      </c>
      <c r="D35" s="16">
        <v>1</v>
      </c>
    </row>
    <row r="36" spans="1:12" ht="18" customHeight="1">
      <c r="A36" s="831"/>
      <c r="B36" s="89" t="s">
        <v>146</v>
      </c>
      <c r="D36" s="928">
        <v>43831</v>
      </c>
      <c r="F36" s="89" t="s">
        <v>82</v>
      </c>
    </row>
    <row r="37" spans="1:12" s="649" customFormat="1" ht="18" customHeight="1">
      <c r="A37" s="831"/>
      <c r="B37" s="649" t="s">
        <v>147</v>
      </c>
      <c r="D37" s="653">
        <v>43831</v>
      </c>
      <c r="F37" s="649" t="s">
        <v>82</v>
      </c>
    </row>
    <row r="38" spans="1:12" ht="18" customHeight="1">
      <c r="A38" s="831"/>
      <c r="D38" s="16"/>
    </row>
    <row r="39" spans="1:12" ht="18" customHeight="1">
      <c r="A39" s="831"/>
      <c r="D39" s="91" t="s">
        <v>78</v>
      </c>
      <c r="E39" s="11" t="s">
        <v>762</v>
      </c>
      <c r="F39" s="11" t="s">
        <v>79</v>
      </c>
    </row>
    <row r="40" spans="1:12" ht="18" customHeight="1">
      <c r="A40" s="831"/>
      <c r="B40" s="89" t="s">
        <v>80</v>
      </c>
      <c r="D40" s="79">
        <v>1500</v>
      </c>
      <c r="E40" s="79">
        <v>0</v>
      </c>
      <c r="F40" s="79">
        <v>-1500</v>
      </c>
      <c r="H40" s="203" t="s">
        <v>82</v>
      </c>
    </row>
    <row r="41" spans="1:12" ht="18" customHeight="1">
      <c r="A41" s="831"/>
      <c r="B41" s="89" t="s">
        <v>81</v>
      </c>
      <c r="D41" s="81">
        <v>0.25</v>
      </c>
      <c r="E41" s="81">
        <v>0</v>
      </c>
      <c r="F41" s="81">
        <v>-0.25</v>
      </c>
      <c r="H41" s="203" t="s">
        <v>82</v>
      </c>
    </row>
    <row r="42" spans="1:12" ht="18" customHeight="1">
      <c r="D42" s="4"/>
    </row>
    <row r="43" spans="1:12" ht="24" thickBot="1">
      <c r="A43" s="38"/>
      <c r="B43" s="38" t="s">
        <v>768</v>
      </c>
      <c r="C43" s="1"/>
      <c r="D43" s="38"/>
      <c r="E43" s="38"/>
      <c r="F43" s="38"/>
      <c r="G43" s="38"/>
      <c r="H43" s="1"/>
      <c r="I43" s="1"/>
      <c r="J43" s="1"/>
      <c r="K43" s="1"/>
      <c r="L43" s="1"/>
    </row>
    <row r="44" spans="1:12" ht="20.25">
      <c r="B44" s="2" t="s">
        <v>93</v>
      </c>
      <c r="H44" s="2" t="s">
        <v>92</v>
      </c>
    </row>
    <row r="45" spans="1:12" ht="20.25">
      <c r="B45" s="2"/>
      <c r="H45" s="2"/>
    </row>
    <row r="46" spans="1:12" ht="20.25">
      <c r="A46" s="831"/>
      <c r="B46" s="89" t="s">
        <v>83</v>
      </c>
      <c r="D46" s="8" t="s">
        <v>3</v>
      </c>
      <c r="G46" s="831"/>
      <c r="H46" s="89" t="s">
        <v>89</v>
      </c>
      <c r="J46" s="41" t="s">
        <v>89</v>
      </c>
    </row>
    <row r="47" spans="1:12" ht="18">
      <c r="A47" s="831"/>
      <c r="B47" s="3"/>
      <c r="G47" s="831"/>
      <c r="H47" s="203" t="s">
        <v>90</v>
      </c>
      <c r="J47" s="42" t="s">
        <v>90</v>
      </c>
    </row>
    <row r="48" spans="1:12" ht="15">
      <c r="A48" s="831"/>
      <c r="B48" s="89" t="s">
        <v>84</v>
      </c>
      <c r="D48" s="7">
        <v>100</v>
      </c>
      <c r="G48" s="831"/>
      <c r="H48" s="203" t="s">
        <v>91</v>
      </c>
      <c r="J48" s="43" t="s">
        <v>91</v>
      </c>
    </row>
    <row r="49" spans="1:12">
      <c r="A49" s="831"/>
      <c r="G49" s="831"/>
    </row>
    <row r="50" spans="1:12">
      <c r="A50" s="831"/>
      <c r="B50" s="89" t="s">
        <v>88</v>
      </c>
      <c r="D50" s="10">
        <v>100</v>
      </c>
      <c r="G50" s="831"/>
    </row>
    <row r="51" spans="1:12">
      <c r="A51" s="831"/>
      <c r="G51" s="831"/>
    </row>
    <row r="52" spans="1:12" ht="20.25">
      <c r="A52" s="831"/>
      <c r="B52" s="89" t="s">
        <v>87</v>
      </c>
      <c r="D52" s="12">
        <v>100</v>
      </c>
      <c r="G52" s="831"/>
      <c r="H52" s="2" t="s">
        <v>769</v>
      </c>
    </row>
    <row r="53" spans="1:12">
      <c r="A53" s="831"/>
      <c r="G53" s="831"/>
    </row>
    <row r="54" spans="1:12" ht="24" thickBot="1">
      <c r="A54" s="831"/>
      <c r="B54" s="89" t="s">
        <v>86</v>
      </c>
      <c r="D54" s="13">
        <v>100</v>
      </c>
      <c r="G54" s="831"/>
      <c r="H54" s="89" t="s">
        <v>94</v>
      </c>
      <c r="J54" s="1" t="s">
        <v>99</v>
      </c>
    </row>
    <row r="55" spans="1:12">
      <c r="A55" s="831"/>
      <c r="G55" s="831"/>
    </row>
    <row r="56" spans="1:12" ht="21" thickBot="1">
      <c r="A56" s="831"/>
      <c r="B56" s="89" t="s">
        <v>85</v>
      </c>
      <c r="D56" s="14">
        <v>100</v>
      </c>
      <c r="G56" s="831"/>
      <c r="H56" s="203" t="s">
        <v>97</v>
      </c>
      <c r="J56" s="2" t="s">
        <v>100</v>
      </c>
    </row>
    <row r="57" spans="1:12" ht="15.75" thickTop="1">
      <c r="A57" s="831"/>
      <c r="G57" s="831"/>
      <c r="H57" s="203" t="s">
        <v>96</v>
      </c>
      <c r="J57" s="3" t="s">
        <v>101</v>
      </c>
    </row>
    <row r="58" spans="1:12" ht="14.25">
      <c r="G58" s="831"/>
      <c r="H58" s="203" t="s">
        <v>95</v>
      </c>
      <c r="J58" s="9" t="s">
        <v>102</v>
      </c>
    </row>
    <row r="60" spans="1:12" ht="24" thickBot="1">
      <c r="A60" s="38"/>
      <c r="B60" s="38" t="s">
        <v>766</v>
      </c>
      <c r="C60" s="1"/>
      <c r="D60" s="38"/>
      <c r="E60" s="38"/>
      <c r="F60" s="38"/>
      <c r="G60" s="38"/>
      <c r="H60" s="38"/>
      <c r="I60" s="38"/>
      <c r="J60" s="38"/>
      <c r="K60" s="38"/>
      <c r="L60" s="38"/>
    </row>
    <row r="61" spans="1:12" ht="20.25">
      <c r="A61" s="831"/>
      <c r="B61" s="2" t="s">
        <v>103</v>
      </c>
      <c r="E61" s="3" t="s">
        <v>2</v>
      </c>
      <c r="H61" s="2" t="s">
        <v>767</v>
      </c>
      <c r="L61" s="3"/>
    </row>
    <row r="62" spans="1:12" ht="17.25" customHeight="1">
      <c r="A62" s="831"/>
      <c r="B62" s="570" t="s">
        <v>104</v>
      </c>
      <c r="D62" s="6">
        <v>365</v>
      </c>
      <c r="E62" s="89" t="s">
        <v>111</v>
      </c>
      <c r="F62" s="203"/>
      <c r="G62" s="203"/>
      <c r="I62" s="831"/>
      <c r="J62" s="11" t="s">
        <v>188</v>
      </c>
      <c r="K62" s="11" t="s">
        <v>185</v>
      </c>
      <c r="L62" s="3" t="s">
        <v>2</v>
      </c>
    </row>
    <row r="63" spans="1:12" ht="17.25" customHeight="1">
      <c r="A63" s="831"/>
      <c r="B63" s="570" t="s">
        <v>105</v>
      </c>
      <c r="D63" s="6">
        <v>12</v>
      </c>
      <c r="E63" s="89" t="s">
        <v>112</v>
      </c>
      <c r="I63" s="831"/>
      <c r="J63" s="15" t="s">
        <v>16</v>
      </c>
      <c r="K63" s="69">
        <v>1</v>
      </c>
      <c r="L63" s="89" t="s">
        <v>189</v>
      </c>
    </row>
    <row r="64" spans="1:12" ht="17.25" customHeight="1">
      <c r="A64" s="831"/>
      <c r="B64" s="570" t="s">
        <v>106</v>
      </c>
      <c r="D64" s="6">
        <v>4</v>
      </c>
      <c r="E64" s="89" t="s">
        <v>113</v>
      </c>
      <c r="G64" s="203"/>
      <c r="I64" s="831"/>
      <c r="J64" s="15" t="s">
        <v>17</v>
      </c>
      <c r="K64" s="69">
        <v>2</v>
      </c>
    </row>
    <row r="65" spans="1:12" ht="17.25" customHeight="1">
      <c r="A65" s="831"/>
      <c r="B65" s="570" t="s">
        <v>107</v>
      </c>
      <c r="D65" s="6">
        <v>3</v>
      </c>
      <c r="E65" s="89" t="s">
        <v>114</v>
      </c>
      <c r="G65" s="203"/>
      <c r="I65" s="831"/>
      <c r="J65" s="15" t="s">
        <v>190</v>
      </c>
      <c r="K65" s="69">
        <v>3</v>
      </c>
    </row>
    <row r="66" spans="1:12" ht="17.25" customHeight="1">
      <c r="A66" s="831"/>
      <c r="D66" s="4"/>
      <c r="G66" s="203"/>
      <c r="I66" s="831"/>
      <c r="J66" s="15" t="s">
        <v>18</v>
      </c>
      <c r="K66" s="69">
        <v>4</v>
      </c>
    </row>
    <row r="67" spans="1:12" ht="17.25" customHeight="1">
      <c r="A67" s="831"/>
      <c r="B67" s="89" t="s">
        <v>922</v>
      </c>
      <c r="D67" s="5">
        <v>1.0000000000000001E-5</v>
      </c>
      <c r="E67" s="89" t="s">
        <v>115</v>
      </c>
      <c r="G67" s="203"/>
      <c r="I67" s="831"/>
      <c r="J67" s="15" t="s">
        <v>191</v>
      </c>
      <c r="K67" s="69">
        <v>5</v>
      </c>
    </row>
    <row r="68" spans="1:12" ht="17.25" customHeight="1">
      <c r="A68" s="831"/>
      <c r="B68" s="570" t="s">
        <v>108</v>
      </c>
      <c r="D68" s="6">
        <v>1000</v>
      </c>
      <c r="E68" s="89" t="s">
        <v>108</v>
      </c>
      <c r="G68" s="203"/>
      <c r="I68" s="831"/>
      <c r="J68" s="15" t="s">
        <v>19</v>
      </c>
      <c r="K68" s="69">
        <v>6</v>
      </c>
    </row>
    <row r="69" spans="1:12" ht="17.25" customHeight="1">
      <c r="A69" s="831"/>
      <c r="B69" s="570" t="s">
        <v>0</v>
      </c>
      <c r="D69" s="6">
        <v>1000000</v>
      </c>
      <c r="E69" s="89" t="s">
        <v>0</v>
      </c>
      <c r="G69" s="203"/>
      <c r="I69" s="831"/>
      <c r="J69" s="15" t="s">
        <v>20</v>
      </c>
      <c r="K69" s="69">
        <v>7</v>
      </c>
    </row>
    <row r="70" spans="1:12" ht="17.25" customHeight="1">
      <c r="A70" s="831"/>
      <c r="B70" s="89" t="s">
        <v>110</v>
      </c>
      <c r="D70" s="6">
        <v>1000000000</v>
      </c>
      <c r="E70" s="89" t="s">
        <v>110</v>
      </c>
      <c r="G70" s="203"/>
      <c r="I70" s="831"/>
      <c r="J70" s="15" t="s">
        <v>21</v>
      </c>
      <c r="K70" s="69">
        <v>8</v>
      </c>
    </row>
    <row r="71" spans="1:12" ht="17.25" customHeight="1">
      <c r="A71" s="831"/>
      <c r="B71" s="570" t="s">
        <v>109</v>
      </c>
      <c r="D71" s="5">
        <v>9.9999999999999995E-8</v>
      </c>
      <c r="E71" s="89" t="s">
        <v>116</v>
      </c>
      <c r="G71" s="203"/>
      <c r="I71" s="831"/>
      <c r="J71" s="15" t="s">
        <v>22</v>
      </c>
      <c r="K71" s="69">
        <v>9</v>
      </c>
    </row>
    <row r="72" spans="1:12" ht="17.25" customHeight="1">
      <c r="A72" s="831"/>
      <c r="G72" s="203"/>
      <c r="I72" s="831"/>
      <c r="J72" s="15" t="s">
        <v>192</v>
      </c>
      <c r="K72" s="69">
        <v>10</v>
      </c>
    </row>
    <row r="73" spans="1:12" ht="17.25" customHeight="1">
      <c r="A73" s="831"/>
      <c r="I73" s="831"/>
      <c r="J73" s="15" t="s">
        <v>23</v>
      </c>
      <c r="K73" s="69">
        <v>11</v>
      </c>
    </row>
    <row r="74" spans="1:12" ht="17.25" customHeight="1">
      <c r="A74" s="911"/>
      <c r="I74" s="831"/>
      <c r="J74" s="15" t="s">
        <v>193</v>
      </c>
      <c r="K74" s="69">
        <v>12</v>
      </c>
    </row>
    <row r="75" spans="1:12" ht="17.25" customHeight="1">
      <c r="A75" s="911"/>
      <c r="B75" s="2" t="s">
        <v>117</v>
      </c>
      <c r="D75" s="4"/>
      <c r="I75" s="831"/>
    </row>
    <row r="76" spans="1:12" ht="17.25" customHeight="1">
      <c r="A76" s="911"/>
      <c r="B76" s="89" t="s">
        <v>824</v>
      </c>
      <c r="C76" s="24"/>
      <c r="D76" s="26" t="s">
        <v>1</v>
      </c>
      <c r="E76" s="89" t="s">
        <v>13</v>
      </c>
      <c r="I76" s="831"/>
      <c r="J76" s="11" t="s">
        <v>186</v>
      </c>
      <c r="K76" s="11" t="s">
        <v>185</v>
      </c>
      <c r="L76" s="3" t="s">
        <v>2</v>
      </c>
    </row>
    <row r="77" spans="1:12" ht="17.25" customHeight="1">
      <c r="A77" s="911"/>
      <c r="B77" s="911" t="s">
        <v>825</v>
      </c>
      <c r="C77" s="24"/>
      <c r="D77" s="26" t="s">
        <v>4</v>
      </c>
      <c r="E77" s="89" t="s">
        <v>14</v>
      </c>
      <c r="I77" s="831"/>
      <c r="J77" s="15" t="s">
        <v>194</v>
      </c>
      <c r="K77" s="69">
        <v>1</v>
      </c>
      <c r="L77" s="89" t="s">
        <v>186</v>
      </c>
    </row>
    <row r="78" spans="1:12" ht="17.25" customHeight="1">
      <c r="A78" s="911"/>
      <c r="B78" s="89" t="s">
        <v>826</v>
      </c>
      <c r="C78" s="25"/>
      <c r="D78" s="27" t="s">
        <v>5</v>
      </c>
      <c r="E78" s="89" t="s">
        <v>9</v>
      </c>
      <c r="I78" s="831"/>
      <c r="J78" s="15" t="s">
        <v>195</v>
      </c>
      <c r="K78" s="69">
        <v>3</v>
      </c>
    </row>
    <row r="79" spans="1:12" ht="17.25" customHeight="1">
      <c r="A79" s="911"/>
      <c r="B79" s="911" t="s">
        <v>827</v>
      </c>
      <c r="C79" s="25"/>
      <c r="D79" s="27" t="s">
        <v>8</v>
      </c>
      <c r="E79" s="89" t="s">
        <v>10</v>
      </c>
      <c r="I79" s="831"/>
      <c r="J79" s="15" t="s">
        <v>196</v>
      </c>
      <c r="K79" s="69">
        <v>6</v>
      </c>
    </row>
    <row r="80" spans="1:12" ht="17.25" customHeight="1">
      <c r="A80" s="911"/>
      <c r="B80" s="89" t="s">
        <v>828</v>
      </c>
      <c r="C80" s="25"/>
      <c r="D80" s="28" t="s">
        <v>7</v>
      </c>
      <c r="E80" s="89" t="s">
        <v>11</v>
      </c>
      <c r="I80" s="831"/>
      <c r="J80" s="15" t="s">
        <v>197</v>
      </c>
      <c r="K80" s="69">
        <v>12</v>
      </c>
    </row>
    <row r="81" spans="1:11" ht="17.25" customHeight="1">
      <c r="A81" s="911"/>
      <c r="B81" s="911" t="s">
        <v>829</v>
      </c>
      <c r="C81" s="25"/>
      <c r="D81" s="28" t="s">
        <v>6</v>
      </c>
      <c r="E81" s="89" t="s">
        <v>12</v>
      </c>
      <c r="I81" s="831"/>
    </row>
    <row r="82" spans="1:11">
      <c r="A82" s="911"/>
      <c r="C82" s="25"/>
      <c r="I82" s="831"/>
    </row>
    <row r="83" spans="1:11">
      <c r="A83" s="911"/>
      <c r="D83" s="32">
        <v>1</v>
      </c>
      <c r="I83" s="831"/>
    </row>
    <row r="84" spans="1:11" ht="20.25">
      <c r="A84" s="911"/>
      <c r="B84" s="89" t="s">
        <v>830</v>
      </c>
      <c r="D84" s="31" t="str">
        <f>IF(D83=1,Pf_unt_ja,Pf_unt_nein)</f>
        <v>▼</v>
      </c>
      <c r="E84" s="911" t="s">
        <v>62</v>
      </c>
      <c r="I84" s="831"/>
      <c r="J84" s="11" t="s">
        <v>184</v>
      </c>
      <c r="K84" s="11" t="s">
        <v>185</v>
      </c>
    </row>
    <row r="85" spans="1:11">
      <c r="A85" s="911"/>
      <c r="I85" s="831"/>
      <c r="J85" s="15" t="s">
        <v>182</v>
      </c>
      <c r="K85" s="69">
        <v>1</v>
      </c>
    </row>
    <row r="86" spans="1:11">
      <c r="I86" s="831"/>
      <c r="J86" s="15" t="s">
        <v>183</v>
      </c>
      <c r="K86" s="69">
        <v>2</v>
      </c>
    </row>
    <row r="87" spans="1:11">
      <c r="B87" s="911"/>
      <c r="C87" s="911"/>
      <c r="D87" s="911"/>
      <c r="E87" s="911"/>
      <c r="F87" s="911"/>
      <c r="I87" s="831"/>
    </row>
    <row r="88" spans="1:11" ht="15">
      <c r="B88" s="11" t="s">
        <v>899</v>
      </c>
      <c r="C88" s="11" t="s">
        <v>185</v>
      </c>
      <c r="D88" s="3" t="s">
        <v>2</v>
      </c>
      <c r="E88" s="911"/>
      <c r="F88" s="911"/>
      <c r="I88" s="831"/>
      <c r="J88" s="11" t="s">
        <v>129</v>
      </c>
    </row>
    <row r="89" spans="1:11">
      <c r="B89" s="15" t="s">
        <v>898</v>
      </c>
      <c r="C89" s="69">
        <v>1</v>
      </c>
      <c r="D89" s="911" t="s">
        <v>900</v>
      </c>
      <c r="E89" s="911"/>
      <c r="F89" s="911"/>
      <c r="I89" s="831"/>
      <c r="J89" s="15" t="s">
        <v>126</v>
      </c>
    </row>
    <row r="90" spans="1:11">
      <c r="B90" s="15" t="s">
        <v>214</v>
      </c>
      <c r="C90" s="69">
        <v>2</v>
      </c>
      <c r="D90" s="911"/>
      <c r="E90" s="911"/>
      <c r="F90" s="911"/>
      <c r="I90" s="831"/>
      <c r="J90" s="15" t="s">
        <v>128</v>
      </c>
    </row>
    <row r="91" spans="1:11" s="649" customFormat="1">
      <c r="B91" s="15" t="s">
        <v>137</v>
      </c>
      <c r="C91" s="69">
        <v>3</v>
      </c>
      <c r="D91" s="911"/>
      <c r="E91" s="911"/>
      <c r="F91" s="911"/>
      <c r="I91" s="831"/>
      <c r="J91" s="15" t="s">
        <v>125</v>
      </c>
    </row>
    <row r="92" spans="1:11">
      <c r="I92" s="831"/>
    </row>
    <row r="93" spans="1:11">
      <c r="K93" s="911"/>
    </row>
    <row r="94" spans="1:11">
      <c r="J94" s="203"/>
      <c r="K94" s="911"/>
    </row>
    <row r="95" spans="1:11">
      <c r="K95" s="911"/>
    </row>
  </sheetData>
  <sheetProtection password="F66A" sheet="1"/>
  <conditionalFormatting sqref="D16">
    <cfRule type="cellIs" dxfId="10" priority="15" stopIfTrue="1" operator="equal">
      <formula>1</formula>
    </cfRule>
  </conditionalFormatting>
  <conditionalFormatting sqref="D17">
    <cfRule type="cellIs" dxfId="9" priority="14" stopIfTrue="1" operator="equal">
      <formula>1</formula>
    </cfRule>
  </conditionalFormatting>
  <conditionalFormatting sqref="D18">
    <cfRule type="cellIs" dxfId="8" priority="13" stopIfTrue="1" operator="equal">
      <formula>1</formula>
    </cfRule>
  </conditionalFormatting>
  <conditionalFormatting sqref="D19:D20">
    <cfRule type="cellIs" dxfId="7" priority="12" stopIfTrue="1" operator="equal">
      <formula>1</formula>
    </cfRule>
  </conditionalFormatting>
  <conditionalFormatting sqref="D24">
    <cfRule type="cellIs" dxfId="6" priority="11" operator="notEqual">
      <formula>0</formula>
    </cfRule>
  </conditionalFormatting>
  <conditionalFormatting sqref="D84">
    <cfRule type="cellIs" dxfId="5" priority="10" stopIfTrue="1" operator="equal">
      <formula>Pf_unt_ja</formula>
    </cfRule>
  </conditionalFormatting>
  <conditionalFormatting sqref="D26">
    <cfRule type="cellIs" dxfId="4" priority="8" stopIfTrue="1" operator="equal">
      <formula>1</formula>
    </cfRule>
  </conditionalFormatting>
  <conditionalFormatting sqref="D28">
    <cfRule type="expression" dxfId="3" priority="7" stopIfTrue="1">
      <formula>D28=1</formula>
    </cfRule>
  </conditionalFormatting>
  <conditionalFormatting sqref="D25">
    <cfRule type="cellIs" dxfId="2" priority="3" operator="notEqual">
      <formula>0</formula>
    </cfRule>
  </conditionalFormatting>
  <conditionalFormatting sqref="D36:D37">
    <cfRule type="expression" dxfId="1" priority="560" stopIfTrue="1">
      <formula>D$7=1</formula>
    </cfRule>
    <cfRule type="expression" dxfId="0" priority="561" stopIfTrue="1">
      <formula>F$8=1</formula>
    </cfRule>
  </conditionalFormatting>
  <dataValidations count="1">
    <dataValidation type="list" allowBlank="1" showInputMessage="1" showErrorMessage="1" sqref="D27">
      <formula1>"1,0"</formula1>
    </dataValidation>
  </dataValidations>
  <pageMargins left="0.39370078740157483" right="0.39370078740157483" top="0.39370078740157483" bottom="0.59055118110236227" header="0.31496062992125984" footer="0.31496062992125984"/>
  <pageSetup paperSize="9" scale="50" fitToHeight="3" orientation="landscape" r:id="rId1"/>
  <headerFooter>
    <oddFooter>&amp;C&amp;A&amp;R&amp;P von &amp;N</oddFooter>
  </headerFooter>
  <rowBreaks count="1" manualBreakCount="1">
    <brk id="42"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nleitung">
    <tabColor rgb="FF00B0F0"/>
  </sheetPr>
  <dimension ref="A1:AK191"/>
  <sheetViews>
    <sheetView showGridLines="0" showRowColHeaders="0" zoomScale="115" zoomScaleNormal="115" zoomScaleSheetLayoutView="130" workbookViewId="0">
      <selection activeCell="C10" sqref="C10"/>
    </sheetView>
  </sheetViews>
  <sheetFormatPr baseColWidth="10" defaultColWidth="0" defaultRowHeight="12.75"/>
  <cols>
    <col min="1" max="1" width="3.28515625" customWidth="1"/>
    <col min="2" max="16" width="8.7109375" customWidth="1"/>
    <col min="17" max="17" width="3" customWidth="1"/>
    <col min="18" max="37" width="8.7109375" hidden="1" customWidth="1"/>
    <col min="38" max="16384" width="11.42578125" hidden="1"/>
  </cols>
  <sheetData>
    <row r="1" spans="1:17">
      <c r="A1" s="241"/>
      <c r="B1" s="241"/>
      <c r="C1" s="241"/>
      <c r="D1" s="241"/>
      <c r="E1" s="241"/>
      <c r="F1" s="241"/>
      <c r="G1" s="241"/>
      <c r="H1" s="241"/>
      <c r="I1" s="241"/>
      <c r="J1" s="241"/>
      <c r="K1" s="241"/>
      <c r="L1" s="241"/>
      <c r="M1" s="241"/>
      <c r="N1" s="241"/>
      <c r="O1" s="241"/>
      <c r="P1" s="241"/>
      <c r="Q1" s="241"/>
    </row>
    <row r="2" spans="1:17">
      <c r="A2" s="241"/>
      <c r="P2" s="1027" t="str">
        <f>fimovi!$C$11</f>
        <v>Version 2.01  -  Free Trial Version</v>
      </c>
      <c r="Q2" s="241"/>
    </row>
    <row r="3" spans="1:17">
      <c r="A3" s="241"/>
      <c r="O3" s="244"/>
      <c r="P3" s="245"/>
      <c r="Q3" s="241"/>
    </row>
    <row r="4" spans="1:17">
      <c r="A4" s="241"/>
      <c r="Q4" s="241"/>
    </row>
    <row r="5" spans="1:17">
      <c r="A5" s="241"/>
      <c r="Q5" s="241"/>
    </row>
    <row r="6" spans="1:17">
      <c r="A6" s="241"/>
      <c r="Q6" s="241"/>
    </row>
    <row r="7" spans="1:17">
      <c r="A7" s="241"/>
      <c r="Q7" s="241"/>
    </row>
    <row r="8" spans="1:17">
      <c r="A8" s="241"/>
      <c r="Q8" s="241"/>
    </row>
    <row r="9" spans="1:17">
      <c r="A9" s="241"/>
      <c r="Q9" s="241"/>
    </row>
    <row r="10" spans="1:17">
      <c r="A10" s="241"/>
      <c r="B10" s="241"/>
      <c r="C10" s="241"/>
      <c r="D10" s="241"/>
      <c r="E10" s="241"/>
      <c r="F10" s="241"/>
      <c r="G10" s="241"/>
      <c r="H10" s="241"/>
      <c r="I10" s="241"/>
      <c r="J10" s="241"/>
      <c r="K10" s="241"/>
      <c r="L10" s="241"/>
      <c r="M10" s="241"/>
      <c r="N10" s="241"/>
      <c r="O10" s="241"/>
      <c r="P10" s="241"/>
      <c r="Q10" s="241"/>
    </row>
    <row r="11" spans="1:17">
      <c r="A11" s="241"/>
      <c r="Q11" s="241"/>
    </row>
    <row r="12" spans="1:17">
      <c r="A12" s="241"/>
      <c r="Q12" s="241"/>
    </row>
    <row r="13" spans="1:17">
      <c r="A13" s="241"/>
      <c r="Q13" s="241"/>
    </row>
    <row r="14" spans="1:17">
      <c r="A14" s="241"/>
      <c r="Q14" s="241"/>
    </row>
    <row r="15" spans="1:17">
      <c r="A15" s="241"/>
      <c r="Q15" s="241"/>
    </row>
    <row r="16" spans="1:17">
      <c r="A16" s="241"/>
      <c r="Q16" s="241"/>
    </row>
    <row r="17" spans="1:17" s="203" customFormat="1">
      <c r="A17" s="241"/>
      <c r="Q17" s="241"/>
    </row>
    <row r="18" spans="1:17" s="203" customFormat="1">
      <c r="A18" s="241"/>
      <c r="Q18" s="241"/>
    </row>
    <row r="19" spans="1:17" s="203" customFormat="1">
      <c r="A19" s="241"/>
      <c r="Q19" s="241"/>
    </row>
    <row r="20" spans="1:17" s="203" customFormat="1">
      <c r="A20" s="241"/>
      <c r="Q20" s="241"/>
    </row>
    <row r="21" spans="1:17" s="203" customFormat="1">
      <c r="A21" s="241"/>
      <c r="Q21" s="241"/>
    </row>
    <row r="22" spans="1:17">
      <c r="A22" s="241"/>
      <c r="Q22" s="241"/>
    </row>
    <row r="23" spans="1:17">
      <c r="A23" s="241"/>
      <c r="Q23" s="241"/>
    </row>
    <row r="24" spans="1:17">
      <c r="A24" s="241"/>
      <c r="Q24" s="241"/>
    </row>
    <row r="25" spans="1:17">
      <c r="A25" s="241"/>
      <c r="Q25" s="241"/>
    </row>
    <row r="26" spans="1:17">
      <c r="A26" s="241"/>
      <c r="B26" s="203"/>
      <c r="C26" s="203"/>
      <c r="D26" s="203"/>
      <c r="E26" s="203"/>
      <c r="F26" s="203"/>
      <c r="G26" s="203"/>
      <c r="H26" s="203"/>
      <c r="I26" s="203"/>
      <c r="J26" s="203"/>
      <c r="K26" s="203"/>
      <c r="L26" s="203"/>
      <c r="M26" s="203"/>
      <c r="N26" s="203"/>
      <c r="O26" s="203"/>
      <c r="P26" s="203"/>
      <c r="Q26" s="241"/>
    </row>
    <row r="27" spans="1:17" s="203" customFormat="1">
      <c r="A27" s="241"/>
      <c r="Q27" s="241"/>
    </row>
    <row r="28" spans="1:17" s="203" customFormat="1">
      <c r="A28" s="241"/>
      <c r="Q28" s="241"/>
    </row>
    <row r="29" spans="1:17" s="203" customFormat="1">
      <c r="A29" s="241"/>
      <c r="Q29" s="241"/>
    </row>
    <row r="30" spans="1:17" s="203" customFormat="1">
      <c r="A30" s="241"/>
      <c r="Q30" s="241"/>
    </row>
    <row r="31" spans="1:17" s="203" customFormat="1">
      <c r="A31" s="241"/>
      <c r="Q31" s="241"/>
    </row>
    <row r="32" spans="1:17" s="203" customFormat="1">
      <c r="A32" s="241"/>
      <c r="Q32" s="241"/>
    </row>
    <row r="33" spans="1:17" s="203" customFormat="1">
      <c r="A33" s="241"/>
      <c r="Q33" s="241"/>
    </row>
    <row r="34" spans="1:17" s="203" customFormat="1">
      <c r="A34" s="241"/>
      <c r="Q34" s="241"/>
    </row>
    <row r="35" spans="1:17" s="203" customFormat="1">
      <c r="A35" s="241"/>
      <c r="Q35" s="241"/>
    </row>
    <row r="36" spans="1:17" s="203" customFormat="1">
      <c r="A36" s="241"/>
      <c r="Q36" s="241"/>
    </row>
    <row r="37" spans="1:17" s="203" customFormat="1">
      <c r="A37" s="241"/>
      <c r="Q37" s="241"/>
    </row>
    <row r="38" spans="1:17" s="203" customFormat="1">
      <c r="A38" s="241"/>
      <c r="Q38" s="241"/>
    </row>
    <row r="39" spans="1:17" s="203" customFormat="1">
      <c r="A39" s="241"/>
      <c r="Q39" s="241"/>
    </row>
    <row r="40" spans="1:17" s="203" customFormat="1">
      <c r="A40" s="241"/>
      <c r="Q40" s="241"/>
    </row>
    <row r="41" spans="1:17" s="203" customFormat="1">
      <c r="A41" s="241"/>
      <c r="Q41" s="241"/>
    </row>
    <row r="42" spans="1:17" s="203" customFormat="1">
      <c r="A42" s="241"/>
      <c r="Q42" s="241"/>
    </row>
    <row r="43" spans="1:17" s="203" customFormat="1">
      <c r="A43" s="241"/>
      <c r="Q43" s="241"/>
    </row>
    <row r="44" spans="1:17" s="203" customFormat="1">
      <c r="A44" s="241"/>
      <c r="Q44" s="241"/>
    </row>
    <row r="45" spans="1:17" s="203" customFormat="1">
      <c r="A45" s="241"/>
      <c r="Q45" s="241"/>
    </row>
    <row r="46" spans="1:17" s="203" customFormat="1">
      <c r="A46" s="241"/>
      <c r="Q46" s="241"/>
    </row>
    <row r="47" spans="1:17" s="203" customFormat="1">
      <c r="A47" s="241"/>
      <c r="Q47" s="241"/>
    </row>
    <row r="48" spans="1:17" s="203" customFormat="1">
      <c r="A48" s="241"/>
      <c r="Q48" s="241"/>
    </row>
    <row r="49" spans="1:17" s="203" customFormat="1">
      <c r="A49" s="241"/>
      <c r="Q49" s="241"/>
    </row>
    <row r="50" spans="1:17" s="203" customFormat="1">
      <c r="A50" s="241"/>
      <c r="Q50" s="241"/>
    </row>
    <row r="51" spans="1:17" s="203" customFormat="1">
      <c r="A51" s="241"/>
      <c r="Q51" s="241"/>
    </row>
    <row r="52" spans="1:17" s="203" customFormat="1">
      <c r="A52" s="241"/>
      <c r="Q52" s="241"/>
    </row>
    <row r="53" spans="1:17" s="203" customFormat="1">
      <c r="A53" s="241"/>
      <c r="Q53" s="241"/>
    </row>
    <row r="54" spans="1:17" s="203" customFormat="1">
      <c r="A54" s="241"/>
      <c r="Q54" s="241"/>
    </row>
    <row r="55" spans="1:17" s="203" customFormat="1">
      <c r="A55" s="241"/>
      <c r="Q55" s="241"/>
    </row>
    <row r="56" spans="1:17" s="203" customFormat="1">
      <c r="A56" s="241"/>
      <c r="Q56" s="241"/>
    </row>
    <row r="57" spans="1:17" s="203" customFormat="1">
      <c r="A57" s="241"/>
      <c r="Q57" s="241"/>
    </row>
    <row r="58" spans="1:17" s="203" customFormat="1">
      <c r="A58" s="241"/>
      <c r="Q58" s="241"/>
    </row>
    <row r="59" spans="1:17" s="203" customFormat="1">
      <c r="A59" s="241"/>
      <c r="Q59" s="241"/>
    </row>
    <row r="60" spans="1:17" s="203" customFormat="1">
      <c r="A60" s="241"/>
      <c r="Q60" s="241"/>
    </row>
    <row r="61" spans="1:17" s="203" customFormat="1">
      <c r="A61" s="241"/>
      <c r="Q61" s="241"/>
    </row>
    <row r="62" spans="1:17" s="203" customFormat="1">
      <c r="A62" s="241"/>
      <c r="Q62" s="241"/>
    </row>
    <row r="63" spans="1:17" s="203" customFormat="1">
      <c r="A63" s="241"/>
      <c r="Q63" s="241"/>
    </row>
    <row r="64" spans="1:17" s="203" customFormat="1">
      <c r="A64" s="241"/>
      <c r="Q64" s="241"/>
    </row>
    <row r="65" spans="1:17" s="203" customFormat="1">
      <c r="A65" s="241"/>
      <c r="Q65" s="241"/>
    </row>
    <row r="66" spans="1:17" s="203" customFormat="1">
      <c r="A66" s="241"/>
      <c r="Q66" s="241"/>
    </row>
    <row r="67" spans="1:17" s="203" customFormat="1">
      <c r="A67" s="241"/>
      <c r="Q67" s="241"/>
    </row>
    <row r="68" spans="1:17" s="203" customFormat="1">
      <c r="A68" s="241"/>
      <c r="Q68" s="241"/>
    </row>
    <row r="69" spans="1:17" s="203" customFormat="1">
      <c r="A69" s="241"/>
      <c r="Q69" s="241"/>
    </row>
    <row r="70" spans="1:17" s="203" customFormat="1">
      <c r="A70" s="241"/>
      <c r="Q70" s="241"/>
    </row>
    <row r="71" spans="1:17" s="203" customFormat="1">
      <c r="A71" s="241"/>
      <c r="Q71" s="241"/>
    </row>
    <row r="72" spans="1:17" s="203" customFormat="1">
      <c r="A72" s="241"/>
      <c r="Q72" s="241"/>
    </row>
    <row r="73" spans="1:17" s="203" customFormat="1">
      <c r="A73" s="241"/>
      <c r="Q73" s="241"/>
    </row>
    <row r="74" spans="1:17" s="203" customFormat="1">
      <c r="A74" s="241"/>
      <c r="B74" s="911"/>
      <c r="C74" s="911"/>
      <c r="D74" s="911"/>
      <c r="E74" s="911"/>
      <c r="F74" s="911"/>
      <c r="G74" s="911"/>
      <c r="H74" s="911"/>
      <c r="I74" s="911"/>
      <c r="J74" s="911"/>
      <c r="K74" s="911"/>
      <c r="L74" s="911"/>
      <c r="M74" s="911"/>
      <c r="N74" s="911"/>
      <c r="O74" s="911"/>
      <c r="P74" s="911"/>
      <c r="Q74" s="241"/>
    </row>
    <row r="75" spans="1:17">
      <c r="A75" s="241"/>
      <c r="B75" s="911"/>
      <c r="C75" s="911"/>
      <c r="D75" s="911"/>
      <c r="E75" s="911"/>
      <c r="F75" s="911"/>
      <c r="G75" s="911"/>
      <c r="H75" s="911"/>
      <c r="I75" s="911"/>
      <c r="J75" s="911"/>
      <c r="K75" s="911"/>
      <c r="L75" s="911"/>
      <c r="M75" s="911"/>
      <c r="N75" s="911"/>
      <c r="O75" s="911"/>
      <c r="P75" s="911"/>
      <c r="Q75" s="241"/>
    </row>
    <row r="76" spans="1:17">
      <c r="A76" s="241"/>
      <c r="B76" s="911"/>
      <c r="C76" s="911"/>
      <c r="D76" s="911"/>
      <c r="E76" s="911"/>
      <c r="F76" s="911"/>
      <c r="G76" s="911"/>
      <c r="H76" s="911"/>
      <c r="I76" s="911"/>
      <c r="J76" s="911"/>
      <c r="K76" s="911"/>
      <c r="L76" s="911"/>
      <c r="M76" s="911"/>
      <c r="N76" s="911"/>
      <c r="O76" s="911"/>
      <c r="P76" s="911"/>
      <c r="Q76" s="241"/>
    </row>
    <row r="77" spans="1:17">
      <c r="A77" s="241"/>
      <c r="B77" s="911"/>
      <c r="C77" s="911"/>
      <c r="D77" s="911"/>
      <c r="E77" s="911"/>
      <c r="F77" s="911"/>
      <c r="G77" s="911"/>
      <c r="H77" s="911"/>
      <c r="I77" s="911"/>
      <c r="J77" s="911"/>
      <c r="K77" s="911"/>
      <c r="L77" s="911"/>
      <c r="M77" s="911"/>
      <c r="N77" s="911"/>
      <c r="O77" s="911"/>
      <c r="P77" s="911"/>
      <c r="Q77" s="241"/>
    </row>
    <row r="78" spans="1:17">
      <c r="A78" s="241"/>
      <c r="B78" s="911"/>
      <c r="C78" s="911"/>
      <c r="D78" s="911"/>
      <c r="E78" s="911"/>
      <c r="F78" s="911"/>
      <c r="G78" s="911"/>
      <c r="H78" s="911"/>
      <c r="I78" s="911"/>
      <c r="J78" s="911"/>
      <c r="K78" s="911"/>
      <c r="L78" s="911"/>
      <c r="M78" s="911"/>
      <c r="N78" s="911"/>
      <c r="O78" s="911"/>
      <c r="P78" s="911"/>
      <c r="Q78" s="241"/>
    </row>
    <row r="79" spans="1:17">
      <c r="A79" s="241"/>
      <c r="B79" s="911"/>
      <c r="C79" s="911"/>
      <c r="D79" s="911"/>
      <c r="E79" s="911"/>
      <c r="F79" s="911"/>
      <c r="G79" s="911"/>
      <c r="H79" s="911"/>
      <c r="I79" s="911"/>
      <c r="J79" s="911"/>
      <c r="K79" s="911"/>
      <c r="L79" s="911"/>
      <c r="M79" s="911"/>
      <c r="N79" s="911"/>
      <c r="O79" s="911"/>
      <c r="P79" s="911"/>
      <c r="Q79" s="241"/>
    </row>
    <row r="80" spans="1:17">
      <c r="A80" s="241"/>
      <c r="B80" s="911"/>
      <c r="C80" s="911"/>
      <c r="D80" s="911"/>
      <c r="E80" s="911"/>
      <c r="F80" s="911"/>
      <c r="G80" s="911"/>
      <c r="H80" s="911"/>
      <c r="I80" s="911"/>
      <c r="J80" s="911"/>
      <c r="K80" s="911"/>
      <c r="L80" s="911"/>
      <c r="M80" s="911"/>
      <c r="N80" s="911"/>
      <c r="O80" s="911"/>
      <c r="P80" s="911"/>
      <c r="Q80" s="241"/>
    </row>
    <row r="81" spans="1:17">
      <c r="A81" s="241"/>
      <c r="B81" s="911"/>
      <c r="C81" s="911"/>
      <c r="D81" s="911"/>
      <c r="E81" s="911"/>
      <c r="F81" s="911"/>
      <c r="G81" s="911"/>
      <c r="H81" s="911"/>
      <c r="I81" s="911"/>
      <c r="J81" s="911"/>
      <c r="K81" s="911"/>
      <c r="L81" s="911"/>
      <c r="M81" s="911"/>
      <c r="N81" s="911"/>
      <c r="O81" s="911"/>
      <c r="P81" s="911"/>
      <c r="Q81" s="241"/>
    </row>
    <row r="82" spans="1:17">
      <c r="A82" s="241"/>
      <c r="B82" s="911"/>
      <c r="C82" s="911"/>
      <c r="D82" s="911"/>
      <c r="E82" s="911"/>
      <c r="F82" s="911"/>
      <c r="G82" s="911"/>
      <c r="H82" s="911"/>
      <c r="I82" s="911"/>
      <c r="J82" s="911"/>
      <c r="K82" s="911"/>
      <c r="L82" s="911"/>
      <c r="M82" s="911"/>
      <c r="N82" s="911"/>
      <c r="O82" s="911"/>
      <c r="P82" s="911"/>
      <c r="Q82" s="241"/>
    </row>
    <row r="83" spans="1:17">
      <c r="A83" s="241"/>
      <c r="B83" s="911"/>
      <c r="C83" s="911"/>
      <c r="D83" s="911"/>
      <c r="E83" s="911"/>
      <c r="F83" s="911"/>
      <c r="G83" s="911"/>
      <c r="H83" s="911"/>
      <c r="I83" s="911"/>
      <c r="J83" s="911"/>
      <c r="K83" s="911"/>
      <c r="L83" s="911"/>
      <c r="M83" s="911"/>
      <c r="N83" s="911"/>
      <c r="O83" s="911"/>
      <c r="P83" s="911"/>
      <c r="Q83" s="241"/>
    </row>
    <row r="84" spans="1:17">
      <c r="A84" s="241"/>
      <c r="B84" s="911"/>
      <c r="C84" s="911"/>
      <c r="D84" s="911"/>
      <c r="E84" s="911"/>
      <c r="F84" s="911"/>
      <c r="G84" s="911"/>
      <c r="H84" s="911"/>
      <c r="I84" s="911"/>
      <c r="J84" s="911"/>
      <c r="K84" s="911"/>
      <c r="L84" s="911"/>
      <c r="M84" s="911"/>
      <c r="N84" s="911"/>
      <c r="O84" s="911"/>
      <c r="P84" s="911"/>
      <c r="Q84" s="241"/>
    </row>
    <row r="85" spans="1:17">
      <c r="A85" s="241"/>
      <c r="B85" s="911"/>
      <c r="C85" s="911"/>
      <c r="D85" s="911"/>
      <c r="E85" s="911"/>
      <c r="F85" s="911"/>
      <c r="G85" s="911"/>
      <c r="H85" s="911"/>
      <c r="I85" s="911"/>
      <c r="J85" s="911"/>
      <c r="K85" s="911"/>
      <c r="L85" s="911"/>
      <c r="M85" s="911"/>
      <c r="N85" s="911"/>
      <c r="O85" s="911"/>
      <c r="P85" s="911"/>
      <c r="Q85" s="241"/>
    </row>
    <row r="86" spans="1:17">
      <c r="A86" s="241"/>
      <c r="B86" s="911"/>
      <c r="C86" s="911"/>
      <c r="D86" s="911"/>
      <c r="E86" s="911"/>
      <c r="F86" s="911"/>
      <c r="G86" s="911"/>
      <c r="H86" s="911"/>
      <c r="I86" s="911"/>
      <c r="J86" s="911"/>
      <c r="K86" s="911"/>
      <c r="L86" s="911"/>
      <c r="M86" s="911"/>
      <c r="N86" s="911"/>
      <c r="O86" s="911"/>
      <c r="P86" s="911"/>
      <c r="Q86" s="241"/>
    </row>
    <row r="87" spans="1:17">
      <c r="A87" s="241"/>
      <c r="B87" s="911"/>
      <c r="C87" s="911"/>
      <c r="D87" s="911"/>
      <c r="E87" s="911"/>
      <c r="F87" s="911"/>
      <c r="G87" s="911"/>
      <c r="H87" s="911"/>
      <c r="I87" s="911"/>
      <c r="J87" s="911"/>
      <c r="K87" s="911"/>
      <c r="L87" s="911"/>
      <c r="M87" s="911"/>
      <c r="N87" s="911"/>
      <c r="O87" s="911"/>
      <c r="P87" s="911"/>
      <c r="Q87" s="241"/>
    </row>
    <row r="88" spans="1:17">
      <c r="A88" s="241"/>
      <c r="B88" s="911"/>
      <c r="C88" s="911"/>
      <c r="D88" s="911"/>
      <c r="E88" s="911"/>
      <c r="F88" s="911"/>
      <c r="G88" s="911"/>
      <c r="H88" s="911"/>
      <c r="I88" s="911"/>
      <c r="J88" s="911"/>
      <c r="K88" s="911"/>
      <c r="L88" s="911"/>
      <c r="M88" s="911"/>
      <c r="N88" s="911"/>
      <c r="O88" s="911"/>
      <c r="P88" s="911"/>
      <c r="Q88" s="241"/>
    </row>
    <row r="89" spans="1:17">
      <c r="A89" s="241"/>
      <c r="B89" s="911"/>
      <c r="C89" s="911"/>
      <c r="D89" s="911"/>
      <c r="E89" s="911"/>
      <c r="F89" s="911"/>
      <c r="G89" s="911"/>
      <c r="H89" s="911"/>
      <c r="I89" s="911"/>
      <c r="J89" s="911"/>
      <c r="K89" s="911"/>
      <c r="L89" s="911"/>
      <c r="M89" s="911"/>
      <c r="N89" s="911"/>
      <c r="O89" s="911"/>
      <c r="P89" s="911"/>
      <c r="Q89" s="241"/>
    </row>
    <row r="90" spans="1:17">
      <c r="A90" s="241"/>
      <c r="B90" s="911"/>
      <c r="C90" s="911"/>
      <c r="D90" s="911"/>
      <c r="E90" s="911"/>
      <c r="F90" s="911"/>
      <c r="G90" s="911"/>
      <c r="H90" s="911"/>
      <c r="I90" s="911"/>
      <c r="J90" s="911"/>
      <c r="K90" s="911"/>
      <c r="L90" s="911"/>
      <c r="M90" s="911"/>
      <c r="N90" s="911"/>
      <c r="O90" s="911"/>
      <c r="P90" s="911"/>
      <c r="Q90" s="241"/>
    </row>
    <row r="91" spans="1:17">
      <c r="A91" s="241"/>
      <c r="B91" s="911"/>
      <c r="C91" s="911"/>
      <c r="D91" s="911"/>
      <c r="E91" s="911"/>
      <c r="F91" s="911"/>
      <c r="G91" s="911"/>
      <c r="H91" s="911"/>
      <c r="I91" s="911"/>
      <c r="J91" s="911"/>
      <c r="K91" s="911"/>
      <c r="L91" s="911"/>
      <c r="M91" s="911"/>
      <c r="N91" s="911"/>
      <c r="O91" s="911"/>
      <c r="P91" s="911"/>
      <c r="Q91" s="241"/>
    </row>
    <row r="92" spans="1:17">
      <c r="A92" s="241"/>
      <c r="B92" s="911"/>
      <c r="C92" s="911"/>
      <c r="D92" s="911"/>
      <c r="E92" s="911"/>
      <c r="F92" s="911"/>
      <c r="G92" s="911"/>
      <c r="H92" s="911"/>
      <c r="I92" s="911"/>
      <c r="J92" s="911"/>
      <c r="K92" s="911"/>
      <c r="L92" s="911"/>
      <c r="M92" s="911"/>
      <c r="N92" s="911"/>
      <c r="O92" s="911"/>
      <c r="P92" s="911"/>
      <c r="Q92" s="241"/>
    </row>
    <row r="93" spans="1:17">
      <c r="A93" s="241"/>
      <c r="B93" s="911"/>
      <c r="C93" s="911"/>
      <c r="D93" s="911"/>
      <c r="E93" s="911"/>
      <c r="F93" s="911"/>
      <c r="G93" s="911"/>
      <c r="H93" s="911"/>
      <c r="I93" s="911"/>
      <c r="J93" s="911"/>
      <c r="K93" s="911"/>
      <c r="L93" s="911"/>
      <c r="M93" s="911"/>
      <c r="N93" s="911"/>
      <c r="O93" s="911"/>
      <c r="P93" s="911"/>
      <c r="Q93" s="241"/>
    </row>
    <row r="94" spans="1:17">
      <c r="A94" s="241"/>
      <c r="B94" s="911"/>
      <c r="C94" s="911"/>
      <c r="D94" s="911"/>
      <c r="E94" s="911"/>
      <c r="F94" s="911"/>
      <c r="G94" s="911"/>
      <c r="H94" s="911"/>
      <c r="I94" s="911"/>
      <c r="J94" s="911"/>
      <c r="K94" s="911"/>
      <c r="L94" s="911"/>
      <c r="M94" s="911"/>
      <c r="N94" s="911"/>
      <c r="O94" s="911"/>
      <c r="P94" s="911"/>
      <c r="Q94" s="241"/>
    </row>
    <row r="95" spans="1:17">
      <c r="A95" s="241"/>
      <c r="B95" s="911"/>
      <c r="C95" s="911"/>
      <c r="D95" s="911"/>
      <c r="E95" s="911"/>
      <c r="F95" s="911"/>
      <c r="G95" s="911"/>
      <c r="H95" s="911"/>
      <c r="I95" s="911"/>
      <c r="J95" s="911"/>
      <c r="K95" s="911"/>
      <c r="L95" s="911"/>
      <c r="M95" s="911"/>
      <c r="N95" s="911"/>
      <c r="O95" s="911"/>
      <c r="P95" s="911"/>
      <c r="Q95" s="241"/>
    </row>
    <row r="96" spans="1:17">
      <c r="A96" s="241"/>
      <c r="B96" s="911"/>
      <c r="C96" s="911"/>
      <c r="D96" s="911"/>
      <c r="E96" s="911"/>
      <c r="F96" s="911"/>
      <c r="G96" s="911"/>
      <c r="H96" s="911"/>
      <c r="I96" s="911"/>
      <c r="J96" s="911"/>
      <c r="K96" s="911"/>
      <c r="L96" s="911"/>
      <c r="M96" s="911"/>
      <c r="N96" s="911"/>
      <c r="O96" s="911"/>
      <c r="P96" s="911"/>
      <c r="Q96" s="241"/>
    </row>
    <row r="97" spans="1:17">
      <c r="A97" s="241"/>
      <c r="B97" s="911"/>
      <c r="C97" s="911"/>
      <c r="D97" s="911"/>
      <c r="E97" s="911"/>
      <c r="F97" s="911"/>
      <c r="G97" s="911"/>
      <c r="H97" s="911"/>
      <c r="I97" s="911"/>
      <c r="J97" s="911"/>
      <c r="K97" s="911"/>
      <c r="L97" s="911"/>
      <c r="M97" s="911"/>
      <c r="N97" s="911"/>
      <c r="O97" s="911"/>
      <c r="P97" s="911"/>
      <c r="Q97" s="241"/>
    </row>
    <row r="98" spans="1:17">
      <c r="A98" s="241"/>
      <c r="B98" s="911"/>
      <c r="C98" s="911"/>
      <c r="D98" s="911"/>
      <c r="E98" s="911"/>
      <c r="F98" s="911"/>
      <c r="G98" s="911"/>
      <c r="H98" s="911"/>
      <c r="I98" s="911"/>
      <c r="J98" s="911"/>
      <c r="K98" s="911"/>
      <c r="L98" s="911"/>
      <c r="M98" s="911"/>
      <c r="N98" s="911"/>
      <c r="O98" s="911"/>
      <c r="P98" s="911"/>
      <c r="Q98" s="241"/>
    </row>
    <row r="99" spans="1:17">
      <c r="A99" s="241"/>
      <c r="B99" s="911"/>
      <c r="C99" s="911"/>
      <c r="D99" s="911"/>
      <c r="E99" s="911"/>
      <c r="F99" s="911"/>
      <c r="G99" s="911"/>
      <c r="H99" s="911"/>
      <c r="I99" s="911"/>
      <c r="J99" s="911"/>
      <c r="K99" s="911"/>
      <c r="L99" s="911"/>
      <c r="M99" s="911"/>
      <c r="N99" s="911"/>
      <c r="O99" s="911"/>
      <c r="P99" s="911"/>
      <c r="Q99" s="241"/>
    </row>
    <row r="100" spans="1:17">
      <c r="A100" s="241"/>
      <c r="B100" s="911"/>
      <c r="C100" s="911"/>
      <c r="D100" s="911"/>
      <c r="E100" s="911"/>
      <c r="F100" s="911"/>
      <c r="G100" s="911"/>
      <c r="H100" s="911"/>
      <c r="I100" s="911"/>
      <c r="J100" s="911"/>
      <c r="K100" s="911"/>
      <c r="L100" s="911"/>
      <c r="M100" s="911"/>
      <c r="N100" s="911"/>
      <c r="O100" s="911"/>
      <c r="P100" s="911"/>
      <c r="Q100" s="241"/>
    </row>
    <row r="101" spans="1:17">
      <c r="A101" s="241"/>
      <c r="B101" s="911"/>
      <c r="C101" s="911"/>
      <c r="D101" s="911"/>
      <c r="E101" s="911"/>
      <c r="F101" s="911"/>
      <c r="G101" s="911"/>
      <c r="H101" s="911"/>
      <c r="I101" s="911"/>
      <c r="J101" s="911"/>
      <c r="K101" s="911"/>
      <c r="L101" s="911"/>
      <c r="M101" s="911"/>
      <c r="N101" s="911"/>
      <c r="O101" s="911"/>
      <c r="P101" s="911"/>
      <c r="Q101" s="241"/>
    </row>
    <row r="102" spans="1:17">
      <c r="A102" s="241"/>
      <c r="B102" s="911"/>
      <c r="C102" s="911"/>
      <c r="D102" s="911"/>
      <c r="E102" s="911"/>
      <c r="F102" s="911"/>
      <c r="G102" s="911"/>
      <c r="H102" s="911"/>
      <c r="I102" s="911"/>
      <c r="J102" s="911"/>
      <c r="K102" s="911"/>
      <c r="L102" s="911"/>
      <c r="M102" s="911"/>
      <c r="N102" s="911"/>
      <c r="O102" s="911"/>
      <c r="P102" s="911"/>
      <c r="Q102" s="241"/>
    </row>
    <row r="103" spans="1:17">
      <c r="A103" s="241"/>
      <c r="B103" s="911"/>
      <c r="C103" s="911"/>
      <c r="D103" s="911"/>
      <c r="E103" s="911"/>
      <c r="F103" s="911"/>
      <c r="G103" s="911"/>
      <c r="H103" s="911"/>
      <c r="I103" s="911"/>
      <c r="J103" s="911"/>
      <c r="K103" s="911"/>
      <c r="L103" s="911"/>
      <c r="M103" s="911"/>
      <c r="N103" s="911"/>
      <c r="O103" s="911"/>
      <c r="P103" s="911"/>
      <c r="Q103" s="241"/>
    </row>
    <row r="104" spans="1:17">
      <c r="A104" s="241"/>
      <c r="B104" s="911"/>
      <c r="C104" s="911"/>
      <c r="D104" s="911"/>
      <c r="E104" s="911"/>
      <c r="F104" s="911"/>
      <c r="G104" s="911"/>
      <c r="H104" s="911"/>
      <c r="I104" s="911"/>
      <c r="J104" s="911"/>
      <c r="K104" s="911"/>
      <c r="L104" s="911"/>
      <c r="M104" s="911"/>
      <c r="N104" s="911"/>
      <c r="O104" s="911"/>
      <c r="P104" s="911"/>
      <c r="Q104" s="241"/>
    </row>
    <row r="105" spans="1:17">
      <c r="A105" s="241"/>
      <c r="B105" s="911"/>
      <c r="C105" s="911"/>
      <c r="D105" s="911"/>
      <c r="E105" s="911"/>
      <c r="F105" s="911"/>
      <c r="G105" s="911"/>
      <c r="H105" s="911"/>
      <c r="I105" s="911"/>
      <c r="J105" s="911"/>
      <c r="K105" s="911"/>
      <c r="L105" s="911"/>
      <c r="M105" s="911"/>
      <c r="N105" s="911"/>
      <c r="O105" s="911"/>
      <c r="P105" s="911"/>
      <c r="Q105" s="241"/>
    </row>
    <row r="106" spans="1:17">
      <c r="A106" s="241"/>
      <c r="B106" s="911"/>
      <c r="C106" s="911"/>
      <c r="D106" s="911"/>
      <c r="E106" s="911"/>
      <c r="F106" s="911"/>
      <c r="G106" s="911"/>
      <c r="H106" s="911"/>
      <c r="I106" s="911"/>
      <c r="J106" s="911"/>
      <c r="K106" s="911"/>
      <c r="L106" s="911"/>
      <c r="M106" s="911"/>
      <c r="N106" s="911"/>
      <c r="O106" s="911"/>
      <c r="P106" s="911"/>
      <c r="Q106" s="241"/>
    </row>
    <row r="107" spans="1:17">
      <c r="A107" s="241"/>
      <c r="B107" s="911"/>
      <c r="C107" s="911"/>
      <c r="D107" s="911"/>
      <c r="E107" s="911"/>
      <c r="F107" s="911"/>
      <c r="G107" s="911"/>
      <c r="H107" s="911"/>
      <c r="I107" s="911"/>
      <c r="J107" s="911"/>
      <c r="K107" s="911"/>
      <c r="L107" s="911"/>
      <c r="M107" s="911"/>
      <c r="N107" s="911"/>
      <c r="O107" s="911"/>
      <c r="P107" s="911"/>
      <c r="Q107" s="241"/>
    </row>
    <row r="108" spans="1:17">
      <c r="A108" s="241"/>
      <c r="B108" s="911"/>
      <c r="C108" s="911"/>
      <c r="D108" s="911"/>
      <c r="E108" s="911"/>
      <c r="F108" s="911"/>
      <c r="G108" s="911"/>
      <c r="H108" s="911"/>
      <c r="I108" s="911"/>
      <c r="J108" s="911"/>
      <c r="K108" s="911"/>
      <c r="L108" s="911"/>
      <c r="M108" s="911"/>
      <c r="N108" s="911"/>
      <c r="O108" s="911"/>
      <c r="P108" s="911"/>
      <c r="Q108" s="241"/>
    </row>
    <row r="109" spans="1:17">
      <c r="A109" s="241"/>
      <c r="B109" s="911"/>
      <c r="C109" s="911"/>
      <c r="D109" s="911"/>
      <c r="E109" s="911"/>
      <c r="F109" s="911"/>
      <c r="G109" s="911"/>
      <c r="H109" s="911"/>
      <c r="I109" s="911"/>
      <c r="J109" s="911"/>
      <c r="K109" s="911"/>
      <c r="L109" s="911"/>
      <c r="M109" s="911"/>
      <c r="N109" s="911"/>
      <c r="O109" s="911"/>
      <c r="P109" s="911"/>
      <c r="Q109" s="241"/>
    </row>
    <row r="110" spans="1:17">
      <c r="A110" s="241"/>
      <c r="B110" s="911"/>
      <c r="C110" s="911"/>
      <c r="D110" s="911"/>
      <c r="E110" s="911"/>
      <c r="F110" s="911"/>
      <c r="G110" s="911"/>
      <c r="H110" s="911"/>
      <c r="I110" s="911"/>
      <c r="J110" s="911"/>
      <c r="K110" s="911"/>
      <c r="L110" s="911"/>
      <c r="M110" s="911"/>
      <c r="N110" s="911"/>
      <c r="O110" s="911"/>
      <c r="P110" s="911"/>
      <c r="Q110" s="241"/>
    </row>
    <row r="111" spans="1:17">
      <c r="A111" s="241"/>
      <c r="B111" s="911"/>
      <c r="C111" s="911"/>
      <c r="D111" s="911"/>
      <c r="E111" s="911"/>
      <c r="F111" s="911"/>
      <c r="G111" s="911"/>
      <c r="H111" s="911"/>
      <c r="I111" s="911"/>
      <c r="J111" s="911"/>
      <c r="K111" s="911"/>
      <c r="L111" s="911"/>
      <c r="M111" s="911"/>
      <c r="N111" s="911"/>
      <c r="O111" s="911"/>
      <c r="P111" s="911"/>
      <c r="Q111" s="241"/>
    </row>
    <row r="112" spans="1:17">
      <c r="A112" s="241"/>
      <c r="B112" s="911"/>
      <c r="C112" s="911"/>
      <c r="D112" s="911"/>
      <c r="E112" s="911"/>
      <c r="F112" s="911"/>
      <c r="G112" s="911"/>
      <c r="H112" s="911"/>
      <c r="I112" s="911"/>
      <c r="J112" s="911"/>
      <c r="K112" s="911"/>
      <c r="L112" s="911"/>
      <c r="M112" s="911"/>
      <c r="N112" s="911"/>
      <c r="O112" s="911"/>
      <c r="P112" s="911"/>
      <c r="Q112" s="241"/>
    </row>
    <row r="113" spans="1:17">
      <c r="A113" s="241"/>
      <c r="B113" s="911"/>
      <c r="C113" s="911"/>
      <c r="D113" s="911"/>
      <c r="E113" s="911"/>
      <c r="F113" s="911"/>
      <c r="G113" s="911"/>
      <c r="H113" s="911"/>
      <c r="I113" s="911"/>
      <c r="J113" s="911"/>
      <c r="K113" s="911"/>
      <c r="L113" s="911"/>
      <c r="M113" s="911"/>
      <c r="N113" s="911"/>
      <c r="O113" s="911"/>
      <c r="P113" s="911"/>
      <c r="Q113" s="241"/>
    </row>
    <row r="114" spans="1:17">
      <c r="A114" s="241"/>
      <c r="B114" s="911"/>
      <c r="C114" s="911"/>
      <c r="D114" s="911"/>
      <c r="E114" s="911"/>
      <c r="F114" s="911"/>
      <c r="G114" s="911"/>
      <c r="H114" s="911"/>
      <c r="I114" s="911"/>
      <c r="J114" s="911"/>
      <c r="K114" s="911"/>
      <c r="L114" s="911"/>
      <c r="M114" s="911"/>
      <c r="N114" s="911"/>
      <c r="O114" s="911"/>
      <c r="P114" s="911"/>
      <c r="Q114" s="241"/>
    </row>
    <row r="115" spans="1:17">
      <c r="A115" s="241"/>
      <c r="B115" s="911"/>
      <c r="C115" s="911"/>
      <c r="D115" s="911"/>
      <c r="E115" s="911"/>
      <c r="F115" s="911"/>
      <c r="G115" s="911"/>
      <c r="H115" s="911"/>
      <c r="I115" s="911"/>
      <c r="J115" s="911"/>
      <c r="K115" s="911"/>
      <c r="L115" s="911"/>
      <c r="M115" s="911"/>
      <c r="N115" s="911"/>
      <c r="O115" s="911"/>
      <c r="P115" s="911"/>
      <c r="Q115" s="241"/>
    </row>
    <row r="116" spans="1:17">
      <c r="A116" s="241"/>
      <c r="B116" s="911"/>
      <c r="C116" s="911"/>
      <c r="D116" s="911"/>
      <c r="E116" s="911"/>
      <c r="F116" s="911"/>
      <c r="G116" s="911"/>
      <c r="H116" s="911"/>
      <c r="I116" s="911"/>
      <c r="J116" s="911"/>
      <c r="K116" s="911"/>
      <c r="L116" s="911"/>
      <c r="M116" s="911"/>
      <c r="N116" s="911"/>
      <c r="O116" s="911"/>
      <c r="P116" s="911"/>
      <c r="Q116" s="241"/>
    </row>
    <row r="117" spans="1:17">
      <c r="A117" s="241"/>
      <c r="B117" s="911"/>
      <c r="C117" s="911"/>
      <c r="D117" s="911"/>
      <c r="E117" s="911"/>
      <c r="F117" s="911"/>
      <c r="G117" s="911"/>
      <c r="H117" s="911"/>
      <c r="I117" s="911"/>
      <c r="J117" s="911"/>
      <c r="K117" s="911"/>
      <c r="L117" s="911"/>
      <c r="M117" s="911"/>
      <c r="N117" s="911"/>
      <c r="O117" s="911"/>
      <c r="P117" s="911"/>
      <c r="Q117" s="241"/>
    </row>
    <row r="118" spans="1:17">
      <c r="A118" s="241"/>
      <c r="B118" s="911"/>
      <c r="C118" s="911"/>
      <c r="D118" s="911"/>
      <c r="E118" s="911"/>
      <c r="F118" s="911"/>
      <c r="G118" s="911"/>
      <c r="H118" s="911"/>
      <c r="I118" s="911"/>
      <c r="J118" s="911"/>
      <c r="K118" s="911"/>
      <c r="L118" s="911"/>
      <c r="M118" s="911"/>
      <c r="N118" s="911"/>
      <c r="O118" s="911"/>
      <c r="P118" s="911"/>
      <c r="Q118" s="241"/>
    </row>
    <row r="119" spans="1:17">
      <c r="A119" s="241"/>
      <c r="B119" s="911"/>
      <c r="C119" s="911"/>
      <c r="D119" s="911"/>
      <c r="E119" s="911"/>
      <c r="F119" s="911"/>
      <c r="G119" s="911"/>
      <c r="H119" s="911"/>
      <c r="I119" s="911"/>
      <c r="J119" s="911"/>
      <c r="K119" s="911"/>
      <c r="L119" s="911"/>
      <c r="M119" s="911"/>
      <c r="N119" s="911"/>
      <c r="O119" s="911"/>
      <c r="P119" s="911"/>
      <c r="Q119" s="241"/>
    </row>
    <row r="120" spans="1:17">
      <c r="A120" s="241"/>
      <c r="B120" s="911"/>
      <c r="C120" s="911"/>
      <c r="D120" s="911"/>
      <c r="E120" s="911"/>
      <c r="F120" s="911"/>
      <c r="G120" s="911"/>
      <c r="H120" s="911"/>
      <c r="I120" s="911"/>
      <c r="J120" s="911"/>
      <c r="K120" s="911"/>
      <c r="L120" s="911"/>
      <c r="M120" s="911"/>
      <c r="N120" s="911"/>
      <c r="O120" s="911"/>
      <c r="P120" s="911"/>
      <c r="Q120" s="241"/>
    </row>
    <row r="121" spans="1:17">
      <c r="A121" s="241"/>
      <c r="B121" s="911"/>
      <c r="C121" s="911"/>
      <c r="D121" s="911"/>
      <c r="E121" s="911"/>
      <c r="F121" s="911"/>
      <c r="G121" s="911"/>
      <c r="H121" s="911"/>
      <c r="I121" s="911"/>
      <c r="J121" s="911"/>
      <c r="K121" s="911"/>
      <c r="L121" s="911"/>
      <c r="M121" s="911"/>
      <c r="N121" s="911"/>
      <c r="O121" s="911"/>
      <c r="P121" s="911"/>
      <c r="Q121" s="241"/>
    </row>
    <row r="122" spans="1:17">
      <c r="A122" s="241"/>
      <c r="B122" s="911"/>
      <c r="C122" s="911"/>
      <c r="D122" s="911"/>
      <c r="E122" s="911"/>
      <c r="F122" s="911"/>
      <c r="G122" s="911"/>
      <c r="H122" s="911"/>
      <c r="I122" s="911"/>
      <c r="J122" s="911"/>
      <c r="K122" s="911"/>
      <c r="L122" s="911"/>
      <c r="M122" s="911"/>
      <c r="N122" s="911"/>
      <c r="O122" s="911"/>
      <c r="P122" s="911"/>
      <c r="Q122" s="241"/>
    </row>
    <row r="123" spans="1:17">
      <c r="A123" s="241"/>
      <c r="B123" s="911"/>
      <c r="C123" s="911"/>
      <c r="D123" s="911"/>
      <c r="E123" s="911"/>
      <c r="F123" s="911"/>
      <c r="G123" s="911"/>
      <c r="H123" s="911"/>
      <c r="I123" s="911"/>
      <c r="J123" s="911"/>
      <c r="K123" s="911"/>
      <c r="L123" s="911"/>
      <c r="M123" s="911"/>
      <c r="N123" s="911"/>
      <c r="O123" s="911"/>
      <c r="P123" s="911"/>
      <c r="Q123" s="241"/>
    </row>
    <row r="124" spans="1:17">
      <c r="A124" s="241"/>
      <c r="B124" s="911"/>
      <c r="C124" s="911"/>
      <c r="D124" s="911"/>
      <c r="E124" s="911"/>
      <c r="F124" s="911"/>
      <c r="G124" s="911"/>
      <c r="H124" s="911"/>
      <c r="I124" s="911"/>
      <c r="J124" s="911"/>
      <c r="K124" s="911"/>
      <c r="L124" s="911"/>
      <c r="M124" s="911"/>
      <c r="N124" s="911"/>
      <c r="O124" s="911"/>
      <c r="P124" s="911"/>
      <c r="Q124" s="241"/>
    </row>
    <row r="125" spans="1:17">
      <c r="A125" s="241"/>
      <c r="B125" s="911"/>
      <c r="C125" s="911"/>
      <c r="D125" s="911"/>
      <c r="E125" s="911"/>
      <c r="F125" s="911"/>
      <c r="G125" s="911"/>
      <c r="H125" s="911"/>
      <c r="I125" s="911"/>
      <c r="J125" s="911"/>
      <c r="K125" s="911"/>
      <c r="L125" s="911"/>
      <c r="M125" s="911"/>
      <c r="N125" s="911"/>
      <c r="O125" s="911"/>
      <c r="P125" s="911"/>
      <c r="Q125" s="241"/>
    </row>
    <row r="126" spans="1:17">
      <c r="A126" s="241"/>
      <c r="B126" s="241"/>
      <c r="C126" s="241"/>
      <c r="D126" s="241"/>
      <c r="E126" s="241"/>
      <c r="F126" s="241"/>
      <c r="G126" s="241"/>
      <c r="H126" s="241"/>
      <c r="I126" s="241"/>
      <c r="J126" s="241"/>
      <c r="K126" s="241"/>
      <c r="L126" s="241"/>
      <c r="M126" s="241"/>
      <c r="N126" s="241"/>
      <c r="O126" s="241"/>
      <c r="P126" s="241"/>
      <c r="Q126" s="241"/>
    </row>
    <row r="127" spans="1:17">
      <c r="A127" s="241"/>
      <c r="B127" s="241"/>
      <c r="C127" s="241"/>
      <c r="D127" s="241"/>
      <c r="E127" s="241"/>
      <c r="F127" s="241"/>
      <c r="G127" s="241"/>
      <c r="H127" s="241"/>
      <c r="I127" s="241"/>
      <c r="J127" s="241"/>
      <c r="K127" s="241"/>
      <c r="L127" s="241"/>
      <c r="M127" s="241"/>
      <c r="N127" s="241"/>
      <c r="O127" s="241"/>
      <c r="P127" s="241"/>
      <c r="Q127" s="241"/>
    </row>
    <row r="128" spans="1:17">
      <c r="A128" s="241"/>
      <c r="B128" s="241"/>
      <c r="C128" s="241"/>
      <c r="D128" s="241"/>
      <c r="E128" s="241"/>
      <c r="F128" s="241"/>
      <c r="G128" s="241"/>
      <c r="H128" s="241"/>
      <c r="I128" s="241"/>
      <c r="J128" s="241"/>
      <c r="K128" s="241"/>
      <c r="L128" s="241"/>
      <c r="M128" s="241"/>
      <c r="N128" s="241"/>
      <c r="O128" s="241"/>
      <c r="P128" s="241"/>
      <c r="Q128" s="241"/>
    </row>
    <row r="129" spans="1:17">
      <c r="A129" s="241"/>
      <c r="B129" s="241"/>
      <c r="C129" s="241"/>
      <c r="D129" s="241"/>
      <c r="E129" s="241"/>
      <c r="F129" s="241"/>
      <c r="G129" s="241"/>
      <c r="H129" s="241"/>
      <c r="I129" s="241"/>
      <c r="J129" s="241"/>
      <c r="K129" s="241"/>
      <c r="L129" s="241"/>
      <c r="M129" s="241"/>
      <c r="N129" s="241"/>
      <c r="O129" s="241"/>
      <c r="P129" s="241"/>
      <c r="Q129" s="241"/>
    </row>
    <row r="130" spans="1:17">
      <c r="A130" s="241"/>
      <c r="B130" s="241"/>
      <c r="C130" s="241"/>
      <c r="D130" s="241"/>
      <c r="E130" s="241"/>
      <c r="F130" s="241"/>
      <c r="G130" s="241"/>
      <c r="H130" s="241"/>
      <c r="I130" s="241"/>
      <c r="J130" s="241"/>
      <c r="K130" s="241"/>
      <c r="L130" s="241"/>
      <c r="M130" s="241"/>
      <c r="N130" s="241"/>
      <c r="O130" s="241"/>
      <c r="P130" s="241"/>
      <c r="Q130" s="241"/>
    </row>
    <row r="131" spans="1:17">
      <c r="A131" s="241"/>
      <c r="B131" s="241"/>
      <c r="C131" s="241"/>
      <c r="D131" s="241"/>
      <c r="E131" s="241"/>
      <c r="F131" s="241"/>
      <c r="G131" s="241"/>
      <c r="H131" s="241"/>
      <c r="I131" s="241"/>
      <c r="J131" s="241"/>
      <c r="K131" s="241"/>
      <c r="L131" s="241"/>
      <c r="M131" s="241"/>
      <c r="N131" s="241"/>
      <c r="O131" s="241"/>
      <c r="P131" s="241"/>
      <c r="Q131" s="241"/>
    </row>
    <row r="132" spans="1:17">
      <c r="A132" s="241"/>
      <c r="B132" s="241"/>
      <c r="C132" s="241"/>
      <c r="D132" s="241"/>
      <c r="E132" s="241"/>
      <c r="F132" s="241"/>
      <c r="G132" s="241"/>
      <c r="H132" s="241"/>
      <c r="I132" s="241"/>
      <c r="J132" s="241"/>
      <c r="K132" s="241"/>
      <c r="L132" s="241"/>
      <c r="M132" s="241"/>
      <c r="N132" s="241"/>
      <c r="O132" s="241"/>
      <c r="P132" s="241"/>
      <c r="Q132" s="241"/>
    </row>
    <row r="133" spans="1:17">
      <c r="A133" s="241"/>
      <c r="B133" s="241"/>
      <c r="C133" s="241"/>
      <c r="D133" s="241"/>
      <c r="E133" s="241"/>
      <c r="F133" s="241"/>
      <c r="G133" s="241"/>
      <c r="H133" s="241"/>
      <c r="I133" s="241"/>
      <c r="J133" s="241"/>
      <c r="K133" s="241"/>
      <c r="L133" s="241"/>
      <c r="M133" s="241"/>
      <c r="N133" s="241"/>
      <c r="O133" s="241"/>
      <c r="P133" s="241"/>
      <c r="Q133" s="241"/>
    </row>
    <row r="134" spans="1:17">
      <c r="A134" s="241"/>
      <c r="B134" s="241"/>
      <c r="C134" s="241"/>
      <c r="D134" s="241"/>
      <c r="E134" s="241"/>
      <c r="F134" s="241"/>
      <c r="G134" s="241"/>
      <c r="H134" s="241"/>
      <c r="I134" s="241"/>
      <c r="J134" s="241"/>
      <c r="K134" s="241"/>
      <c r="L134" s="241"/>
      <c r="M134" s="241"/>
      <c r="N134" s="241"/>
      <c r="O134" s="241"/>
      <c r="P134" s="241"/>
      <c r="Q134" s="241"/>
    </row>
    <row r="135" spans="1:17">
      <c r="A135" s="241"/>
      <c r="B135" s="241"/>
      <c r="C135" s="241"/>
      <c r="D135" s="241"/>
      <c r="E135" s="241"/>
      <c r="F135" s="241"/>
      <c r="G135" s="241"/>
      <c r="H135" s="241"/>
      <c r="I135" s="241"/>
      <c r="J135" s="241"/>
      <c r="K135" s="241"/>
      <c r="L135" s="241"/>
      <c r="M135" s="241"/>
      <c r="N135" s="241"/>
      <c r="O135" s="241"/>
      <c r="P135" s="241"/>
      <c r="Q135" s="241"/>
    </row>
    <row r="136" spans="1:17">
      <c r="A136" s="241"/>
      <c r="B136" s="241"/>
      <c r="C136" s="241"/>
      <c r="D136" s="241"/>
      <c r="E136" s="241"/>
      <c r="F136" s="241"/>
      <c r="G136" s="241"/>
      <c r="H136" s="241"/>
      <c r="I136" s="241"/>
      <c r="J136" s="241"/>
      <c r="K136" s="241"/>
      <c r="L136" s="241"/>
      <c r="M136" s="241"/>
      <c r="N136" s="241"/>
      <c r="O136" s="241"/>
      <c r="P136" s="241"/>
      <c r="Q136" s="241"/>
    </row>
    <row r="137" spans="1:17">
      <c r="A137" s="241"/>
      <c r="B137" s="241"/>
      <c r="C137" s="241"/>
      <c r="D137" s="241"/>
      <c r="E137" s="241"/>
      <c r="F137" s="241"/>
      <c r="G137" s="241"/>
      <c r="H137" s="241"/>
      <c r="I137" s="241"/>
      <c r="J137" s="241"/>
      <c r="K137" s="241"/>
      <c r="L137" s="241"/>
      <c r="M137" s="241"/>
      <c r="N137" s="241"/>
      <c r="O137" s="241"/>
      <c r="P137" s="241"/>
      <c r="Q137" s="241"/>
    </row>
    <row r="138" spans="1:17">
      <c r="A138" s="241"/>
      <c r="B138" s="241"/>
      <c r="C138" s="241"/>
      <c r="D138" s="241"/>
      <c r="E138" s="241"/>
      <c r="F138" s="241"/>
      <c r="G138" s="241"/>
      <c r="H138" s="241"/>
      <c r="I138" s="241"/>
      <c r="J138" s="241"/>
      <c r="K138" s="241"/>
      <c r="L138" s="241"/>
      <c r="M138" s="241"/>
      <c r="N138" s="241"/>
      <c r="O138" s="241"/>
      <c r="P138" s="241"/>
      <c r="Q138" s="241"/>
    </row>
    <row r="139" spans="1:17">
      <c r="A139" s="241"/>
      <c r="B139" s="241"/>
      <c r="C139" s="241"/>
      <c r="D139" s="241"/>
      <c r="E139" s="241"/>
      <c r="F139" s="241"/>
      <c r="G139" s="241"/>
      <c r="H139" s="241"/>
      <c r="I139" s="241"/>
      <c r="J139" s="241"/>
      <c r="K139" s="241"/>
      <c r="L139" s="241"/>
      <c r="M139" s="241"/>
      <c r="N139" s="241"/>
      <c r="O139" s="241"/>
      <c r="P139" s="241"/>
      <c r="Q139" s="241"/>
    </row>
    <row r="140" spans="1:17">
      <c r="A140" s="241"/>
      <c r="B140" s="241"/>
      <c r="C140" s="241"/>
      <c r="D140" s="241"/>
      <c r="E140" s="241"/>
      <c r="F140" s="241"/>
      <c r="G140" s="241"/>
      <c r="H140" s="241"/>
      <c r="I140" s="241"/>
      <c r="J140" s="241"/>
      <c r="K140" s="241"/>
      <c r="L140" s="241"/>
      <c r="M140" s="241"/>
      <c r="N140" s="241"/>
      <c r="O140" s="241"/>
      <c r="P140" s="241"/>
      <c r="Q140" s="241"/>
    </row>
    <row r="141" spans="1:17">
      <c r="A141" s="241"/>
      <c r="B141" s="241"/>
      <c r="C141" s="241"/>
      <c r="D141" s="241"/>
      <c r="E141" s="241"/>
      <c r="F141" s="241"/>
      <c r="G141" s="241"/>
      <c r="H141" s="241"/>
      <c r="I141" s="241"/>
      <c r="J141" s="241"/>
      <c r="K141" s="241"/>
      <c r="L141" s="241"/>
      <c r="M141" s="241"/>
      <c r="N141" s="241"/>
      <c r="O141" s="241"/>
      <c r="P141" s="241"/>
      <c r="Q141" s="241"/>
    </row>
    <row r="142" spans="1:17">
      <c r="A142" s="241"/>
      <c r="B142" s="241"/>
      <c r="C142" s="241"/>
      <c r="D142" s="241"/>
      <c r="E142" s="241"/>
      <c r="F142" s="241"/>
      <c r="G142" s="241"/>
      <c r="H142" s="241"/>
      <c r="I142" s="241"/>
      <c r="J142" s="241"/>
      <c r="K142" s="241"/>
      <c r="L142" s="241"/>
      <c r="M142" s="241"/>
      <c r="N142" s="241"/>
      <c r="O142" s="241"/>
      <c r="P142" s="241"/>
      <c r="Q142" s="241"/>
    </row>
    <row r="143" spans="1:17">
      <c r="A143" s="241"/>
      <c r="B143" s="241"/>
      <c r="C143" s="241"/>
      <c r="D143" s="241"/>
      <c r="E143" s="241"/>
      <c r="F143" s="241"/>
      <c r="G143" s="241"/>
      <c r="H143" s="241"/>
      <c r="I143" s="241"/>
      <c r="J143" s="241"/>
      <c r="K143" s="241"/>
      <c r="L143" s="241"/>
      <c r="M143" s="241"/>
      <c r="N143" s="241"/>
      <c r="O143" s="241"/>
      <c r="P143" s="241"/>
      <c r="Q143" s="241"/>
    </row>
    <row r="144" spans="1:17">
      <c r="A144" s="241"/>
      <c r="B144" s="241"/>
      <c r="C144" s="241"/>
      <c r="D144" s="241"/>
      <c r="E144" s="241"/>
      <c r="F144" s="241"/>
      <c r="G144" s="241"/>
      <c r="H144" s="241"/>
      <c r="I144" s="241"/>
      <c r="J144" s="241"/>
      <c r="K144" s="241"/>
      <c r="L144" s="241"/>
      <c r="M144" s="241"/>
      <c r="N144" s="241"/>
      <c r="O144" s="241"/>
      <c r="P144" s="241"/>
      <c r="Q144" s="241"/>
    </row>
    <row r="145" spans="1:17">
      <c r="A145" s="241"/>
      <c r="B145" s="241"/>
      <c r="C145" s="241"/>
      <c r="D145" s="241"/>
      <c r="E145" s="241"/>
      <c r="F145" s="241"/>
      <c r="G145" s="241"/>
      <c r="H145" s="241"/>
      <c r="I145" s="241"/>
      <c r="J145" s="241"/>
      <c r="K145" s="241"/>
      <c r="L145" s="241"/>
      <c r="M145" s="241"/>
      <c r="N145" s="241"/>
      <c r="O145" s="241"/>
      <c r="P145" s="241"/>
      <c r="Q145" s="241"/>
    </row>
    <row r="146" spans="1:17">
      <c r="A146" s="241"/>
      <c r="B146" s="241"/>
      <c r="C146" s="241"/>
      <c r="D146" s="241"/>
      <c r="E146" s="241"/>
      <c r="F146" s="241"/>
      <c r="G146" s="241"/>
      <c r="H146" s="241"/>
      <c r="I146" s="241"/>
      <c r="J146" s="241"/>
      <c r="K146" s="241"/>
      <c r="L146" s="241"/>
      <c r="M146" s="241"/>
      <c r="N146" s="241"/>
      <c r="O146" s="241"/>
      <c r="P146" s="241"/>
      <c r="Q146" s="241"/>
    </row>
    <row r="147" spans="1:17">
      <c r="A147" s="241"/>
      <c r="B147" s="241"/>
      <c r="C147" s="241"/>
      <c r="D147" s="241"/>
      <c r="E147" s="241"/>
      <c r="F147" s="241"/>
      <c r="G147" s="241"/>
      <c r="H147" s="241"/>
      <c r="I147" s="241"/>
      <c r="J147" s="241"/>
      <c r="K147" s="241"/>
      <c r="L147" s="241"/>
      <c r="M147" s="241"/>
      <c r="N147" s="241"/>
      <c r="O147" s="241"/>
      <c r="P147" s="241"/>
      <c r="Q147" s="241"/>
    </row>
    <row r="148" spans="1:17">
      <c r="A148" s="241"/>
      <c r="B148" s="241"/>
      <c r="C148" s="241"/>
      <c r="D148" s="241"/>
      <c r="E148" s="241"/>
      <c r="F148" s="241"/>
      <c r="G148" s="241"/>
      <c r="H148" s="241"/>
      <c r="I148" s="241"/>
      <c r="J148" s="241"/>
      <c r="K148" s="241"/>
      <c r="L148" s="241"/>
      <c r="M148" s="241"/>
      <c r="N148" s="241"/>
      <c r="O148" s="241"/>
      <c r="P148" s="241"/>
      <c r="Q148" s="241"/>
    </row>
    <row r="149" spans="1:17">
      <c r="A149" s="241"/>
      <c r="B149" s="241"/>
      <c r="C149" s="241"/>
      <c r="D149" s="241"/>
      <c r="E149" s="241"/>
      <c r="F149" s="241"/>
      <c r="G149" s="241"/>
      <c r="H149" s="241"/>
      <c r="I149" s="241"/>
      <c r="J149" s="241"/>
      <c r="K149" s="241"/>
      <c r="L149" s="241"/>
      <c r="M149" s="241"/>
      <c r="N149" s="241"/>
      <c r="O149" s="241"/>
      <c r="P149" s="241"/>
      <c r="Q149" s="241"/>
    </row>
    <row r="150" spans="1:17">
      <c r="A150" s="241"/>
      <c r="B150" s="241"/>
      <c r="C150" s="241"/>
      <c r="D150" s="241"/>
      <c r="E150" s="241"/>
      <c r="F150" s="241"/>
      <c r="G150" s="241"/>
      <c r="H150" s="241"/>
      <c r="I150" s="241"/>
      <c r="J150" s="241"/>
      <c r="K150" s="241"/>
      <c r="L150" s="241"/>
      <c r="M150" s="241"/>
      <c r="N150" s="241"/>
      <c r="O150" s="241"/>
      <c r="P150" s="241"/>
      <c r="Q150" s="241"/>
    </row>
    <row r="151" spans="1:17">
      <c r="A151" s="241"/>
      <c r="B151" s="241"/>
      <c r="C151" s="241"/>
      <c r="D151" s="241"/>
      <c r="E151" s="241"/>
      <c r="F151" s="241"/>
      <c r="G151" s="241"/>
      <c r="H151" s="241"/>
      <c r="I151" s="241"/>
      <c r="J151" s="241"/>
      <c r="K151" s="241"/>
      <c r="L151" s="241"/>
      <c r="M151" s="241"/>
      <c r="N151" s="241"/>
      <c r="O151" s="241"/>
      <c r="P151" s="241"/>
      <c r="Q151" s="241"/>
    </row>
    <row r="152" spans="1:17">
      <c r="A152" s="241"/>
      <c r="B152" s="241"/>
      <c r="C152" s="241"/>
      <c r="D152" s="241"/>
      <c r="E152" s="241"/>
      <c r="F152" s="241"/>
      <c r="G152" s="241"/>
      <c r="H152" s="241"/>
      <c r="I152" s="241"/>
      <c r="J152" s="241"/>
      <c r="K152" s="241"/>
      <c r="L152" s="241"/>
      <c r="M152" s="241"/>
      <c r="N152" s="241"/>
      <c r="O152" s="241"/>
      <c r="P152" s="241"/>
      <c r="Q152" s="241"/>
    </row>
    <row r="153" spans="1:17">
      <c r="A153" s="241"/>
      <c r="B153" s="241"/>
      <c r="C153" s="241"/>
      <c r="D153" s="241"/>
      <c r="E153" s="241"/>
      <c r="F153" s="241"/>
      <c r="G153" s="241"/>
      <c r="H153" s="241"/>
      <c r="I153" s="241"/>
      <c r="J153" s="241"/>
      <c r="K153" s="241"/>
      <c r="L153" s="241"/>
      <c r="M153" s="241"/>
      <c r="N153" s="241"/>
      <c r="O153" s="241"/>
      <c r="P153" s="241"/>
      <c r="Q153" s="241"/>
    </row>
    <row r="154" spans="1:17">
      <c r="A154" s="241"/>
      <c r="B154" s="241"/>
      <c r="C154" s="241"/>
      <c r="D154" s="241"/>
      <c r="E154" s="241"/>
      <c r="F154" s="241"/>
      <c r="G154" s="241"/>
      <c r="H154" s="241"/>
      <c r="I154" s="241"/>
      <c r="J154" s="241"/>
      <c r="K154" s="241"/>
      <c r="L154" s="241"/>
      <c r="M154" s="241"/>
      <c r="N154" s="241"/>
      <c r="O154" s="241"/>
      <c r="P154" s="241"/>
      <c r="Q154" s="241"/>
    </row>
    <row r="155" spans="1:17">
      <c r="A155" s="241"/>
      <c r="B155" s="241"/>
      <c r="C155" s="241"/>
      <c r="D155" s="241"/>
      <c r="E155" s="241"/>
      <c r="F155" s="241"/>
      <c r="G155" s="241"/>
      <c r="H155" s="241"/>
      <c r="I155" s="241"/>
      <c r="J155" s="241"/>
      <c r="K155" s="241"/>
      <c r="L155" s="241"/>
      <c r="M155" s="241"/>
      <c r="N155" s="241"/>
      <c r="O155" s="241"/>
      <c r="P155" s="241"/>
      <c r="Q155" s="241"/>
    </row>
    <row r="156" spans="1:17">
      <c r="A156" s="241"/>
      <c r="B156" s="241"/>
      <c r="C156" s="241"/>
      <c r="D156" s="241"/>
      <c r="E156" s="241"/>
      <c r="F156" s="241"/>
      <c r="G156" s="241"/>
      <c r="H156" s="241"/>
      <c r="I156" s="241"/>
      <c r="J156" s="241"/>
      <c r="K156" s="241"/>
      <c r="L156" s="241"/>
      <c r="M156" s="241"/>
      <c r="N156" s="241"/>
      <c r="O156" s="241"/>
      <c r="P156" s="241"/>
      <c r="Q156" s="241"/>
    </row>
    <row r="157" spans="1:17">
      <c r="A157" s="241"/>
      <c r="B157" s="241"/>
      <c r="C157" s="241"/>
      <c r="D157" s="241"/>
      <c r="E157" s="241"/>
      <c r="F157" s="241"/>
      <c r="G157" s="241"/>
      <c r="H157" s="241"/>
      <c r="I157" s="241"/>
      <c r="J157" s="241"/>
      <c r="K157" s="241"/>
      <c r="L157" s="241"/>
      <c r="M157" s="241"/>
      <c r="N157" s="241"/>
      <c r="O157" s="241"/>
      <c r="P157" s="241"/>
      <c r="Q157" s="241"/>
    </row>
    <row r="158" spans="1:17">
      <c r="A158" s="241"/>
      <c r="B158" s="241"/>
      <c r="C158" s="241"/>
      <c r="D158" s="241"/>
      <c r="E158" s="241"/>
      <c r="F158" s="241"/>
      <c r="G158" s="241"/>
      <c r="H158" s="241"/>
      <c r="I158" s="241"/>
      <c r="J158" s="241"/>
      <c r="K158" s="241"/>
      <c r="L158" s="241"/>
      <c r="M158" s="241"/>
      <c r="N158" s="241"/>
      <c r="O158" s="241"/>
      <c r="P158" s="241"/>
      <c r="Q158" s="241"/>
    </row>
    <row r="159" spans="1:17">
      <c r="A159" s="241"/>
      <c r="B159" s="241"/>
      <c r="C159" s="241"/>
      <c r="D159" s="241"/>
      <c r="E159" s="241"/>
      <c r="F159" s="241"/>
      <c r="G159" s="241"/>
      <c r="H159" s="241"/>
      <c r="I159" s="241"/>
      <c r="J159" s="241"/>
      <c r="K159" s="241"/>
      <c r="L159" s="241"/>
      <c r="M159" s="241"/>
      <c r="N159" s="241"/>
      <c r="O159" s="241"/>
      <c r="P159" s="241"/>
      <c r="Q159" s="241"/>
    </row>
    <row r="160" spans="1:17">
      <c r="A160" s="241"/>
      <c r="B160" s="241"/>
      <c r="C160" s="241"/>
      <c r="D160" s="241"/>
      <c r="E160" s="241"/>
      <c r="F160" s="241"/>
      <c r="G160" s="241"/>
      <c r="H160" s="241"/>
      <c r="I160" s="241"/>
      <c r="J160" s="241"/>
      <c r="K160" s="241"/>
      <c r="L160" s="241"/>
      <c r="M160" s="241"/>
      <c r="N160" s="241"/>
      <c r="O160" s="241"/>
      <c r="P160" s="241"/>
      <c r="Q160" s="241"/>
    </row>
    <row r="161" spans="1:17">
      <c r="A161" s="241"/>
      <c r="B161" s="241"/>
      <c r="C161" s="241"/>
      <c r="D161" s="241"/>
      <c r="E161" s="241"/>
      <c r="F161" s="241"/>
      <c r="G161" s="241"/>
      <c r="H161" s="241"/>
      <c r="I161" s="241"/>
      <c r="J161" s="241"/>
      <c r="K161" s="241"/>
      <c r="L161" s="241"/>
      <c r="M161" s="241"/>
      <c r="N161" s="241"/>
      <c r="O161" s="241"/>
      <c r="P161" s="241"/>
      <c r="Q161" s="241"/>
    </row>
    <row r="162" spans="1:17">
      <c r="A162" s="241"/>
      <c r="B162" s="241"/>
      <c r="C162" s="241"/>
      <c r="D162" s="241"/>
      <c r="E162" s="241"/>
      <c r="F162" s="241"/>
      <c r="G162" s="241"/>
      <c r="H162" s="241"/>
      <c r="I162" s="241"/>
      <c r="J162" s="241"/>
      <c r="K162" s="241"/>
      <c r="L162" s="241"/>
      <c r="M162" s="241"/>
      <c r="N162" s="241"/>
      <c r="O162" s="241"/>
      <c r="P162" s="241"/>
      <c r="Q162" s="241"/>
    </row>
    <row r="163" spans="1:17">
      <c r="A163" s="241"/>
      <c r="B163" s="241"/>
      <c r="C163" s="241"/>
      <c r="D163" s="241"/>
      <c r="E163" s="241"/>
      <c r="F163" s="241"/>
      <c r="G163" s="241"/>
      <c r="H163" s="241"/>
      <c r="I163" s="241"/>
      <c r="J163" s="241"/>
      <c r="K163" s="241"/>
      <c r="L163" s="241"/>
      <c r="M163" s="241"/>
      <c r="N163" s="241"/>
      <c r="O163" s="241"/>
      <c r="P163" s="241"/>
      <c r="Q163" s="241"/>
    </row>
    <row r="164" spans="1:17">
      <c r="A164" s="241"/>
      <c r="B164" s="241"/>
      <c r="C164" s="241"/>
      <c r="D164" s="241"/>
      <c r="E164" s="241"/>
      <c r="F164" s="241"/>
      <c r="G164" s="241"/>
      <c r="H164" s="241"/>
      <c r="I164" s="241"/>
      <c r="J164" s="241"/>
      <c r="K164" s="241"/>
      <c r="L164" s="241"/>
      <c r="M164" s="241"/>
      <c r="N164" s="241"/>
      <c r="O164" s="241"/>
      <c r="P164" s="241"/>
      <c r="Q164" s="241"/>
    </row>
    <row r="165" spans="1:17">
      <c r="A165" s="241"/>
      <c r="B165" s="241"/>
      <c r="C165" s="241"/>
      <c r="D165" s="241"/>
      <c r="E165" s="241"/>
      <c r="F165" s="241"/>
      <c r="G165" s="241"/>
      <c r="H165" s="241"/>
      <c r="I165" s="241"/>
      <c r="J165" s="241"/>
      <c r="K165" s="241"/>
      <c r="L165" s="241"/>
      <c r="M165" s="241"/>
      <c r="N165" s="241"/>
      <c r="O165" s="241"/>
      <c r="P165" s="241"/>
      <c r="Q165" s="241"/>
    </row>
    <row r="166" spans="1:17">
      <c r="A166" s="241"/>
      <c r="B166" s="241"/>
      <c r="C166" s="241"/>
      <c r="D166" s="241"/>
      <c r="E166" s="241"/>
      <c r="F166" s="241"/>
      <c r="G166" s="241"/>
      <c r="H166" s="241"/>
      <c r="I166" s="241"/>
      <c r="J166" s="241"/>
      <c r="K166" s="241"/>
      <c r="L166" s="241"/>
      <c r="M166" s="241"/>
      <c r="N166" s="241"/>
      <c r="O166" s="241"/>
      <c r="P166" s="241"/>
      <c r="Q166" s="241"/>
    </row>
    <row r="167" spans="1:17">
      <c r="A167" s="241"/>
      <c r="B167" s="241"/>
      <c r="C167" s="241"/>
      <c r="D167" s="241"/>
      <c r="E167" s="241"/>
      <c r="F167" s="241"/>
      <c r="G167" s="241"/>
      <c r="H167" s="241"/>
      <c r="I167" s="241"/>
      <c r="J167" s="241"/>
      <c r="K167" s="241"/>
      <c r="L167" s="241"/>
      <c r="M167" s="241"/>
      <c r="N167" s="241"/>
      <c r="O167" s="241"/>
      <c r="P167" s="241"/>
      <c r="Q167" s="241"/>
    </row>
    <row r="168" spans="1:17">
      <c r="A168" s="241"/>
      <c r="B168" s="241"/>
      <c r="C168" s="241"/>
      <c r="D168" s="241"/>
      <c r="E168" s="241"/>
      <c r="F168" s="241"/>
      <c r="G168" s="241"/>
      <c r="H168" s="241"/>
      <c r="I168" s="241"/>
      <c r="J168" s="241"/>
      <c r="K168" s="241"/>
      <c r="L168" s="241"/>
      <c r="M168" s="241"/>
      <c r="N168" s="241"/>
      <c r="O168" s="241"/>
      <c r="P168" s="241"/>
      <c r="Q168" s="241"/>
    </row>
    <row r="169" spans="1:17">
      <c r="A169" s="241"/>
      <c r="B169" s="241"/>
      <c r="C169" s="241"/>
      <c r="D169" s="241"/>
      <c r="E169" s="241"/>
      <c r="F169" s="241"/>
      <c r="G169" s="241"/>
      <c r="H169" s="241"/>
      <c r="I169" s="241"/>
      <c r="J169" s="241"/>
      <c r="K169" s="241"/>
      <c r="L169" s="241"/>
      <c r="M169" s="241"/>
      <c r="N169" s="241"/>
      <c r="O169" s="241"/>
      <c r="P169" s="241"/>
      <c r="Q169" s="241"/>
    </row>
    <row r="170" spans="1:17">
      <c r="A170" s="241"/>
      <c r="B170" s="241"/>
      <c r="C170" s="241"/>
      <c r="D170" s="241"/>
      <c r="E170" s="241"/>
      <c r="F170" s="241"/>
      <c r="G170" s="241"/>
      <c r="H170" s="241"/>
      <c r="I170" s="241"/>
      <c r="J170" s="241"/>
      <c r="K170" s="241"/>
      <c r="L170" s="241"/>
      <c r="M170" s="241"/>
      <c r="N170" s="241"/>
      <c r="O170" s="241"/>
      <c r="P170" s="241"/>
      <c r="Q170" s="241"/>
    </row>
    <row r="171" spans="1:17">
      <c r="A171" s="241"/>
      <c r="B171" s="241"/>
      <c r="C171" s="241"/>
      <c r="D171" s="241"/>
      <c r="E171" s="241"/>
      <c r="F171" s="241"/>
      <c r="G171" s="241"/>
      <c r="H171" s="241"/>
      <c r="I171" s="241"/>
      <c r="J171" s="241"/>
      <c r="K171" s="241"/>
      <c r="L171" s="241"/>
      <c r="M171" s="241"/>
      <c r="N171" s="241"/>
      <c r="O171" s="241"/>
      <c r="P171" s="241"/>
      <c r="Q171" s="241"/>
    </row>
    <row r="172" spans="1:17">
      <c r="A172" s="241"/>
      <c r="B172" s="241"/>
      <c r="C172" s="241"/>
      <c r="D172" s="241"/>
      <c r="E172" s="241"/>
      <c r="F172" s="241"/>
      <c r="G172" s="241"/>
      <c r="H172" s="241"/>
      <c r="I172" s="241"/>
      <c r="J172" s="241"/>
      <c r="K172" s="241"/>
      <c r="L172" s="241"/>
      <c r="M172" s="241"/>
      <c r="N172" s="241"/>
      <c r="O172" s="241"/>
      <c r="P172" s="241"/>
      <c r="Q172" s="241"/>
    </row>
    <row r="173" spans="1:17">
      <c r="A173" s="241"/>
      <c r="B173" s="241"/>
      <c r="C173" s="241"/>
      <c r="D173" s="241"/>
      <c r="E173" s="241"/>
      <c r="F173" s="241"/>
      <c r="G173" s="241"/>
      <c r="H173" s="241"/>
      <c r="I173" s="241"/>
      <c r="J173" s="241"/>
      <c r="K173" s="241"/>
      <c r="L173" s="241"/>
      <c r="M173" s="241"/>
      <c r="N173" s="241"/>
      <c r="O173" s="241"/>
      <c r="P173" s="241"/>
      <c r="Q173" s="241"/>
    </row>
    <row r="174" spans="1:17">
      <c r="A174" s="241"/>
      <c r="B174" s="241"/>
      <c r="C174" s="241"/>
      <c r="D174" s="241"/>
      <c r="E174" s="241"/>
      <c r="F174" s="241"/>
      <c r="G174" s="241"/>
      <c r="H174" s="241"/>
      <c r="I174" s="241"/>
      <c r="J174" s="241"/>
      <c r="K174" s="241"/>
      <c r="L174" s="241"/>
      <c r="M174" s="241"/>
      <c r="N174" s="241"/>
      <c r="O174" s="241"/>
      <c r="P174" s="241"/>
      <c r="Q174" s="241"/>
    </row>
    <row r="175" spans="1:17">
      <c r="A175" s="241"/>
      <c r="B175" s="241"/>
      <c r="C175" s="241"/>
      <c r="D175" s="241"/>
      <c r="E175" s="241"/>
      <c r="F175" s="241"/>
      <c r="G175" s="241"/>
      <c r="H175" s="241"/>
      <c r="I175" s="241"/>
      <c r="J175" s="241"/>
      <c r="K175" s="241"/>
      <c r="L175" s="241"/>
      <c r="M175" s="241"/>
      <c r="N175" s="241"/>
      <c r="O175" s="241"/>
      <c r="P175" s="241"/>
      <c r="Q175" s="241"/>
    </row>
    <row r="176" spans="1:17">
      <c r="A176" s="241"/>
      <c r="B176" s="241"/>
      <c r="C176" s="241"/>
      <c r="D176" s="241"/>
      <c r="E176" s="241"/>
      <c r="F176" s="241"/>
      <c r="G176" s="241"/>
      <c r="H176" s="241"/>
      <c r="I176" s="241"/>
      <c r="J176" s="241"/>
      <c r="K176" s="241"/>
      <c r="L176" s="241"/>
      <c r="M176" s="241"/>
      <c r="N176" s="241"/>
      <c r="O176" s="241"/>
      <c r="P176" s="241"/>
      <c r="Q176" s="241"/>
    </row>
    <row r="177" spans="1:17">
      <c r="A177" s="241"/>
      <c r="B177" s="241"/>
      <c r="C177" s="241"/>
      <c r="D177" s="241"/>
      <c r="E177" s="241"/>
      <c r="F177" s="241"/>
      <c r="G177" s="241"/>
      <c r="H177" s="241"/>
      <c r="I177" s="241"/>
      <c r="J177" s="241"/>
      <c r="K177" s="241"/>
      <c r="L177" s="241"/>
      <c r="M177" s="241"/>
      <c r="N177" s="241"/>
      <c r="O177" s="241"/>
      <c r="P177" s="241"/>
      <c r="Q177" s="241"/>
    </row>
    <row r="178" spans="1:17">
      <c r="A178" s="241"/>
      <c r="B178" s="241"/>
      <c r="C178" s="241"/>
      <c r="D178" s="241"/>
      <c r="E178" s="241"/>
      <c r="F178" s="241"/>
      <c r="G178" s="241"/>
      <c r="H178" s="241"/>
      <c r="I178" s="241"/>
      <c r="J178" s="241"/>
      <c r="K178" s="241"/>
      <c r="L178" s="241"/>
      <c r="M178" s="241"/>
      <c r="N178" s="241"/>
      <c r="O178" s="241"/>
      <c r="P178" s="241"/>
      <c r="Q178" s="241"/>
    </row>
    <row r="179" spans="1:17">
      <c r="A179" s="241"/>
      <c r="B179" s="241"/>
      <c r="C179" s="241"/>
      <c r="D179" s="241"/>
      <c r="E179" s="241"/>
      <c r="F179" s="241"/>
      <c r="G179" s="241"/>
      <c r="H179" s="241"/>
      <c r="I179" s="241"/>
      <c r="J179" s="241"/>
      <c r="K179" s="241"/>
      <c r="L179" s="241"/>
      <c r="M179" s="241"/>
      <c r="N179" s="241"/>
      <c r="O179" s="241"/>
      <c r="P179" s="241"/>
      <c r="Q179" s="241"/>
    </row>
    <row r="180" spans="1:17">
      <c r="A180" s="241"/>
      <c r="B180" s="241"/>
      <c r="C180" s="241"/>
      <c r="D180" s="241"/>
      <c r="E180" s="241"/>
      <c r="F180" s="241"/>
      <c r="G180" s="241"/>
      <c r="H180" s="241"/>
      <c r="I180" s="241"/>
      <c r="J180" s="241"/>
      <c r="K180" s="241"/>
      <c r="L180" s="241"/>
      <c r="M180" s="241"/>
      <c r="N180" s="241"/>
      <c r="O180" s="241"/>
      <c r="P180" s="241"/>
      <c r="Q180" s="241"/>
    </row>
    <row r="181" spans="1:17">
      <c r="A181" s="241"/>
      <c r="B181" s="241"/>
      <c r="C181" s="241"/>
      <c r="D181" s="241"/>
      <c r="E181" s="241"/>
      <c r="F181" s="241"/>
      <c r="G181" s="241"/>
      <c r="H181" s="241"/>
      <c r="I181" s="241"/>
      <c r="J181" s="241"/>
      <c r="K181" s="241"/>
      <c r="L181" s="241"/>
      <c r="M181" s="241"/>
      <c r="N181" s="241"/>
      <c r="O181" s="241"/>
      <c r="P181" s="241"/>
      <c r="Q181" s="241"/>
    </row>
    <row r="182" spans="1:17">
      <c r="A182" s="241"/>
      <c r="B182" s="241"/>
      <c r="C182" s="241"/>
      <c r="D182" s="241"/>
      <c r="E182" s="241"/>
      <c r="F182" s="241"/>
      <c r="G182" s="241"/>
      <c r="H182" s="241"/>
      <c r="I182" s="241"/>
      <c r="J182" s="241"/>
      <c r="K182" s="241"/>
      <c r="L182" s="241"/>
      <c r="M182" s="241"/>
      <c r="N182" s="241"/>
      <c r="O182" s="241"/>
      <c r="P182" s="241"/>
      <c r="Q182" s="241"/>
    </row>
    <row r="183" spans="1:17">
      <c r="A183" s="241"/>
      <c r="B183" s="241"/>
      <c r="C183" s="241"/>
      <c r="D183" s="241"/>
      <c r="E183" s="241"/>
      <c r="F183" s="241"/>
      <c r="G183" s="241"/>
      <c r="H183" s="241"/>
      <c r="I183" s="241"/>
      <c r="J183" s="241"/>
      <c r="K183" s="241"/>
      <c r="L183" s="241"/>
      <c r="M183" s="241"/>
      <c r="N183" s="241"/>
      <c r="O183" s="241"/>
      <c r="P183" s="241"/>
      <c r="Q183" s="241"/>
    </row>
    <row r="184" spans="1:17">
      <c r="A184" s="241"/>
      <c r="B184" s="241"/>
      <c r="C184" s="241"/>
      <c r="D184" s="241"/>
      <c r="E184" s="241"/>
      <c r="F184" s="241"/>
      <c r="G184" s="241"/>
      <c r="H184" s="241"/>
      <c r="I184" s="241"/>
      <c r="J184" s="241"/>
      <c r="K184" s="241"/>
      <c r="L184" s="241"/>
      <c r="M184" s="241"/>
      <c r="N184" s="241"/>
      <c r="O184" s="241"/>
      <c r="P184" s="241"/>
      <c r="Q184" s="241"/>
    </row>
    <row r="185" spans="1:17">
      <c r="A185" s="241"/>
      <c r="B185" s="241"/>
      <c r="C185" s="241"/>
      <c r="D185" s="241"/>
      <c r="E185" s="241"/>
      <c r="F185" s="241"/>
      <c r="G185" s="241"/>
      <c r="H185" s="241"/>
      <c r="I185" s="241"/>
      <c r="J185" s="241"/>
      <c r="K185" s="241"/>
      <c r="L185" s="241"/>
      <c r="M185" s="241"/>
      <c r="N185" s="241"/>
      <c r="O185" s="241"/>
      <c r="P185" s="241"/>
      <c r="Q185" s="241"/>
    </row>
    <row r="186" spans="1:17">
      <c r="A186" s="241"/>
      <c r="B186" s="241"/>
      <c r="C186" s="241"/>
      <c r="D186" s="241"/>
      <c r="E186" s="241"/>
      <c r="F186" s="241"/>
      <c r="G186" s="241"/>
      <c r="H186" s="241"/>
      <c r="I186" s="241"/>
      <c r="J186" s="241"/>
      <c r="K186" s="241"/>
      <c r="L186" s="241"/>
      <c r="M186" s="241"/>
      <c r="N186" s="241"/>
      <c r="O186" s="241"/>
      <c r="P186" s="241"/>
      <c r="Q186" s="241"/>
    </row>
    <row r="187" spans="1:17">
      <c r="A187" s="241"/>
      <c r="B187" s="241"/>
      <c r="C187" s="241"/>
      <c r="D187" s="241"/>
      <c r="E187" s="241"/>
      <c r="F187" s="241"/>
      <c r="G187" s="241"/>
      <c r="H187" s="241"/>
      <c r="I187" s="241"/>
      <c r="J187" s="241"/>
      <c r="K187" s="241"/>
      <c r="L187" s="241"/>
      <c r="M187" s="241"/>
      <c r="N187" s="241"/>
      <c r="O187" s="241"/>
      <c r="P187" s="241"/>
      <c r="Q187" s="241"/>
    </row>
    <row r="188" spans="1:17">
      <c r="A188" s="241"/>
      <c r="B188" s="241"/>
      <c r="C188" s="241"/>
      <c r="D188" s="241"/>
      <c r="E188" s="241"/>
      <c r="F188" s="241"/>
      <c r="G188" s="241"/>
      <c r="H188" s="241"/>
      <c r="I188" s="241"/>
      <c r="J188" s="241"/>
      <c r="K188" s="241"/>
      <c r="L188" s="241"/>
      <c r="M188" s="241"/>
      <c r="N188" s="241"/>
      <c r="O188" s="241"/>
      <c r="P188" s="241"/>
      <c r="Q188" s="241"/>
    </row>
    <row r="189" spans="1:17">
      <c r="A189" s="241"/>
      <c r="B189" s="241"/>
      <c r="C189" s="241"/>
      <c r="D189" s="241"/>
      <c r="E189" s="241"/>
      <c r="F189" s="241"/>
      <c r="G189" s="241"/>
      <c r="H189" s="241"/>
      <c r="I189" s="241"/>
      <c r="J189" s="241"/>
      <c r="K189" s="241"/>
      <c r="L189" s="241"/>
      <c r="M189" s="241"/>
      <c r="N189" s="241"/>
      <c r="O189" s="241"/>
      <c r="P189" s="241"/>
      <c r="Q189" s="241"/>
    </row>
    <row r="190" spans="1:17">
      <c r="A190" s="241"/>
      <c r="B190" s="241"/>
      <c r="C190" s="241"/>
      <c r="D190" s="241"/>
      <c r="E190" s="241"/>
      <c r="F190" s="241"/>
      <c r="G190" s="241"/>
      <c r="H190" s="241"/>
      <c r="I190" s="241"/>
      <c r="J190" s="241"/>
      <c r="K190" s="241"/>
      <c r="L190" s="241"/>
      <c r="M190" s="241"/>
      <c r="N190" s="241"/>
      <c r="O190" s="241"/>
      <c r="P190" s="241"/>
      <c r="Q190" s="241"/>
    </row>
    <row r="191" spans="1:17">
      <c r="A191" s="241"/>
      <c r="B191" s="241"/>
      <c r="C191" s="241"/>
      <c r="D191" s="241"/>
      <c r="E191" s="241"/>
      <c r="F191" s="241"/>
      <c r="G191" s="241"/>
      <c r="H191" s="241"/>
      <c r="I191" s="241"/>
      <c r="J191" s="241"/>
      <c r="K191" s="241"/>
      <c r="L191" s="241"/>
      <c r="M191" s="241"/>
      <c r="N191" s="241"/>
      <c r="O191" s="241"/>
      <c r="P191" s="241"/>
      <c r="Q191" s="241"/>
    </row>
  </sheetData>
  <sheetProtection password="F66A" sheet="1"/>
  <printOptions horizontalCentered="1"/>
  <pageMargins left="0.39370078740157483" right="0.39370078740157483" top="0.39370078740157483" bottom="0.39370078740157483" header="0.31496062992125984" footer="0.31496062992125984"/>
  <pageSetup paperSize="9" scale="70" fitToHeight="3" orientation="portrait" r:id="rId1"/>
  <headerFooter>
    <oddFooter>&amp;LPlease refer to the manual for further details !!!&amp;C&amp;A&amp;RPage &amp;P of &amp;N</oddFooter>
  </headerFooter>
  <rowBreaks count="1" manualBreakCount="1">
    <brk id="86" max="1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Index">
    <tabColor theme="0" tint="-4.9989318521683403E-2"/>
    <pageSetUpPr fitToPage="1"/>
  </sheetPr>
  <dimension ref="A1:AS93"/>
  <sheetViews>
    <sheetView showRowColHeaders="0" zoomScale="85" zoomScaleNormal="85" zoomScaleSheetLayoutView="115" workbookViewId="0">
      <selection activeCell="P29" sqref="P29"/>
    </sheetView>
  </sheetViews>
  <sheetFormatPr baseColWidth="10" defaultColWidth="11.42578125" defaultRowHeight="12.75"/>
  <cols>
    <col min="1" max="1" width="5" style="39" customWidth="1"/>
    <col min="2" max="2" width="0.7109375" style="39" customWidth="1"/>
    <col min="3" max="3" width="3.5703125" style="39" customWidth="1"/>
    <col min="4" max="5" width="11.42578125" style="39"/>
    <col min="6" max="6" width="16.42578125" style="39" customWidth="1"/>
    <col min="7" max="7" width="3.28515625" style="39" customWidth="1"/>
    <col min="8" max="8" width="20.7109375" style="39" customWidth="1"/>
    <col min="9" max="9" width="20.28515625" style="39" customWidth="1"/>
    <col min="10" max="10" width="14.140625" style="911" customWidth="1"/>
    <col min="11" max="11" width="20.28515625" style="911" customWidth="1"/>
    <col min="12" max="12" width="3.28515625" style="911" customWidth="1"/>
    <col min="13" max="13" width="29.140625" style="911" customWidth="1"/>
    <col min="14" max="14" width="15.42578125" style="911" customWidth="1"/>
    <col min="15" max="16" width="11.42578125" style="39"/>
    <col min="17" max="17" width="7" style="39" customWidth="1"/>
    <col min="18" max="18" width="11.42578125" style="39"/>
    <col min="19" max="19" width="3.5703125" style="39" customWidth="1"/>
    <col min="20" max="20" width="0.7109375" style="39" customWidth="1"/>
    <col min="21" max="33" width="9.28515625" style="39" customWidth="1"/>
    <col min="34" max="16384" width="11.42578125" style="39"/>
  </cols>
  <sheetData>
    <row r="1" spans="1:45">
      <c r="A1" s="49"/>
      <c r="B1" s="50"/>
      <c r="C1" s="50"/>
      <c r="D1" s="50"/>
      <c r="E1" s="50"/>
      <c r="F1" s="50"/>
      <c r="G1" s="50"/>
      <c r="H1" s="50"/>
      <c r="I1" s="50"/>
      <c r="J1" s="50"/>
      <c r="K1" s="50"/>
      <c r="L1" s="50"/>
      <c r="M1" s="50"/>
      <c r="N1" s="50"/>
      <c r="O1" s="50"/>
      <c r="P1" s="50"/>
      <c r="Q1" s="50"/>
      <c r="R1" s="50"/>
      <c r="S1" s="50"/>
      <c r="T1" s="50"/>
      <c r="U1" s="50"/>
      <c r="V1" s="49"/>
      <c r="W1" s="49"/>
      <c r="X1" s="49"/>
      <c r="Y1" s="49"/>
      <c r="Z1" s="49"/>
      <c r="AA1" s="49"/>
      <c r="AB1" s="49"/>
      <c r="AC1" s="49"/>
      <c r="AD1" s="49"/>
      <c r="AE1" s="49"/>
      <c r="AF1" s="49"/>
      <c r="AG1" s="49"/>
      <c r="AH1" s="49"/>
      <c r="AI1" s="49"/>
      <c r="AJ1" s="49"/>
      <c r="AK1" s="49"/>
      <c r="AL1" s="49"/>
      <c r="AM1" s="49"/>
      <c r="AN1" s="49"/>
      <c r="AO1" s="49"/>
      <c r="AP1" s="49"/>
      <c r="AQ1" s="49"/>
      <c r="AR1" s="49"/>
      <c r="AS1" s="49"/>
    </row>
    <row r="2" spans="1:45" ht="3.75" customHeight="1">
      <c r="A2" s="49"/>
      <c r="B2" s="51"/>
      <c r="C2" s="51"/>
      <c r="D2" s="51"/>
      <c r="E2" s="51"/>
      <c r="F2" s="51"/>
      <c r="G2" s="51"/>
      <c r="H2" s="51"/>
      <c r="I2" s="51"/>
      <c r="J2" s="51"/>
      <c r="K2" s="51"/>
      <c r="L2" s="51"/>
      <c r="M2" s="51"/>
      <c r="N2" s="51"/>
      <c r="O2" s="51"/>
      <c r="P2" s="51"/>
      <c r="Q2" s="51"/>
      <c r="R2" s="51"/>
      <c r="S2" s="51"/>
      <c r="T2" s="51"/>
      <c r="U2" s="50"/>
      <c r="V2" s="49"/>
      <c r="W2" s="49"/>
      <c r="X2" s="49"/>
      <c r="Y2" s="49"/>
      <c r="Z2" s="49"/>
      <c r="AA2" s="49"/>
      <c r="AB2" s="49"/>
      <c r="AC2" s="49"/>
      <c r="AD2" s="49"/>
      <c r="AE2" s="49"/>
      <c r="AF2" s="49"/>
      <c r="AG2" s="49"/>
      <c r="AH2" s="49"/>
      <c r="AI2" s="49"/>
      <c r="AJ2" s="49"/>
      <c r="AK2" s="49"/>
      <c r="AL2" s="49"/>
      <c r="AM2" s="49"/>
      <c r="AN2" s="49"/>
      <c r="AO2" s="49"/>
      <c r="AP2" s="49"/>
      <c r="AQ2" s="49"/>
      <c r="AR2" s="49"/>
      <c r="AS2" s="49"/>
    </row>
    <row r="3" spans="1:45" ht="13.5" thickBot="1">
      <c r="A3" s="50"/>
      <c r="B3" s="51"/>
      <c r="C3" s="52"/>
      <c r="D3" s="53"/>
      <c r="E3" s="53"/>
      <c r="F3" s="53"/>
      <c r="G3" s="53"/>
      <c r="H3" s="53"/>
      <c r="I3" s="53"/>
      <c r="J3" s="1043"/>
      <c r="K3" s="1043"/>
      <c r="L3" s="1043"/>
      <c r="M3" s="1043"/>
      <c r="N3" s="1043"/>
      <c r="O3" s="53"/>
      <c r="P3" s="53"/>
      <c r="Q3" s="53"/>
      <c r="R3" s="53"/>
      <c r="S3" s="54"/>
      <c r="T3" s="51"/>
      <c r="U3" s="50"/>
      <c r="V3" s="50"/>
      <c r="W3" s="50"/>
      <c r="X3" s="50"/>
      <c r="Y3" s="50"/>
      <c r="Z3" s="50"/>
      <c r="AA3" s="50"/>
      <c r="AB3" s="50"/>
      <c r="AC3" s="50"/>
      <c r="AD3" s="50"/>
      <c r="AE3" s="50"/>
      <c r="AF3" s="50"/>
      <c r="AG3" s="50"/>
      <c r="AH3" s="50"/>
      <c r="AI3" s="50"/>
      <c r="AJ3" s="50"/>
      <c r="AK3" s="50"/>
      <c r="AL3" s="50"/>
      <c r="AM3" s="50"/>
      <c r="AN3" s="50"/>
      <c r="AO3" s="50"/>
      <c r="AP3" s="50"/>
      <c r="AQ3" s="50"/>
      <c r="AR3" s="50"/>
      <c r="AS3" s="50"/>
    </row>
    <row r="4" spans="1:45" ht="16.5" customHeight="1">
      <c r="A4" s="50"/>
      <c r="B4" s="51"/>
      <c r="C4" s="55"/>
      <c r="D4" s="221"/>
      <c r="E4" s="222"/>
      <c r="F4" s="222"/>
      <c r="G4" s="222"/>
      <c r="H4" s="222"/>
      <c r="I4" s="222"/>
      <c r="J4" s="222"/>
      <c r="K4" s="222"/>
      <c r="L4" s="222"/>
      <c r="M4" s="222"/>
      <c r="N4" s="222"/>
      <c r="O4" s="222"/>
      <c r="P4" s="222"/>
      <c r="Q4" s="222"/>
      <c r="R4" s="223"/>
      <c r="S4" s="56"/>
      <c r="T4" s="51"/>
      <c r="U4" s="50"/>
      <c r="V4" s="50"/>
      <c r="W4" s="50"/>
      <c r="X4" s="50"/>
      <c r="Y4" s="50"/>
      <c r="Z4" s="50"/>
      <c r="AA4" s="50"/>
      <c r="AB4" s="50"/>
      <c r="AC4" s="50"/>
      <c r="AD4" s="50"/>
      <c r="AE4" s="50"/>
      <c r="AF4" s="50"/>
      <c r="AG4" s="50"/>
      <c r="AH4" s="50"/>
      <c r="AI4" s="50"/>
      <c r="AJ4" s="50"/>
      <c r="AK4" s="50"/>
      <c r="AL4" s="50"/>
      <c r="AM4" s="50"/>
      <c r="AN4" s="50"/>
      <c r="AO4" s="50"/>
      <c r="AP4" s="50"/>
      <c r="AQ4" s="50"/>
      <c r="AR4" s="50"/>
      <c r="AS4" s="50"/>
    </row>
    <row r="5" spans="1:45" ht="26.25" customHeight="1">
      <c r="A5" s="50"/>
      <c r="B5" s="57"/>
      <c r="C5" s="55"/>
      <c r="D5" s="224"/>
      <c r="E5" s="58"/>
      <c r="F5" s="58"/>
      <c r="G5" s="58"/>
      <c r="H5" s="58"/>
      <c r="I5" s="58"/>
      <c r="J5" s="58"/>
      <c r="K5" s="58"/>
      <c r="L5" s="58"/>
      <c r="M5" s="58"/>
      <c r="N5" s="58"/>
      <c r="O5" s="60"/>
      <c r="P5" s="60"/>
      <c r="Q5" s="60"/>
      <c r="R5" s="225"/>
      <c r="S5" s="56"/>
      <c r="T5" s="57"/>
      <c r="U5" s="50"/>
      <c r="V5" s="50"/>
      <c r="W5" s="50"/>
      <c r="X5" s="50"/>
      <c r="Y5" s="50"/>
      <c r="Z5" s="50"/>
      <c r="AA5" s="50"/>
      <c r="AB5" s="50"/>
      <c r="AC5" s="50"/>
      <c r="AD5" s="50"/>
      <c r="AE5" s="50"/>
      <c r="AF5" s="50"/>
      <c r="AG5" s="50"/>
      <c r="AH5" s="50"/>
      <c r="AI5" s="50"/>
      <c r="AJ5" s="50"/>
      <c r="AK5" s="50"/>
      <c r="AL5" s="50"/>
      <c r="AM5" s="50"/>
      <c r="AN5" s="50"/>
      <c r="AO5" s="50"/>
      <c r="AP5" s="50"/>
      <c r="AQ5" s="50"/>
      <c r="AR5" s="50"/>
      <c r="AS5" s="50"/>
    </row>
    <row r="6" spans="1:45" ht="26.25" customHeight="1">
      <c r="A6" s="50"/>
      <c r="B6" s="57"/>
      <c r="C6" s="55"/>
      <c r="D6" s="224"/>
      <c r="E6" s="58"/>
      <c r="F6" s="1045" t="s">
        <v>779</v>
      </c>
      <c r="G6" s="58"/>
      <c r="H6" s="58"/>
      <c r="I6" s="58"/>
      <c r="J6" s="58"/>
      <c r="K6" s="58"/>
      <c r="L6" s="58"/>
      <c r="M6" s="58"/>
      <c r="N6" s="58"/>
      <c r="O6" s="1068" t="s">
        <v>934</v>
      </c>
      <c r="P6" s="60"/>
      <c r="Q6" s="60"/>
      <c r="R6" s="225"/>
      <c r="S6" s="56"/>
      <c r="T6" s="57"/>
      <c r="U6" s="50"/>
      <c r="V6" s="250" t="s">
        <v>778</v>
      </c>
      <c r="W6" s="50"/>
      <c r="X6" s="50"/>
      <c r="Y6" s="50"/>
      <c r="Z6" s="50"/>
      <c r="AA6" s="50"/>
      <c r="AB6" s="50"/>
      <c r="AC6" s="50"/>
      <c r="AD6" s="50"/>
      <c r="AE6" s="50"/>
      <c r="AF6" s="50"/>
      <c r="AG6" s="50"/>
      <c r="AH6" s="50"/>
      <c r="AI6" s="50"/>
      <c r="AJ6" s="50"/>
      <c r="AK6" s="50"/>
      <c r="AL6" s="50"/>
      <c r="AM6" s="50"/>
      <c r="AN6" s="50"/>
      <c r="AO6" s="50"/>
      <c r="AP6" s="50"/>
      <c r="AQ6" s="50"/>
      <c r="AR6" s="50"/>
      <c r="AS6" s="50"/>
    </row>
    <row r="7" spans="1:45" ht="26.25" customHeight="1">
      <c r="A7" s="50"/>
      <c r="B7" s="51"/>
      <c r="C7" s="55"/>
      <c r="D7" s="224"/>
      <c r="E7" s="58"/>
      <c r="F7" s="59"/>
      <c r="G7" s="58"/>
      <c r="H7" s="58"/>
      <c r="I7" s="58"/>
      <c r="J7" s="58"/>
      <c r="K7" s="58"/>
      <c r="L7" s="58"/>
      <c r="M7" s="58"/>
      <c r="N7" s="58"/>
      <c r="O7" s="1068" t="s">
        <v>935</v>
      </c>
      <c r="P7" s="60"/>
      <c r="Q7" s="60"/>
      <c r="R7" s="225"/>
      <c r="S7" s="56"/>
      <c r="T7" s="51"/>
      <c r="U7" s="50"/>
      <c r="V7" s="249" t="s">
        <v>785</v>
      </c>
      <c r="W7" s="50"/>
      <c r="X7" s="50"/>
      <c r="Y7" s="50"/>
      <c r="Z7" s="50"/>
      <c r="AA7" s="50"/>
      <c r="AB7" s="50"/>
      <c r="AC7" s="50"/>
      <c r="AD7" s="50"/>
      <c r="AE7" s="50"/>
      <c r="AF7" s="50"/>
      <c r="AG7" s="50"/>
      <c r="AH7" s="50"/>
      <c r="AI7" s="50"/>
      <c r="AJ7" s="50"/>
      <c r="AK7" s="50"/>
      <c r="AL7" s="50"/>
      <c r="AM7" s="50"/>
      <c r="AN7" s="50"/>
      <c r="AO7" s="50"/>
      <c r="AP7" s="50"/>
      <c r="AQ7" s="50"/>
      <c r="AR7" s="50"/>
      <c r="AS7" s="50"/>
    </row>
    <row r="8" spans="1:45" ht="18" customHeight="1">
      <c r="A8" s="50"/>
      <c r="B8" s="51"/>
      <c r="C8" s="55"/>
      <c r="D8" s="224"/>
      <c r="E8" s="58"/>
      <c r="F8" s="58"/>
      <c r="G8" s="58"/>
      <c r="H8" s="58"/>
      <c r="I8" s="58"/>
      <c r="J8" s="58"/>
      <c r="K8" s="58"/>
      <c r="L8" s="58"/>
      <c r="M8" s="58"/>
      <c r="N8" s="58"/>
      <c r="O8" s="248"/>
      <c r="P8" s="60"/>
      <c r="Q8" s="60"/>
      <c r="R8" s="225"/>
      <c r="S8" s="56"/>
      <c r="T8" s="51"/>
      <c r="U8" s="50"/>
      <c r="V8" s="249"/>
      <c r="W8" s="50"/>
      <c r="X8" s="50"/>
      <c r="Y8" s="50"/>
      <c r="Z8" s="50"/>
      <c r="AA8" s="50"/>
      <c r="AB8" s="50"/>
      <c r="AC8" s="50"/>
      <c r="AD8" s="50"/>
      <c r="AE8" s="50"/>
      <c r="AF8" s="50"/>
      <c r="AG8" s="50"/>
      <c r="AH8" s="50"/>
      <c r="AI8" s="50"/>
      <c r="AJ8" s="50"/>
      <c r="AK8" s="50"/>
      <c r="AL8" s="50"/>
      <c r="AM8" s="50"/>
      <c r="AN8" s="50"/>
      <c r="AO8" s="50"/>
      <c r="AP8" s="50"/>
      <c r="AQ8" s="50"/>
      <c r="AR8" s="50"/>
      <c r="AS8" s="50"/>
    </row>
    <row r="9" spans="1:45" ht="16.5" customHeight="1" thickBot="1">
      <c r="A9" s="50"/>
      <c r="B9" s="51"/>
      <c r="C9" s="55"/>
      <c r="D9" s="226"/>
      <c r="E9" s="227"/>
      <c r="F9" s="227"/>
      <c r="G9" s="227"/>
      <c r="H9" s="227"/>
      <c r="I9" s="227"/>
      <c r="J9" s="227"/>
      <c r="K9" s="227"/>
      <c r="L9" s="227"/>
      <c r="M9" s="227"/>
      <c r="N9" s="227"/>
      <c r="O9" s="227"/>
      <c r="P9" s="227"/>
      <c r="Q9" s="227"/>
      <c r="R9" s="228"/>
      <c r="S9" s="56"/>
      <c r="T9" s="51"/>
      <c r="U9" s="50"/>
      <c r="V9" s="50"/>
      <c r="W9" s="50"/>
      <c r="X9" s="50"/>
      <c r="Y9" s="50"/>
      <c r="Z9" s="50"/>
      <c r="AA9" s="50"/>
      <c r="AB9" s="50"/>
      <c r="AC9" s="50"/>
      <c r="AD9" s="50"/>
      <c r="AE9" s="50"/>
      <c r="AF9" s="50"/>
      <c r="AG9" s="50"/>
      <c r="AH9" s="50"/>
      <c r="AI9" s="50"/>
      <c r="AJ9" s="50"/>
      <c r="AK9" s="50"/>
      <c r="AL9" s="50"/>
      <c r="AM9" s="50"/>
      <c r="AN9" s="50"/>
      <c r="AO9" s="50"/>
      <c r="AP9" s="50"/>
      <c r="AQ9" s="50"/>
      <c r="AR9" s="50"/>
      <c r="AS9" s="50"/>
    </row>
    <row r="10" spans="1:45" ht="15">
      <c r="A10" s="50"/>
      <c r="B10" s="51"/>
      <c r="C10" s="55"/>
      <c r="D10" s="1046"/>
      <c r="E10" s="1047"/>
      <c r="F10" s="1047"/>
      <c r="G10" s="1047"/>
      <c r="H10" s="1047"/>
      <c r="I10" s="1047"/>
      <c r="J10" s="1047"/>
      <c r="K10" s="1047"/>
      <c r="L10" s="1047"/>
      <c r="M10" s="1047"/>
      <c r="N10" s="1047"/>
      <c r="O10" s="1047"/>
      <c r="P10" s="1047"/>
      <c r="Q10" s="1047"/>
      <c r="R10" s="1048"/>
      <c r="S10" s="56"/>
      <c r="T10" s="51"/>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row>
    <row r="11" spans="1:45" ht="19.5" customHeight="1">
      <c r="A11" s="50"/>
      <c r="B11" s="51"/>
      <c r="C11" s="55"/>
      <c r="D11" s="1049"/>
      <c r="E11" s="1050"/>
      <c r="F11" s="1051" t="s">
        <v>177</v>
      </c>
      <c r="G11" s="1050"/>
      <c r="H11" s="1052" t="str">
        <f>Name_Company</f>
        <v>X-ample Computech Ltd.</v>
      </c>
      <c r="I11" s="1050"/>
      <c r="J11" s="1050"/>
      <c r="K11" s="1051" t="s">
        <v>782</v>
      </c>
      <c r="L11" s="1050"/>
      <c r="M11" s="1052" t="str">
        <f>Name_Author</f>
        <v>TR</v>
      </c>
      <c r="N11" s="1050"/>
      <c r="O11" s="1050"/>
      <c r="P11" s="1050"/>
      <c r="Q11" s="1053"/>
      <c r="R11" s="1054"/>
      <c r="S11" s="939"/>
      <c r="T11" s="51"/>
      <c r="U11" s="433"/>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row>
    <row r="12" spans="1:45" s="203" customFormat="1" ht="19.5" customHeight="1">
      <c r="A12" s="50"/>
      <c r="B12" s="51"/>
      <c r="C12" s="220"/>
      <c r="D12" s="1049"/>
      <c r="E12" s="1050"/>
      <c r="F12" s="1051" t="s">
        <v>176</v>
      </c>
      <c r="G12" s="1050"/>
      <c r="H12" s="1052" t="str">
        <f>Name_legal_form</f>
        <v>Limited</v>
      </c>
      <c r="I12" s="1050"/>
      <c r="J12" s="1050"/>
      <c r="K12" s="1051" t="s">
        <v>179</v>
      </c>
      <c r="L12" s="1050"/>
      <c r="M12" s="1052" t="str">
        <f ca="1">Name_File</f>
        <v>EFM_Classic_Economy_Free_Version (an Alex 002).xlsx</v>
      </c>
      <c r="N12" s="1050"/>
      <c r="O12" s="1050"/>
      <c r="P12" s="1050"/>
      <c r="Q12" s="1053"/>
      <c r="R12" s="1054"/>
      <c r="S12" s="939"/>
      <c r="T12" s="51"/>
      <c r="U12" s="433"/>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row>
    <row r="13" spans="1:45" ht="19.5" customHeight="1">
      <c r="A13" s="50"/>
      <c r="B13" s="51"/>
      <c r="C13" s="55"/>
      <c r="D13" s="1049"/>
      <c r="E13" s="1050"/>
      <c r="F13" s="1051" t="s">
        <v>178</v>
      </c>
      <c r="G13" s="1050"/>
      <c r="H13" s="1052" t="str">
        <f>Name_Model</f>
        <v>5 Year Forecast</v>
      </c>
      <c r="I13" s="1050"/>
      <c r="J13" s="1050"/>
      <c r="K13" s="1051" t="s">
        <v>181</v>
      </c>
      <c r="L13" s="1050"/>
      <c r="M13" s="1055">
        <f>Inputs!F13</f>
        <v>42745</v>
      </c>
      <c r="N13" s="1050"/>
      <c r="O13" s="1050"/>
      <c r="P13" s="1050"/>
      <c r="Q13" s="1053"/>
      <c r="R13" s="1054"/>
      <c r="S13" s="939"/>
      <c r="T13" s="51"/>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row>
    <row r="14" spans="1:45" ht="19.5" customHeight="1">
      <c r="A14" s="50"/>
      <c r="B14" s="51"/>
      <c r="C14" s="55"/>
      <c r="D14" s="1049"/>
      <c r="E14" s="1050"/>
      <c r="F14" s="1056"/>
      <c r="G14" s="1050"/>
      <c r="H14" s="1050"/>
      <c r="I14" s="1050"/>
      <c r="J14" s="1050"/>
      <c r="K14" s="1050"/>
      <c r="L14" s="1050"/>
      <c r="M14" s="1050"/>
      <c r="N14" s="1050"/>
      <c r="O14" s="1050"/>
      <c r="P14" s="1050"/>
      <c r="Q14" s="1057"/>
      <c r="R14" s="1054"/>
      <c r="S14" s="939"/>
      <c r="T14" s="51"/>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row>
    <row r="15" spans="1:45" ht="19.5" customHeight="1">
      <c r="A15" s="50"/>
      <c r="B15" s="51"/>
      <c r="C15" s="55"/>
      <c r="D15" s="1049"/>
      <c r="E15" s="1050"/>
      <c r="F15" s="1069" t="s">
        <v>780</v>
      </c>
      <c r="G15" s="1070"/>
      <c r="H15" s="1070" t="s">
        <v>936</v>
      </c>
      <c r="I15" s="1070"/>
      <c r="J15" s="1070"/>
      <c r="K15" s="1070"/>
      <c r="L15" s="1070"/>
      <c r="M15" s="1070" t="s">
        <v>781</v>
      </c>
      <c r="N15" s="1070"/>
      <c r="O15" s="1070"/>
      <c r="P15" s="1070"/>
      <c r="Q15" s="1071"/>
      <c r="R15" s="1072"/>
      <c r="S15" s="939"/>
      <c r="T15" s="51"/>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row>
    <row r="16" spans="1:45" ht="19.5" customHeight="1">
      <c r="A16" s="50"/>
      <c r="B16" s="51"/>
      <c r="C16" s="55"/>
      <c r="D16" s="1049"/>
      <c r="E16" s="1056"/>
      <c r="F16" s="1056">
        <v>1</v>
      </c>
      <c r="G16" s="1058"/>
      <c r="H16" s="1058" t="s">
        <v>800</v>
      </c>
      <c r="I16" s="1058"/>
      <c r="J16" s="1058"/>
      <c r="K16" s="1058"/>
      <c r="L16" s="1058"/>
      <c r="M16" s="1059" t="s">
        <v>798</v>
      </c>
      <c r="N16" s="1058"/>
      <c r="O16" s="1058"/>
      <c r="P16" s="1058"/>
      <c r="Q16" s="1058"/>
      <c r="R16" s="1054"/>
      <c r="S16" s="939"/>
      <c r="T16" s="51"/>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row>
    <row r="17" spans="1:45" ht="19.5" customHeight="1">
      <c r="A17" s="50"/>
      <c r="B17" s="51"/>
      <c r="C17" s="55"/>
      <c r="D17" s="1049"/>
      <c r="E17" s="1056"/>
      <c r="F17" s="1056">
        <f>F16+1</f>
        <v>2</v>
      </c>
      <c r="G17" s="1050"/>
      <c r="H17" s="1060" t="s">
        <v>799</v>
      </c>
      <c r="I17" s="1050"/>
      <c r="J17" s="1050"/>
      <c r="K17" s="1050"/>
      <c r="L17" s="1050"/>
      <c r="M17" s="1059" t="s">
        <v>31</v>
      </c>
      <c r="N17" s="1050"/>
      <c r="O17" s="1050"/>
      <c r="P17" s="1050"/>
      <c r="Q17" s="1061"/>
      <c r="R17" s="1054"/>
      <c r="S17" s="939"/>
      <c r="T17" s="51"/>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row>
    <row r="18" spans="1:45" ht="19.5" customHeight="1">
      <c r="A18" s="50"/>
      <c r="B18" s="51"/>
      <c r="C18" s="55"/>
      <c r="D18" s="1049"/>
      <c r="E18" s="1056"/>
      <c r="F18" s="1056">
        <f t="shared" ref="F18:F34" si="0">F17+1</f>
        <v>3</v>
      </c>
      <c r="G18" s="1050"/>
      <c r="H18" s="1060" t="s">
        <v>801</v>
      </c>
      <c r="I18" s="1050"/>
      <c r="J18" s="1050"/>
      <c r="K18" s="1050"/>
      <c r="L18" s="1050"/>
      <c r="M18" s="1059" t="s">
        <v>786</v>
      </c>
      <c r="N18" s="1050"/>
      <c r="O18" s="1050"/>
      <c r="P18" s="1050"/>
      <c r="Q18" s="1061"/>
      <c r="R18" s="1054"/>
      <c r="S18" s="939"/>
      <c r="T18" s="51"/>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row>
    <row r="19" spans="1:45" ht="19.5" customHeight="1">
      <c r="A19" s="50"/>
      <c r="B19" s="51"/>
      <c r="C19" s="55"/>
      <c r="D19" s="1049"/>
      <c r="E19" s="1056"/>
      <c r="F19" s="1056">
        <f t="shared" si="0"/>
        <v>4</v>
      </c>
      <c r="G19" s="1050"/>
      <c r="H19" s="1060" t="str">
        <f>CHOOSE(language,"Profit and Loss Statement (overview)","Income Statement (overview)")</f>
        <v>Income Statement (overview)</v>
      </c>
      <c r="I19" s="1050"/>
      <c r="J19" s="1050"/>
      <c r="K19" s="1050"/>
      <c r="L19" s="1050"/>
      <c r="M19" s="1059" t="s">
        <v>787</v>
      </c>
      <c r="N19" s="1050"/>
      <c r="O19" s="1050"/>
      <c r="P19" s="1050"/>
      <c r="Q19" s="1061"/>
      <c r="R19" s="1054"/>
      <c r="S19" s="939"/>
      <c r="T19" s="51"/>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row>
    <row r="20" spans="1:45" ht="19.5" customHeight="1">
      <c r="A20" s="50"/>
      <c r="B20" s="51"/>
      <c r="C20" s="55"/>
      <c r="D20" s="1062"/>
      <c r="E20" s="1060"/>
      <c r="F20" s="1056">
        <f t="shared" si="0"/>
        <v>5</v>
      </c>
      <c r="G20" s="1058"/>
      <c r="H20" s="1060" t="s">
        <v>802</v>
      </c>
      <c r="I20" s="1058"/>
      <c r="J20" s="1058"/>
      <c r="K20" s="1058"/>
      <c r="L20" s="1058"/>
      <c r="M20" s="1059" t="s">
        <v>788</v>
      </c>
      <c r="N20" s="1058"/>
      <c r="O20" s="1058"/>
      <c r="P20" s="1058"/>
      <c r="Q20" s="1061"/>
      <c r="R20" s="1054"/>
      <c r="S20" s="939"/>
      <c r="T20" s="51"/>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row>
    <row r="21" spans="1:45" s="203" customFormat="1" ht="19.5" customHeight="1">
      <c r="A21" s="50"/>
      <c r="B21" s="51"/>
      <c r="C21" s="220"/>
      <c r="D21" s="1062"/>
      <c r="E21" s="1060"/>
      <c r="F21" s="1056">
        <f t="shared" si="0"/>
        <v>6</v>
      </c>
      <c r="G21" s="1058"/>
      <c r="H21" s="1060" t="s">
        <v>803</v>
      </c>
      <c r="I21" s="1058"/>
      <c r="J21" s="1058"/>
      <c r="K21" s="1058"/>
      <c r="L21" s="1058"/>
      <c r="M21" s="1059" t="s">
        <v>789</v>
      </c>
      <c r="N21" s="1058"/>
      <c r="O21" s="1058"/>
      <c r="P21" s="1058"/>
      <c r="Q21" s="1061"/>
      <c r="R21" s="1054"/>
      <c r="S21" s="939"/>
      <c r="T21" s="51"/>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row>
    <row r="22" spans="1:45" s="203" customFormat="1" ht="19.5" customHeight="1">
      <c r="A22" s="50"/>
      <c r="B22" s="51"/>
      <c r="C22" s="220"/>
      <c r="D22" s="1062"/>
      <c r="E22" s="1060"/>
      <c r="F22" s="1056">
        <f t="shared" si="0"/>
        <v>7</v>
      </c>
      <c r="G22" s="1050"/>
      <c r="H22" s="1060" t="s">
        <v>804</v>
      </c>
      <c r="I22" s="1050"/>
      <c r="J22" s="1050"/>
      <c r="K22" s="1050"/>
      <c r="L22" s="1050"/>
      <c r="M22" s="1059" t="s">
        <v>790</v>
      </c>
      <c r="N22" s="1050"/>
      <c r="O22" s="1081" t="s">
        <v>945</v>
      </c>
      <c r="P22" s="1081"/>
      <c r="Q22" s="1082"/>
      <c r="R22" s="1054"/>
      <c r="S22" s="939"/>
      <c r="T22" s="51"/>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row>
    <row r="23" spans="1:45" ht="19.5" customHeight="1">
      <c r="A23" s="50"/>
      <c r="B23" s="51"/>
      <c r="C23" s="55"/>
      <c r="D23" s="1062"/>
      <c r="E23" s="1056"/>
      <c r="F23" s="1056">
        <f t="shared" si="0"/>
        <v>8</v>
      </c>
      <c r="G23" s="1050"/>
      <c r="H23" s="1060" t="s">
        <v>214</v>
      </c>
      <c r="I23" s="1050"/>
      <c r="J23" s="1050"/>
      <c r="K23" s="1050"/>
      <c r="L23" s="1050"/>
      <c r="M23" s="1059" t="s">
        <v>214</v>
      </c>
      <c r="N23" s="1050"/>
      <c r="O23" s="1050"/>
      <c r="P23" s="1050"/>
      <c r="Q23" s="1061"/>
      <c r="R23" s="1054"/>
      <c r="S23" s="939"/>
      <c r="T23" s="51"/>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row>
    <row r="24" spans="1:45" ht="19.5" customHeight="1">
      <c r="A24" s="50"/>
      <c r="B24" s="51"/>
      <c r="C24" s="55"/>
      <c r="D24" s="1049"/>
      <c r="E24" s="1056"/>
      <c r="F24" s="1056">
        <f t="shared" si="0"/>
        <v>9</v>
      </c>
      <c r="G24" s="1050"/>
      <c r="H24" s="1060" t="s">
        <v>805</v>
      </c>
      <c r="I24" s="1050"/>
      <c r="J24" s="1050"/>
      <c r="K24" s="1050"/>
      <c r="L24" s="1050"/>
      <c r="M24" s="1059" t="s">
        <v>263</v>
      </c>
      <c r="N24" s="1050"/>
      <c r="O24" s="1050"/>
      <c r="P24" s="1050"/>
      <c r="Q24" s="1061"/>
      <c r="R24" s="1054"/>
      <c r="S24" s="939"/>
      <c r="T24" s="51"/>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row>
    <row r="25" spans="1:45" ht="19.5" customHeight="1">
      <c r="A25" s="50"/>
      <c r="B25" s="51"/>
      <c r="C25" s="55"/>
      <c r="D25" s="1049"/>
      <c r="E25" s="1056"/>
      <c r="F25" s="1056">
        <f t="shared" si="0"/>
        <v>10</v>
      </c>
      <c r="G25" s="1050"/>
      <c r="H25" s="1060" t="s">
        <v>811</v>
      </c>
      <c r="I25" s="1050"/>
      <c r="J25" s="1050"/>
      <c r="K25" s="1050"/>
      <c r="L25" s="1050"/>
      <c r="M25" s="1059" t="s">
        <v>791</v>
      </c>
      <c r="N25" s="1050"/>
      <c r="O25" s="1050"/>
      <c r="P25" s="1050"/>
      <c r="Q25" s="1063"/>
      <c r="R25" s="1054"/>
      <c r="S25" s="939"/>
      <c r="T25" s="51"/>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row>
    <row r="26" spans="1:45" ht="19.5" customHeight="1">
      <c r="A26" s="50"/>
      <c r="B26" s="51"/>
      <c r="C26" s="55"/>
      <c r="D26" s="1049"/>
      <c r="E26" s="1056"/>
      <c r="F26" s="1056">
        <f t="shared" si="0"/>
        <v>11</v>
      </c>
      <c r="G26" s="1050"/>
      <c r="H26" s="1060" t="str">
        <f>CHOOSE(language,"Direct Labour &amp; Other Direct Costs","Direct Labor &amp; Other Direct Costs")</f>
        <v>Direct Labor &amp; Other Direct Costs</v>
      </c>
      <c r="I26" s="1050"/>
      <c r="J26" s="1050"/>
      <c r="K26" s="1050"/>
      <c r="L26" s="1050"/>
      <c r="M26" s="1059" t="s">
        <v>792</v>
      </c>
      <c r="N26" s="1050"/>
      <c r="O26" s="1050"/>
      <c r="P26" s="1050"/>
      <c r="Q26" s="1063"/>
      <c r="R26" s="1054"/>
      <c r="S26" s="939"/>
      <c r="T26" s="51"/>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row>
    <row r="27" spans="1:45" ht="19.5" customHeight="1">
      <c r="A27" s="50"/>
      <c r="B27" s="51"/>
      <c r="C27" s="55"/>
      <c r="D27" s="1049"/>
      <c r="E27" s="1056"/>
      <c r="F27" s="1056">
        <f t="shared" si="0"/>
        <v>12</v>
      </c>
      <c r="G27" s="1050"/>
      <c r="H27" s="1060" t="s">
        <v>352</v>
      </c>
      <c r="I27" s="1050"/>
      <c r="J27" s="1050"/>
      <c r="K27" s="1050"/>
      <c r="L27" s="1050"/>
      <c r="M27" s="1059" t="s">
        <v>793</v>
      </c>
      <c r="N27" s="1050"/>
      <c r="O27" s="1050"/>
      <c r="P27" s="1050"/>
      <c r="Q27" s="1063"/>
      <c r="R27" s="1054"/>
      <c r="S27" s="939"/>
      <c r="T27" s="51"/>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row>
    <row r="28" spans="1:45" ht="19.5" customHeight="1">
      <c r="A28" s="50"/>
      <c r="B28" s="51"/>
      <c r="C28" s="55"/>
      <c r="D28" s="1049"/>
      <c r="E28" s="1056"/>
      <c r="F28" s="1056">
        <f t="shared" si="0"/>
        <v>13</v>
      </c>
      <c r="G28" s="1050"/>
      <c r="H28" s="1060" t="s">
        <v>806</v>
      </c>
      <c r="I28" s="1050"/>
      <c r="J28" s="1050"/>
      <c r="K28" s="1050"/>
      <c r="L28" s="1050"/>
      <c r="M28" s="1059" t="s">
        <v>794</v>
      </c>
      <c r="N28" s="1050"/>
      <c r="O28" s="1050"/>
      <c r="P28" s="1050"/>
      <c r="Q28" s="1063"/>
      <c r="R28" s="1054"/>
      <c r="S28" s="939"/>
      <c r="T28" s="51"/>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row>
    <row r="29" spans="1:45" s="203" customFormat="1" ht="19.5" customHeight="1">
      <c r="A29" s="50"/>
      <c r="B29" s="51"/>
      <c r="C29" s="220"/>
      <c r="D29" s="1049"/>
      <c r="E29" s="1056"/>
      <c r="F29" s="1056">
        <f t="shared" si="0"/>
        <v>14</v>
      </c>
      <c r="G29" s="1050"/>
      <c r="H29" s="1060" t="s">
        <v>807</v>
      </c>
      <c r="I29" s="1050"/>
      <c r="J29" s="1050"/>
      <c r="K29" s="1050"/>
      <c r="L29" s="1050"/>
      <c r="M29" s="1059" t="s">
        <v>373</v>
      </c>
      <c r="N29" s="1050"/>
      <c r="O29" s="1050"/>
      <c r="P29" s="1050"/>
      <c r="Q29" s="1063"/>
      <c r="R29" s="1054"/>
      <c r="S29" s="939"/>
      <c r="T29" s="51"/>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row>
    <row r="30" spans="1:45" ht="19.5" customHeight="1">
      <c r="A30" s="50"/>
      <c r="B30" s="51"/>
      <c r="C30" s="55"/>
      <c r="D30" s="1049"/>
      <c r="E30" s="1056"/>
      <c r="F30" s="1056">
        <f t="shared" si="0"/>
        <v>15</v>
      </c>
      <c r="G30" s="1050"/>
      <c r="H30" s="1060" t="s">
        <v>348</v>
      </c>
      <c r="I30" s="1050"/>
      <c r="J30" s="1050"/>
      <c r="K30" s="1050"/>
      <c r="L30" s="1050"/>
      <c r="M30" s="1059" t="s">
        <v>795</v>
      </c>
      <c r="N30" s="1050"/>
      <c r="O30" s="1050"/>
      <c r="P30" s="1050"/>
      <c r="Q30" s="1063"/>
      <c r="R30" s="1054"/>
      <c r="S30" s="939"/>
      <c r="T30" s="51"/>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row>
    <row r="31" spans="1:45" s="203" customFormat="1" ht="19.5" customHeight="1">
      <c r="A31" s="50"/>
      <c r="B31" s="51"/>
      <c r="C31" s="220"/>
      <c r="D31" s="1049"/>
      <c r="E31" s="1056"/>
      <c r="F31" s="1056">
        <f t="shared" si="0"/>
        <v>16</v>
      </c>
      <c r="G31" s="1050"/>
      <c r="H31" s="1060" t="str">
        <f>CHOOSE(language,"Debtors and Creditors","Receivables and Payables")</f>
        <v>Receivables and Payables</v>
      </c>
      <c r="I31" s="1050"/>
      <c r="J31" s="1050"/>
      <c r="K31" s="1050"/>
      <c r="L31" s="1050"/>
      <c r="M31" s="1059" t="s">
        <v>796</v>
      </c>
      <c r="N31" s="1050"/>
      <c r="O31" s="1050"/>
      <c r="P31" s="1050"/>
      <c r="Q31" s="1063"/>
      <c r="R31" s="1054"/>
      <c r="S31" s="939"/>
      <c r="T31" s="51"/>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row>
    <row r="32" spans="1:45" ht="19.5" customHeight="1">
      <c r="A32" s="50"/>
      <c r="B32" s="51"/>
      <c r="C32" s="55"/>
      <c r="D32" s="1049"/>
      <c r="E32" s="1056"/>
      <c r="F32" s="1056">
        <f t="shared" si="0"/>
        <v>17</v>
      </c>
      <c r="G32" s="1050"/>
      <c r="H32" s="1060" t="s">
        <v>808</v>
      </c>
      <c r="I32" s="1050"/>
      <c r="J32" s="1050"/>
      <c r="K32" s="1050"/>
      <c r="L32" s="1050"/>
      <c r="M32" s="1059" t="s">
        <v>374</v>
      </c>
      <c r="N32" s="1050"/>
      <c r="O32" s="1050"/>
      <c r="P32" s="1050"/>
      <c r="Q32" s="1063"/>
      <c r="R32" s="1054"/>
      <c r="S32" s="939"/>
      <c r="T32" s="51"/>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row>
    <row r="33" spans="1:45" ht="19.5" customHeight="1">
      <c r="A33" s="50"/>
      <c r="B33" s="51"/>
      <c r="C33" s="55"/>
      <c r="D33" s="1049"/>
      <c r="E33" s="1056"/>
      <c r="F33" s="1056">
        <f t="shared" si="0"/>
        <v>18</v>
      </c>
      <c r="G33" s="1050"/>
      <c r="H33" s="1060" t="s">
        <v>809</v>
      </c>
      <c r="I33" s="1050"/>
      <c r="J33" s="1050"/>
      <c r="K33" s="1050"/>
      <c r="L33" s="1050"/>
      <c r="M33" s="1059" t="s">
        <v>24</v>
      </c>
      <c r="N33" s="1050"/>
      <c r="O33" s="1050"/>
      <c r="P33" s="1050"/>
      <c r="Q33" s="1063"/>
      <c r="R33" s="1054"/>
      <c r="S33" s="939"/>
      <c r="T33" s="51"/>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row>
    <row r="34" spans="1:45" ht="19.5" customHeight="1">
      <c r="A34" s="50"/>
      <c r="B34" s="51"/>
      <c r="C34" s="55"/>
      <c r="D34" s="1049"/>
      <c r="E34" s="1050"/>
      <c r="F34" s="1056">
        <f t="shared" si="0"/>
        <v>19</v>
      </c>
      <c r="G34" s="1050"/>
      <c r="H34" s="1060" t="s">
        <v>810</v>
      </c>
      <c r="I34" s="1050"/>
      <c r="J34" s="1050"/>
      <c r="K34" s="1050"/>
      <c r="L34" s="1050"/>
      <c r="M34" s="1059" t="s">
        <v>797</v>
      </c>
      <c r="N34" s="1050"/>
      <c r="O34" s="1050"/>
      <c r="P34" s="1050"/>
      <c r="Q34" s="1063"/>
      <c r="R34" s="1054"/>
      <c r="S34" s="939"/>
      <c r="T34" s="51"/>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row>
    <row r="35" spans="1:45" ht="19.5" customHeight="1" thickBot="1">
      <c r="A35" s="50"/>
      <c r="B35" s="51"/>
      <c r="C35" s="55"/>
      <c r="D35" s="1064"/>
      <c r="E35" s="1065"/>
      <c r="F35" s="1065"/>
      <c r="G35" s="1065"/>
      <c r="H35" s="1065"/>
      <c r="I35" s="1065"/>
      <c r="J35" s="1065"/>
      <c r="K35" s="1065"/>
      <c r="L35" s="1065"/>
      <c r="M35" s="1065"/>
      <c r="N35" s="1065"/>
      <c r="O35" s="1065"/>
      <c r="P35" s="1066"/>
      <c r="Q35" s="1066"/>
      <c r="R35" s="1067"/>
      <c r="S35" s="939"/>
      <c r="T35" s="51"/>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row>
    <row r="36" spans="1:45" ht="18.75" customHeight="1" thickBot="1">
      <c r="A36" s="50"/>
      <c r="B36" s="51"/>
      <c r="C36" s="55"/>
      <c r="D36" s="942"/>
      <c r="E36" s="943" t="s">
        <v>783</v>
      </c>
      <c r="F36" s="943"/>
      <c r="G36" s="943"/>
      <c r="H36" s="943"/>
      <c r="I36" s="943"/>
      <c r="J36" s="943"/>
      <c r="K36" s="943"/>
      <c r="L36" s="943"/>
      <c r="M36" s="943"/>
      <c r="N36" s="943"/>
      <c r="O36" s="943"/>
      <c r="P36" s="943"/>
      <c r="Q36" s="943"/>
      <c r="R36" s="944"/>
      <c r="S36" s="939"/>
      <c r="T36" s="51"/>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row>
    <row r="37" spans="1:45" ht="18.75" customHeight="1">
      <c r="A37" s="50"/>
      <c r="B37" s="51"/>
      <c r="C37" s="55"/>
      <c r="D37" s="945"/>
      <c r="E37" s="946"/>
      <c r="F37" s="946"/>
      <c r="G37" s="946"/>
      <c r="H37" s="946"/>
      <c r="I37" s="946"/>
      <c r="J37" s="946"/>
      <c r="K37" s="946"/>
      <c r="L37" s="946"/>
      <c r="M37" s="946"/>
      <c r="N37" s="946"/>
      <c r="O37" s="946"/>
      <c r="P37" s="947"/>
      <c r="Q37" s="947"/>
      <c r="R37" s="948"/>
      <c r="S37" s="939"/>
      <c r="T37" s="51"/>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row>
    <row r="38" spans="1:45" ht="18.75" customHeight="1">
      <c r="A38" s="50"/>
      <c r="B38" s="51"/>
      <c r="C38" s="55"/>
      <c r="D38" s="938"/>
      <c r="E38" s="559"/>
      <c r="F38" s="940"/>
      <c r="G38" s="940"/>
      <c r="H38" s="940"/>
      <c r="I38" s="940"/>
      <c r="J38" s="940"/>
      <c r="K38" s="940"/>
      <c r="L38" s="940"/>
      <c r="M38" s="940"/>
      <c r="N38" s="940"/>
      <c r="O38" s="940"/>
      <c r="P38" s="940"/>
      <c r="Q38" s="940"/>
      <c r="R38" s="404"/>
      <c r="S38" s="939"/>
      <c r="T38" s="51"/>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row>
    <row r="39" spans="1:45" ht="18.75" customHeight="1">
      <c r="A39" s="50"/>
      <c r="B39" s="51"/>
      <c r="C39" s="55"/>
      <c r="D39" s="938"/>
      <c r="E39" s="949"/>
      <c r="F39" s="940"/>
      <c r="G39" s="940"/>
      <c r="H39" s="940"/>
      <c r="I39" s="940"/>
      <c r="J39" s="940"/>
      <c r="K39" s="940"/>
      <c r="L39" s="940"/>
      <c r="M39" s="940"/>
      <c r="N39" s="940"/>
      <c r="O39" s="940"/>
      <c r="P39" s="940"/>
      <c r="Q39" s="940"/>
      <c r="R39" s="404"/>
      <c r="S39" s="939"/>
      <c r="T39" s="51"/>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row>
    <row r="40" spans="1:45" ht="18.75" customHeight="1">
      <c r="A40" s="50"/>
      <c r="B40" s="51"/>
      <c r="C40" s="55"/>
      <c r="D40" s="938"/>
      <c r="E40" s="949"/>
      <c r="F40" s="940"/>
      <c r="G40" s="940"/>
      <c r="H40" s="940"/>
      <c r="I40" s="940"/>
      <c r="J40" s="940"/>
      <c r="K40" s="940"/>
      <c r="L40" s="940"/>
      <c r="M40" s="940"/>
      <c r="N40" s="940"/>
      <c r="O40" s="940"/>
      <c r="P40" s="940"/>
      <c r="Q40" s="940"/>
      <c r="R40" s="404"/>
      <c r="S40" s="939"/>
      <c r="T40" s="51"/>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row>
    <row r="41" spans="1:45" ht="18.75" customHeight="1">
      <c r="A41" s="50"/>
      <c r="B41" s="51"/>
      <c r="C41" s="55"/>
      <c r="D41" s="938"/>
      <c r="E41" s="949"/>
      <c r="F41" s="940"/>
      <c r="G41" s="940"/>
      <c r="H41" s="940"/>
      <c r="I41" s="940"/>
      <c r="J41" s="940"/>
      <c r="K41" s="940"/>
      <c r="L41" s="940"/>
      <c r="M41" s="940"/>
      <c r="N41" s="940"/>
      <c r="O41" s="940"/>
      <c r="P41" s="940"/>
      <c r="Q41" s="940"/>
      <c r="R41" s="404"/>
      <c r="S41" s="939"/>
      <c r="T41" s="51"/>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row>
    <row r="42" spans="1:45" ht="18.75" customHeight="1">
      <c r="A42" s="50"/>
      <c r="B42" s="51"/>
      <c r="C42" s="55"/>
      <c r="D42" s="938"/>
      <c r="E42" s="949"/>
      <c r="F42" s="940"/>
      <c r="G42" s="940"/>
      <c r="H42" s="940"/>
      <c r="I42" s="940"/>
      <c r="J42" s="940"/>
      <c r="K42" s="940"/>
      <c r="L42" s="940"/>
      <c r="M42" s="940"/>
      <c r="N42" s="940"/>
      <c r="O42" s="940"/>
      <c r="P42" s="940"/>
      <c r="Q42" s="940"/>
      <c r="R42" s="404"/>
      <c r="S42" s="939"/>
      <c r="T42" s="51"/>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row>
    <row r="43" spans="1:45" ht="18.75" customHeight="1" thickBot="1">
      <c r="A43" s="50"/>
      <c r="B43" s="51"/>
      <c r="C43" s="55"/>
      <c r="D43" s="941"/>
      <c r="E43" s="405"/>
      <c r="F43" s="405"/>
      <c r="G43" s="405"/>
      <c r="H43" s="950"/>
      <c r="I43" s="405"/>
      <c r="J43" s="405"/>
      <c r="K43" s="405"/>
      <c r="L43" s="405"/>
      <c r="M43" s="405"/>
      <c r="N43" s="405"/>
      <c r="O43" s="405"/>
      <c r="P43" s="405"/>
      <c r="Q43" s="405"/>
      <c r="R43" s="406"/>
      <c r="S43" s="939"/>
      <c r="T43" s="51"/>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row>
    <row r="44" spans="1:45" ht="18.75" customHeight="1" thickBot="1">
      <c r="A44" s="50"/>
      <c r="B44" s="51"/>
      <c r="C44" s="55"/>
      <c r="D44" s="942"/>
      <c r="E44" s="943" t="s">
        <v>784</v>
      </c>
      <c r="F44" s="951"/>
      <c r="G44" s="951"/>
      <c r="H44" s="952"/>
      <c r="I44" s="951"/>
      <c r="J44" s="951"/>
      <c r="K44" s="951"/>
      <c r="L44" s="951"/>
      <c r="M44" s="951"/>
      <c r="N44" s="951"/>
      <c r="O44" s="951"/>
      <c r="P44" s="951"/>
      <c r="Q44" s="951"/>
      <c r="R44" s="953"/>
      <c r="S44" s="939"/>
      <c r="T44" s="51"/>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row>
    <row r="45" spans="1:45" ht="18.75" customHeight="1">
      <c r="A45" s="50"/>
      <c r="B45" s="51"/>
      <c r="C45" s="55"/>
      <c r="D45" s="945"/>
      <c r="E45" s="947"/>
      <c r="F45" s="947"/>
      <c r="G45" s="947"/>
      <c r="H45" s="954"/>
      <c r="I45" s="947"/>
      <c r="J45" s="947"/>
      <c r="K45" s="947"/>
      <c r="L45" s="947"/>
      <c r="M45" s="947"/>
      <c r="N45" s="947"/>
      <c r="O45" s="947"/>
      <c r="P45" s="947"/>
      <c r="Q45" s="947"/>
      <c r="R45" s="948"/>
      <c r="S45" s="939"/>
      <c r="T45" s="51"/>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row>
    <row r="46" spans="1:45" ht="18.75" customHeight="1">
      <c r="A46" s="50"/>
      <c r="B46" s="51"/>
      <c r="C46" s="55"/>
      <c r="D46" s="938"/>
      <c r="E46" s="940"/>
      <c r="F46" s="940"/>
      <c r="G46" s="940"/>
      <c r="H46" s="955"/>
      <c r="I46" s="940"/>
      <c r="J46" s="940"/>
      <c r="K46" s="940"/>
      <c r="L46" s="940"/>
      <c r="M46" s="940"/>
      <c r="N46" s="940"/>
      <c r="O46" s="940"/>
      <c r="P46" s="940"/>
      <c r="Q46" s="940"/>
      <c r="R46" s="404"/>
      <c r="S46" s="939"/>
      <c r="T46" s="51"/>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row>
    <row r="47" spans="1:45" ht="18.75" customHeight="1">
      <c r="A47" s="50"/>
      <c r="B47" s="51"/>
      <c r="C47" s="55"/>
      <c r="D47" s="938"/>
      <c r="E47" s="940"/>
      <c r="F47" s="940"/>
      <c r="G47" s="940"/>
      <c r="H47" s="955"/>
      <c r="I47" s="940"/>
      <c r="J47" s="940"/>
      <c r="K47" s="940"/>
      <c r="L47" s="940"/>
      <c r="M47" s="940"/>
      <c r="N47" s="940"/>
      <c r="O47" s="940"/>
      <c r="P47" s="940"/>
      <c r="Q47" s="940"/>
      <c r="R47" s="404"/>
      <c r="S47" s="939"/>
      <c r="T47" s="51"/>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row>
    <row r="48" spans="1:45" ht="18.75" customHeight="1">
      <c r="A48" s="50"/>
      <c r="B48" s="51"/>
      <c r="C48" s="55"/>
      <c r="D48" s="938"/>
      <c r="E48" s="940"/>
      <c r="F48" s="940"/>
      <c r="G48" s="940"/>
      <c r="H48" s="955"/>
      <c r="I48" s="940"/>
      <c r="J48" s="940"/>
      <c r="K48" s="940"/>
      <c r="L48" s="940"/>
      <c r="M48" s="940"/>
      <c r="N48" s="940"/>
      <c r="O48" s="940"/>
      <c r="P48" s="940"/>
      <c r="Q48" s="940"/>
      <c r="R48" s="404"/>
      <c r="S48" s="939"/>
      <c r="T48" s="51"/>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row>
    <row r="49" spans="1:45" ht="18.75" customHeight="1">
      <c r="A49" s="50"/>
      <c r="B49" s="51"/>
      <c r="C49" s="55"/>
      <c r="D49" s="938"/>
      <c r="E49" s="940"/>
      <c r="F49" s="940"/>
      <c r="G49" s="940"/>
      <c r="H49" s="955"/>
      <c r="I49" s="940"/>
      <c r="J49" s="940"/>
      <c r="K49" s="940"/>
      <c r="L49" s="940"/>
      <c r="M49" s="940"/>
      <c r="N49" s="940"/>
      <c r="O49" s="940"/>
      <c r="P49" s="940"/>
      <c r="Q49" s="940"/>
      <c r="R49" s="404"/>
      <c r="S49" s="939"/>
      <c r="T49" s="51"/>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row>
    <row r="50" spans="1:45" ht="18.75" customHeight="1">
      <c r="A50" s="50"/>
      <c r="B50" s="51"/>
      <c r="C50" s="55"/>
      <c r="D50" s="1040"/>
      <c r="E50" s="1041"/>
      <c r="F50" s="1041"/>
      <c r="G50" s="1041"/>
      <c r="H50" s="1041"/>
      <c r="I50" s="1041"/>
      <c r="J50" s="1041"/>
      <c r="K50" s="1041"/>
      <c r="L50" s="1041"/>
      <c r="M50" s="1041"/>
      <c r="N50" s="1041"/>
      <c r="O50" s="1041"/>
      <c r="P50" s="1041"/>
      <c r="Q50" s="1041"/>
      <c r="R50" s="1042"/>
      <c r="S50" s="939"/>
      <c r="T50" s="51"/>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row>
    <row r="51" spans="1:45" ht="18.75" customHeight="1" thickBot="1">
      <c r="A51" s="50"/>
      <c r="B51" s="51"/>
      <c r="C51" s="55"/>
      <c r="D51" s="941"/>
      <c r="E51" s="405"/>
      <c r="F51" s="405"/>
      <c r="G51" s="405"/>
      <c r="H51" s="405"/>
      <c r="I51" s="405"/>
      <c r="J51" s="405"/>
      <c r="K51" s="405"/>
      <c r="L51" s="405"/>
      <c r="M51" s="405"/>
      <c r="N51" s="405"/>
      <c r="O51" s="405"/>
      <c r="P51" s="405"/>
      <c r="Q51" s="405"/>
      <c r="R51" s="406"/>
      <c r="S51" s="939"/>
      <c r="T51" s="51"/>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row>
    <row r="52" spans="1:45" ht="7.5" customHeight="1">
      <c r="A52" s="50"/>
      <c r="B52" s="51"/>
      <c r="C52" s="55"/>
      <c r="D52" s="1041"/>
      <c r="E52" s="1041"/>
      <c r="F52" s="1041"/>
      <c r="G52" s="1041"/>
      <c r="H52" s="1041"/>
      <c r="I52" s="1041"/>
      <c r="J52" s="1041"/>
      <c r="K52" s="1041"/>
      <c r="L52" s="1041"/>
      <c r="M52" s="1041"/>
      <c r="N52" s="1041"/>
      <c r="O52" s="1041"/>
      <c r="P52" s="1041"/>
      <c r="Q52" s="1041"/>
      <c r="R52" s="1041"/>
      <c r="S52" s="939"/>
      <c r="T52" s="51"/>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row>
    <row r="53" spans="1:45" ht="7.5" customHeight="1">
      <c r="A53" s="50"/>
      <c r="B53" s="51"/>
      <c r="C53" s="63"/>
      <c r="D53" s="956"/>
      <c r="E53" s="956"/>
      <c r="F53" s="956"/>
      <c r="G53" s="956"/>
      <c r="H53" s="956"/>
      <c r="I53" s="956"/>
      <c r="J53" s="1044"/>
      <c r="K53" s="1044"/>
      <c r="L53" s="1044"/>
      <c r="M53" s="1044"/>
      <c r="N53" s="1044"/>
      <c r="O53" s="956"/>
      <c r="P53" s="956"/>
      <c r="Q53" s="956"/>
      <c r="R53" s="956"/>
      <c r="S53" s="957"/>
      <c r="T53" s="51"/>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row>
    <row r="54" spans="1:45" ht="3.75" customHeight="1">
      <c r="A54" s="50"/>
      <c r="B54" s="51"/>
      <c r="C54" s="51"/>
      <c r="D54" s="51"/>
      <c r="E54" s="51"/>
      <c r="F54" s="51"/>
      <c r="G54" s="51"/>
      <c r="H54" s="51"/>
      <c r="I54" s="51"/>
      <c r="J54" s="51"/>
      <c r="K54" s="51"/>
      <c r="L54" s="51"/>
      <c r="M54" s="51"/>
      <c r="N54" s="51"/>
      <c r="O54" s="51"/>
      <c r="P54" s="51"/>
      <c r="Q54" s="51"/>
      <c r="R54" s="51"/>
      <c r="S54" s="51"/>
      <c r="T54" s="51"/>
      <c r="U54" s="50"/>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row>
    <row r="55" spans="1:45">
      <c r="A55" s="49"/>
      <c r="B55" s="50"/>
      <c r="C55" s="49"/>
      <c r="D55" s="49"/>
      <c r="E55" s="49"/>
      <c r="F55" s="49"/>
      <c r="G55" s="49"/>
      <c r="H55" s="49"/>
      <c r="I55" s="49"/>
      <c r="J55" s="49"/>
      <c r="K55" s="49"/>
      <c r="L55" s="49"/>
      <c r="M55" s="49"/>
      <c r="N55" s="49"/>
      <c r="O55" s="49"/>
      <c r="P55" s="49"/>
      <c r="Q55" s="49"/>
      <c r="R55" s="49"/>
      <c r="S55" s="49"/>
      <c r="T55" s="50"/>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row>
    <row r="56" spans="1:45">
      <c r="A56" s="64"/>
      <c r="B56" s="49"/>
      <c r="C56" s="49"/>
      <c r="D56" s="49"/>
      <c r="E56" s="49"/>
      <c r="F56" s="49"/>
      <c r="G56" s="49"/>
      <c r="H56" s="49"/>
      <c r="I56" s="49"/>
      <c r="J56" s="49"/>
      <c r="K56" s="49"/>
      <c r="L56" s="49"/>
      <c r="M56" s="49"/>
      <c r="N56" s="49"/>
      <c r="O56" s="49"/>
      <c r="P56" s="49"/>
      <c r="Q56" s="49"/>
      <c r="R56" s="49"/>
      <c r="S56" s="49"/>
      <c r="T56" s="50"/>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row>
    <row r="57" spans="1:45">
      <c r="A57" s="49"/>
      <c r="B57" s="49"/>
      <c r="C57" s="49"/>
      <c r="D57" s="49"/>
      <c r="E57" s="49"/>
      <c r="F57" s="49"/>
      <c r="G57" s="49"/>
      <c r="H57" s="49"/>
      <c r="I57" s="49"/>
      <c r="J57" s="49"/>
      <c r="K57" s="49"/>
      <c r="L57" s="49"/>
      <c r="M57" s="49"/>
      <c r="N57" s="49"/>
      <c r="O57" s="49"/>
      <c r="P57" s="49"/>
      <c r="Q57" s="49"/>
      <c r="R57" s="49"/>
      <c r="S57" s="49"/>
      <c r="T57" s="50"/>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row>
    <row r="58" spans="1:45">
      <c r="A58" s="49"/>
      <c r="B58" s="49"/>
      <c r="C58" s="49"/>
      <c r="D58" s="49"/>
      <c r="E58" s="49"/>
      <c r="F58" s="49"/>
      <c r="G58" s="49"/>
      <c r="H58" s="49"/>
      <c r="I58" s="49"/>
      <c r="J58" s="49"/>
      <c r="K58" s="49"/>
      <c r="L58" s="49"/>
      <c r="M58" s="49"/>
      <c r="N58" s="49"/>
      <c r="O58" s="49"/>
      <c r="P58" s="49"/>
      <c r="Q58" s="49"/>
      <c r="R58" s="49"/>
      <c r="S58" s="49"/>
      <c r="T58" s="50"/>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row>
    <row r="59" spans="1:45">
      <c r="A59" s="49"/>
      <c r="B59" s="49"/>
      <c r="C59" s="49"/>
      <c r="D59" s="49"/>
      <c r="E59" s="49"/>
      <c r="F59" s="49"/>
      <c r="G59" s="49"/>
      <c r="H59" s="49"/>
      <c r="I59" s="49"/>
      <c r="J59" s="49"/>
      <c r="K59" s="49"/>
      <c r="L59" s="49"/>
      <c r="M59" s="49"/>
      <c r="N59" s="49"/>
      <c r="O59" s="49"/>
      <c r="P59" s="49"/>
      <c r="Q59" s="49"/>
      <c r="R59" s="49"/>
      <c r="S59" s="49"/>
      <c r="T59" s="50"/>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row>
    <row r="60" spans="1:4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row>
    <row r="61" spans="1:4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row>
    <row r="62" spans="1:4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row>
    <row r="63" spans="1:4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row>
    <row r="64" spans="1:4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row>
    <row r="65" spans="1:4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row>
    <row r="66" spans="1:4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row>
    <row r="67" spans="1:4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row>
    <row r="68" spans="1:4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row>
    <row r="69" spans="1:4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row>
    <row r="70" spans="1:4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row>
    <row r="71" spans="1:4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row>
    <row r="72" spans="1:4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row>
    <row r="73" spans="1:4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row>
    <row r="74" spans="1:4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row>
    <row r="75" spans="1:4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row>
    <row r="76" spans="1:4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row>
    <row r="77" spans="1:4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row>
    <row r="78" spans="1:4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row>
    <row r="79" spans="1:4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row>
    <row r="80" spans="1:4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row>
    <row r="81" spans="1:4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row>
    <row r="82" spans="1:4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row>
    <row r="83" spans="1:4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row>
    <row r="84" spans="1:4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row>
    <row r="85" spans="1:4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row>
    <row r="86" spans="1:4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row>
    <row r="87" spans="1:4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row>
    <row r="88" spans="1:4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row>
    <row r="89" spans="1:4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row>
    <row r="90" spans="1:4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row>
    <row r="91" spans="1:4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row>
    <row r="92" spans="1:4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row>
    <row r="93" spans="1:4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row>
  </sheetData>
  <sheetProtection password="F66A" sheet="1"/>
  <hyperlinks>
    <hyperlink ref="M16" location="'Quick Start'!A1" display="'Quick Start'!A1"/>
    <hyperlink ref="M17" location="'Index'!A1" display="'Index'!A1"/>
    <hyperlink ref="M18" location="'Summary 01'!A1" display="'Summary 01'!A1"/>
    <hyperlink ref="M19" location="'Summary 02'!A1" display="'Summary 02'!A1"/>
    <hyperlink ref="M20" location="'Summary 03'!A1" display="'Summary 03'!A1"/>
    <hyperlink ref="M21" location="'Summary 04'!A1" display="'Summary 04'!A1"/>
    <hyperlink ref="M22" location="'Inputs'!A1" display="'Inputs'!A1"/>
    <hyperlink ref="M23" location="'Sales'!A1" display="'Sales'!A1"/>
    <hyperlink ref="M24" location="'Human Resources'!A1" display="'Human Resources'!A1"/>
    <hyperlink ref="M25" location="'Costs 01'!A1" display="'Costs 01'!A1"/>
    <hyperlink ref="M26" location="'Costs 02'!A1" display="'Costs 02'!A1"/>
    <hyperlink ref="M27" location="'Costs 03'!A1" display="'Costs 03'!A1"/>
    <hyperlink ref="M28" location="'Capex'!A1" display="'Capex'!A1"/>
    <hyperlink ref="M29" location="'Financing'!A1" display="'Financing'!A1"/>
    <hyperlink ref="M30" location="'IFS'!A1" display="'IFS'!A1"/>
    <hyperlink ref="M31" location="'Debtors+Creditors'!A1" display="'Debtors+Creditors'!A1"/>
    <hyperlink ref="M32" location="'Taxes'!A1" display="'Taxes'!A1"/>
    <hyperlink ref="M33" location="'Timing'!A1" display="'Timing'!A1"/>
    <hyperlink ref="M34" location="'Formats'!A1" display="'Formats'!A1"/>
  </hyperlinks>
  <printOptions horizontalCentered="1"/>
  <pageMargins left="0.70866141732283472" right="0.70866141732283472" top="0.59055118110236227" bottom="0.59055118110236227" header="0.31496062992125984" footer="0.31496062992125984"/>
  <pageSetup paperSize="9" scale="56" orientation="landscape" r:id="rId1"/>
  <headerFooter>
    <oddHeader>&amp;R&amp;G</oddHeader>
    <oddFooter>&amp;Lwww.excel-financial-model.com&amp;C&amp;A&amp;Rpage &amp;P of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Uebersicht01">
    <tabColor rgb="FFFF0000"/>
  </sheetPr>
  <dimension ref="A1:BR483"/>
  <sheetViews>
    <sheetView showGridLines="0" zoomScaleNormal="100" zoomScaleSheetLayoutView="100" workbookViewId="0"/>
  </sheetViews>
  <sheetFormatPr baseColWidth="10" defaultColWidth="0" defaultRowHeight="12.75" outlineLevelRow="1"/>
  <cols>
    <col min="1" max="1" width="5.140625" style="203" customWidth="1"/>
    <col min="2" max="2" width="5.5703125" style="203" customWidth="1"/>
    <col min="3" max="3" width="5.7109375" style="203" customWidth="1"/>
    <col min="4" max="4" width="5.85546875" style="203" customWidth="1"/>
    <col min="5" max="6" width="6.42578125" style="203" customWidth="1"/>
    <col min="7" max="7" width="5.7109375" style="203" customWidth="1"/>
    <col min="8" max="8" width="6.5703125" style="203" customWidth="1"/>
    <col min="9" max="9" width="5.7109375" style="203" customWidth="1"/>
    <col min="10" max="10" width="6.140625" style="203" customWidth="1"/>
    <col min="11" max="11" width="5.7109375" style="203" customWidth="1"/>
    <col min="12" max="12" width="6.28515625" style="203" customWidth="1"/>
    <col min="13" max="13" width="6.5703125" style="203" customWidth="1"/>
    <col min="14" max="14" width="5.28515625" style="203" customWidth="1"/>
    <col min="15" max="15" width="5.7109375" style="203" customWidth="1"/>
    <col min="16" max="16" width="6" style="203" customWidth="1"/>
    <col min="17" max="17" width="5.7109375" style="203" customWidth="1"/>
    <col min="18" max="18" width="6" style="203" customWidth="1"/>
    <col min="19" max="19" width="5.7109375" style="203" customWidth="1"/>
    <col min="20" max="23" width="5" style="203" customWidth="1"/>
    <col min="24" max="24" width="4.5703125" style="203" customWidth="1"/>
    <col min="25" max="25" width="5.28515625" style="203" customWidth="1"/>
    <col min="26" max="26" width="5.85546875" style="203" customWidth="1"/>
    <col min="27" max="27" width="7.140625" style="203" customWidth="1"/>
    <col min="28" max="28" width="6.140625" style="203" customWidth="1"/>
    <col min="29" max="29" width="5.28515625" style="203" customWidth="1"/>
    <col min="30" max="30" width="5.7109375" style="203" customWidth="1"/>
    <col min="31" max="31" width="5.42578125" style="203" customWidth="1"/>
    <col min="32" max="32" width="5" style="203" customWidth="1"/>
    <col min="33" max="33" width="6.140625" style="203" customWidth="1"/>
    <col min="34" max="34" width="5.140625" style="203" customWidth="1"/>
    <col min="35" max="35" width="6" style="203" customWidth="1"/>
    <col min="36" max="36" width="5.42578125" style="203" customWidth="1"/>
    <col min="37" max="38" width="5.5703125" style="203" customWidth="1"/>
    <col min="39" max="39" width="5.85546875" style="203" customWidth="1"/>
    <col min="40" max="40" width="5.42578125" style="203" customWidth="1"/>
    <col min="41" max="44" width="5" style="203" customWidth="1"/>
    <col min="45" max="45" width="8.28515625" style="203" customWidth="1"/>
    <col min="46" max="47" width="5" style="203" customWidth="1"/>
    <col min="48" max="48" width="5.28515625" style="203" customWidth="1"/>
    <col min="49" max="49" width="44.28515625" style="203" customWidth="1"/>
    <col min="50" max="61" width="16.140625" style="203" customWidth="1"/>
    <col min="62" max="62" width="11.42578125" style="203" customWidth="1"/>
    <col min="63" max="63" width="5.28515625" style="203" customWidth="1"/>
    <col min="64" max="70" width="0" style="203" hidden="1" customWidth="1"/>
    <col min="71" max="16384" width="11.42578125" style="203" hidden="1"/>
  </cols>
  <sheetData>
    <row r="1" spans="1:45" ht="20.25">
      <c r="A1" s="193"/>
      <c r="B1" s="193"/>
      <c r="C1" s="193" t="str">
        <f>"Financial Forecast - "&amp;Name_Company</f>
        <v>Financial Forecast - X-ample Computech Ltd.</v>
      </c>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252"/>
      <c r="AO1" s="193"/>
      <c r="AP1" s="192"/>
      <c r="AQ1" s="251"/>
      <c r="AR1" s="251"/>
      <c r="AS1" s="251"/>
    </row>
    <row r="2" spans="1:45" ht="17.25" customHeight="1">
      <c r="A2" s="190"/>
      <c r="B2" s="190"/>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c r="AK2" s="191"/>
      <c r="AL2" s="191"/>
      <c r="AM2" s="191"/>
      <c r="AN2" s="191"/>
      <c r="AO2" s="191"/>
      <c r="AP2" s="126"/>
    </row>
    <row r="3" spans="1:45" ht="17.25" customHeight="1">
      <c r="A3" s="909"/>
      <c r="B3" s="190"/>
      <c r="C3" s="265" t="str">
        <f>Timing!C2</f>
        <v>Model: 5 Year Forecast</v>
      </c>
      <c r="D3" s="186"/>
      <c r="E3" s="253"/>
      <c r="F3" s="185"/>
      <c r="G3" s="253"/>
      <c r="H3" s="253"/>
      <c r="I3" s="196"/>
      <c r="J3" s="646" t="s">
        <v>148</v>
      </c>
      <c r="K3" s="196"/>
      <c r="L3" s="196"/>
      <c r="M3" s="196"/>
      <c r="N3" s="196"/>
      <c r="O3" s="196"/>
      <c r="P3" s="196"/>
      <c r="Q3" s="196"/>
      <c r="R3" s="196"/>
      <c r="S3" s="267" t="s">
        <v>665</v>
      </c>
      <c r="T3" s="196"/>
      <c r="U3" s="196" t="str">
        <f>Name_Company</f>
        <v>X-ample Computech Ltd.</v>
      </c>
      <c r="V3" s="196"/>
      <c r="W3" s="196"/>
      <c r="X3" s="253"/>
      <c r="Y3" s="253"/>
      <c r="Z3" s="253"/>
      <c r="AA3" s="253"/>
      <c r="AB3" s="253"/>
      <c r="AC3" s="253"/>
      <c r="AD3" s="187" t="s">
        <v>667</v>
      </c>
      <c r="AE3" s="196"/>
      <c r="AF3" s="196" t="str">
        <f ca="1">Name_File</f>
        <v>EFM_Classic_Economy_Free_Version (an Alex 002).xlsx</v>
      </c>
      <c r="AG3" s="196"/>
      <c r="AH3" s="196"/>
      <c r="AI3" s="196"/>
      <c r="AJ3" s="196"/>
      <c r="AK3" s="196"/>
      <c r="AL3" s="196"/>
      <c r="AM3" s="253"/>
      <c r="AN3" s="192"/>
      <c r="AO3" s="191"/>
      <c r="AP3" s="126"/>
    </row>
    <row r="4" spans="1:45" ht="17.25" customHeight="1">
      <c r="A4" s="909"/>
      <c r="B4" s="191"/>
      <c r="C4" s="265" t="str">
        <f>Timing!C3</f>
        <v>Model Integrity:</v>
      </c>
      <c r="D4" s="253"/>
      <c r="E4" s="253"/>
      <c r="F4" s="185"/>
      <c r="G4" s="648">
        <f ca="1">Timing!D3</f>
        <v>0</v>
      </c>
      <c r="H4" s="648"/>
      <c r="I4" s="188"/>
      <c r="J4" s="646" t="s">
        <v>149</v>
      </c>
      <c r="K4" s="196"/>
      <c r="L4" s="196"/>
      <c r="M4" s="196"/>
      <c r="N4" s="196"/>
      <c r="O4" s="196"/>
      <c r="P4" s="196"/>
      <c r="Q4" s="196"/>
      <c r="R4" s="196"/>
      <c r="S4" s="189" t="s">
        <v>666</v>
      </c>
      <c r="T4" s="198"/>
      <c r="U4" s="197" t="str">
        <f>Name_Model</f>
        <v>5 Year Forecast</v>
      </c>
      <c r="V4" s="196"/>
      <c r="W4" s="196"/>
      <c r="X4" s="253"/>
      <c r="Y4" s="253"/>
      <c r="Z4" s="253"/>
      <c r="AA4" s="253"/>
      <c r="AB4" s="253"/>
      <c r="AC4" s="253"/>
      <c r="AD4" s="189" t="s">
        <v>668</v>
      </c>
      <c r="AE4" s="198"/>
      <c r="AF4" s="1137">
        <f>Inputs!F13</f>
        <v>42745</v>
      </c>
      <c r="AG4" s="1138"/>
      <c r="AH4" s="1138"/>
      <c r="AI4" s="196"/>
      <c r="AJ4" s="196"/>
      <c r="AK4" s="196"/>
      <c r="AL4" s="196"/>
      <c r="AM4" s="253"/>
      <c r="AN4" s="192"/>
      <c r="AO4" s="191"/>
      <c r="AP4" s="126"/>
    </row>
    <row r="5" spans="1:45" ht="17.25" customHeight="1">
      <c r="A5" s="909"/>
      <c r="B5" s="191"/>
      <c r="C5" s="266"/>
      <c r="D5" s="251"/>
      <c r="E5" s="251"/>
      <c r="F5" s="251"/>
      <c r="G5" s="251"/>
      <c r="H5" s="251"/>
      <c r="I5" s="196"/>
      <c r="J5" s="196"/>
      <c r="K5" s="196"/>
      <c r="L5" s="196"/>
      <c r="M5" s="196"/>
      <c r="N5" s="196"/>
      <c r="O5" s="196"/>
      <c r="P5" s="196"/>
      <c r="Q5" s="196"/>
      <c r="R5" s="196"/>
      <c r="S5" s="196"/>
      <c r="T5" s="196"/>
      <c r="U5" s="251"/>
      <c r="V5" s="251"/>
      <c r="W5" s="251"/>
      <c r="X5" s="251"/>
      <c r="Y5" s="251"/>
      <c r="Z5" s="251"/>
      <c r="AA5" s="251"/>
      <c r="AB5" s="251"/>
      <c r="AC5" s="251"/>
      <c r="AD5" s="251"/>
      <c r="AE5" s="196"/>
      <c r="AF5" s="196"/>
      <c r="AG5" s="196"/>
      <c r="AH5" s="196"/>
      <c r="AI5" s="196"/>
      <c r="AJ5" s="196"/>
      <c r="AK5" s="196"/>
      <c r="AL5" s="196"/>
      <c r="AM5" s="251"/>
      <c r="AN5" s="192"/>
      <c r="AO5" s="191"/>
      <c r="AP5" s="126"/>
    </row>
    <row r="6" spans="1:45" ht="17.25" customHeight="1">
      <c r="A6" s="909"/>
      <c r="B6" s="184"/>
      <c r="C6" s="229"/>
      <c r="D6" s="184"/>
      <c r="E6" s="184"/>
      <c r="F6" s="184"/>
      <c r="G6" s="909"/>
      <c r="H6" s="909"/>
      <c r="I6" s="909"/>
      <c r="J6" s="909"/>
      <c r="K6" s="909"/>
      <c r="L6" s="909"/>
      <c r="M6" s="909"/>
      <c r="N6" s="909"/>
      <c r="O6" s="909"/>
      <c r="P6" s="909"/>
      <c r="Q6" s="909"/>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26"/>
    </row>
    <row r="7" spans="1:45" ht="17.25" customHeight="1">
      <c r="A7" s="909"/>
      <c r="B7" s="184"/>
      <c r="C7" s="2" t="s">
        <v>673</v>
      </c>
      <c r="P7" s="184"/>
      <c r="Q7" s="184"/>
      <c r="R7" s="184"/>
      <c r="S7" s="184"/>
      <c r="T7" s="184"/>
      <c r="U7" s="184"/>
      <c r="V7" s="2" t="s">
        <v>672</v>
      </c>
      <c r="AN7" s="126"/>
      <c r="AO7" s="184"/>
      <c r="AP7" s="126"/>
    </row>
    <row r="8" spans="1:45" ht="17.25" customHeight="1">
      <c r="A8" s="909"/>
      <c r="B8" s="571"/>
      <c r="C8" s="570"/>
      <c r="D8" s="570"/>
      <c r="E8" s="570"/>
      <c r="F8" s="570"/>
      <c r="G8" s="570"/>
      <c r="H8" s="570"/>
      <c r="I8" s="570"/>
      <c r="J8" s="570"/>
      <c r="K8" s="570"/>
      <c r="L8" s="570"/>
      <c r="M8" s="570"/>
      <c r="N8" s="570"/>
      <c r="O8" s="570"/>
      <c r="P8" s="571"/>
      <c r="Q8" s="184"/>
      <c r="R8" s="184"/>
      <c r="S8" s="184"/>
      <c r="T8" s="184"/>
      <c r="U8" s="184"/>
      <c r="AN8" s="126"/>
      <c r="AO8" s="184"/>
      <c r="AP8" s="126"/>
    </row>
    <row r="9" spans="1:45" ht="17.25" customHeight="1">
      <c r="A9" s="909"/>
      <c r="B9" s="571"/>
      <c r="C9" s="578" t="s">
        <v>672</v>
      </c>
      <c r="D9" s="578"/>
      <c r="E9" s="578"/>
      <c r="F9" s="578"/>
      <c r="G9" s="578"/>
      <c r="H9" s="578"/>
      <c r="I9" s="578"/>
      <c r="J9" s="459" t="str">
        <f>"in " &amp;Currency_Label</f>
        <v>in USD</v>
      </c>
      <c r="K9" s="578"/>
      <c r="L9" s="578"/>
      <c r="M9" s="459" t="s">
        <v>47</v>
      </c>
      <c r="N9" s="578"/>
      <c r="O9" s="578"/>
      <c r="P9" s="571"/>
      <c r="Q9" s="184"/>
      <c r="R9" s="184"/>
      <c r="S9" s="184"/>
      <c r="T9" s="184"/>
      <c r="U9" s="184"/>
      <c r="AN9" s="126"/>
      <c r="AO9" s="184"/>
      <c r="AP9" s="126"/>
    </row>
    <row r="10" spans="1:45" ht="12" customHeight="1">
      <c r="A10" s="909"/>
      <c r="B10" s="571"/>
      <c r="C10" s="570"/>
      <c r="D10" s="570"/>
      <c r="E10" s="570"/>
      <c r="F10" s="570"/>
      <c r="G10" s="570"/>
      <c r="H10" s="570"/>
      <c r="I10" s="570"/>
      <c r="J10" s="570"/>
      <c r="K10" s="570"/>
      <c r="L10" s="570"/>
      <c r="M10" s="570"/>
      <c r="N10" s="570"/>
      <c r="O10" s="570"/>
      <c r="P10" s="571"/>
      <c r="Q10" s="184"/>
      <c r="R10" s="184"/>
      <c r="S10" s="184"/>
      <c r="T10" s="184"/>
      <c r="U10" s="184"/>
      <c r="AN10" s="126"/>
      <c r="AO10" s="184"/>
      <c r="AP10" s="126"/>
    </row>
    <row r="11" spans="1:45" ht="15" customHeight="1">
      <c r="A11" s="909"/>
      <c r="B11" s="571"/>
      <c r="C11" s="572" t="s">
        <v>671</v>
      </c>
      <c r="D11" s="571"/>
      <c r="E11" s="571"/>
      <c r="F11" s="571"/>
      <c r="G11" s="571"/>
      <c r="H11" s="571"/>
      <c r="I11" s="571"/>
      <c r="J11" s="579">
        <f ca="1">SUM(J12:J12)</f>
        <v>75000</v>
      </c>
      <c r="K11" s="580"/>
      <c r="L11" s="580"/>
      <c r="M11" s="581">
        <f t="shared" ref="M11:M18" ca="1" si="0">IFERROR(J11/J$19,0)</f>
        <v>0.26234799581548146</v>
      </c>
      <c r="N11" s="581"/>
      <c r="O11" s="581"/>
      <c r="P11" s="571"/>
      <c r="Q11" s="184"/>
      <c r="R11" s="184"/>
      <c r="S11" s="184"/>
      <c r="T11" s="184"/>
      <c r="U11" s="184"/>
      <c r="AN11" s="126"/>
      <c r="AO11" s="184"/>
      <c r="AP11" s="126"/>
    </row>
    <row r="12" spans="1:45" ht="17.25" customHeight="1">
      <c r="A12" s="909"/>
      <c r="B12" s="571"/>
      <c r="C12" s="40" t="s">
        <v>683</v>
      </c>
      <c r="D12" s="570"/>
      <c r="E12" s="570"/>
      <c r="F12" s="570"/>
      <c r="G12" s="570"/>
      <c r="H12" s="570"/>
      <c r="I12" s="570"/>
      <c r="J12" s="582">
        <f ca="1">Financing!I42</f>
        <v>75000</v>
      </c>
      <c r="K12" s="583"/>
      <c r="L12" s="583"/>
      <c r="M12" s="584">
        <f t="shared" ca="1" si="0"/>
        <v>0.26234799581548146</v>
      </c>
      <c r="N12" s="584"/>
      <c r="O12" s="584"/>
      <c r="P12" s="571"/>
      <c r="Q12" s="184"/>
      <c r="R12" s="184"/>
      <c r="S12" s="184"/>
      <c r="T12" s="184"/>
      <c r="U12" s="184"/>
      <c r="AN12" s="126"/>
      <c r="AO12" s="184"/>
      <c r="AP12" s="126"/>
    </row>
    <row r="13" spans="1:45" ht="17.25" customHeight="1">
      <c r="A13" s="909"/>
      <c r="B13" s="571"/>
      <c r="C13" s="572" t="s">
        <v>670</v>
      </c>
      <c r="D13" s="571"/>
      <c r="E13" s="571"/>
      <c r="F13" s="571"/>
      <c r="G13" s="571"/>
      <c r="H13" s="571"/>
      <c r="I13" s="571"/>
      <c r="J13" s="579">
        <f ca="1">SUM(J14:J18)</f>
        <v>210879.82830541662</v>
      </c>
      <c r="K13" s="580"/>
      <c r="L13" s="580"/>
      <c r="M13" s="581">
        <f t="shared" ca="1" si="0"/>
        <v>0.73765200418451848</v>
      </c>
      <c r="N13" s="581"/>
      <c r="O13" s="581"/>
      <c r="P13" s="571"/>
      <c r="Q13" s="184"/>
      <c r="R13" s="184"/>
      <c r="S13" s="184"/>
      <c r="T13" s="184"/>
      <c r="U13" s="184"/>
      <c r="AN13" s="126"/>
      <c r="AO13" s="184"/>
      <c r="AP13" s="126"/>
    </row>
    <row r="14" spans="1:45" ht="17.25" customHeight="1">
      <c r="A14" s="909"/>
      <c r="B14" s="571"/>
      <c r="C14" s="570" t="str">
        <f>"Debt: "&amp;Inputs!$F$99</f>
        <v>Debt: UL Bank</v>
      </c>
      <c r="D14" s="570"/>
      <c r="E14" s="570"/>
      <c r="F14" s="570"/>
      <c r="G14" s="570"/>
      <c r="H14" s="570"/>
      <c r="I14" s="570"/>
      <c r="J14" s="582">
        <f ca="1">Financing!I45</f>
        <v>80000</v>
      </c>
      <c r="K14" s="583"/>
      <c r="L14" s="583"/>
      <c r="M14" s="584">
        <f t="shared" ca="1" si="0"/>
        <v>0.27983786220318024</v>
      </c>
      <c r="N14" s="584"/>
      <c r="O14" s="584"/>
      <c r="P14" s="571"/>
      <c r="Q14" s="184"/>
      <c r="R14" s="184"/>
      <c r="S14" s="184"/>
      <c r="T14" s="184"/>
      <c r="U14" s="184"/>
      <c r="AN14" s="126"/>
      <c r="AO14" s="184"/>
      <c r="AP14" s="126"/>
    </row>
    <row r="15" spans="1:45" ht="17.25" customHeight="1">
      <c r="A15" s="909"/>
      <c r="B15" s="571"/>
      <c r="C15" s="570" t="str">
        <f>"Debt: "&amp;Inputs!$F$118</f>
        <v>Debt: HSBC Bank</v>
      </c>
      <c r="D15" s="570"/>
      <c r="E15" s="570"/>
      <c r="F15" s="570"/>
      <c r="G15" s="570"/>
      <c r="H15" s="570"/>
      <c r="I15" s="570"/>
      <c r="J15" s="582">
        <f>Financing!I49</f>
        <v>40000</v>
      </c>
      <c r="K15" s="583"/>
      <c r="L15" s="583"/>
      <c r="M15" s="584">
        <f t="shared" ca="1" si="0"/>
        <v>0.13991893110159012</v>
      </c>
      <c r="N15" s="584"/>
      <c r="O15" s="584"/>
      <c r="P15" s="571"/>
      <c r="Q15" s="184"/>
      <c r="R15" s="184"/>
      <c r="S15" s="184"/>
      <c r="T15" s="184"/>
      <c r="U15" s="184"/>
      <c r="AN15" s="126"/>
      <c r="AO15" s="184"/>
      <c r="AP15" s="126"/>
    </row>
    <row r="16" spans="1:45" ht="17.25" customHeight="1">
      <c r="A16" s="909"/>
      <c r="B16" s="571"/>
      <c r="C16" s="570" t="str">
        <f>"Debt: "&amp;Inputs!$F$123</f>
        <v>Debt: UBS</v>
      </c>
      <c r="D16" s="570"/>
      <c r="E16" s="570"/>
      <c r="F16" s="570"/>
      <c r="G16" s="570"/>
      <c r="H16" s="570"/>
      <c r="I16" s="570"/>
      <c r="J16" s="582">
        <f>Financing!I54</f>
        <v>60000</v>
      </c>
      <c r="K16" s="583"/>
      <c r="L16" s="583"/>
      <c r="M16" s="584">
        <f t="shared" ca="1" si="0"/>
        <v>0.20987839665238517</v>
      </c>
      <c r="N16" s="584"/>
      <c r="O16" s="584"/>
      <c r="P16" s="571"/>
      <c r="Q16" s="184"/>
      <c r="R16" s="184"/>
      <c r="S16" s="184"/>
      <c r="T16" s="184"/>
      <c r="U16" s="184"/>
      <c r="AN16" s="126"/>
      <c r="AO16" s="184"/>
      <c r="AP16" s="126"/>
    </row>
    <row r="17" spans="1:43" ht="17.25" customHeight="1">
      <c r="A17" s="909"/>
      <c r="B17" s="571"/>
      <c r="C17" s="570" t="str">
        <f>"Debt: "&amp;Inputs!$F$128</f>
        <v>Debt: Shareholder Loan</v>
      </c>
      <c r="D17" s="570"/>
      <c r="E17" s="570"/>
      <c r="F17" s="570"/>
      <c r="G17" s="570"/>
      <c r="H17" s="570"/>
      <c r="I17" s="570"/>
      <c r="J17" s="582">
        <f>Financing!I59</f>
        <v>7500</v>
      </c>
      <c r="K17" s="583"/>
      <c r="L17" s="583"/>
      <c r="M17" s="584">
        <f t="shared" ca="1" si="0"/>
        <v>2.6234799581548146E-2</v>
      </c>
      <c r="N17" s="584"/>
      <c r="O17" s="584"/>
      <c r="P17" s="571"/>
      <c r="Q17" s="184"/>
      <c r="R17" s="184"/>
      <c r="S17" s="184"/>
      <c r="T17" s="184"/>
      <c r="U17" s="184"/>
      <c r="AN17" s="126"/>
      <c r="AO17" s="184"/>
      <c r="AP17" s="126"/>
    </row>
    <row r="18" spans="1:43" ht="17.25" customHeight="1">
      <c r="A18" s="909"/>
      <c r="B18" s="567"/>
      <c r="C18" s="570" t="s">
        <v>834</v>
      </c>
      <c r="D18" s="570"/>
      <c r="E18" s="570"/>
      <c r="F18" s="570"/>
      <c r="G18" s="570"/>
      <c r="H18" s="570"/>
      <c r="I18" s="570"/>
      <c r="J18" s="582">
        <f ca="1">Financing!H69</f>
        <v>23379.828305416639</v>
      </c>
      <c r="K18" s="583"/>
      <c r="L18" s="583"/>
      <c r="M18" s="584">
        <f t="shared" ca="1" si="0"/>
        <v>8.1782014645814929E-2</v>
      </c>
      <c r="N18" s="584"/>
      <c r="O18" s="584"/>
      <c r="P18" s="571"/>
      <c r="Q18" s="191"/>
      <c r="R18" s="191"/>
      <c r="S18" s="191"/>
      <c r="T18" s="191"/>
      <c r="U18" s="191"/>
      <c r="V18" s="458"/>
      <c r="W18" s="458"/>
      <c r="X18" s="458"/>
      <c r="Y18" s="458"/>
      <c r="Z18" s="458"/>
      <c r="AA18" s="458"/>
      <c r="AB18" s="458"/>
      <c r="AC18" s="458"/>
      <c r="AD18" s="458"/>
      <c r="AE18" s="458"/>
      <c r="AF18" s="458"/>
      <c r="AG18" s="458"/>
      <c r="AH18" s="458"/>
      <c r="AI18" s="458"/>
      <c r="AJ18" s="458"/>
      <c r="AK18" s="458"/>
      <c r="AL18" s="458"/>
      <c r="AM18" s="458"/>
      <c r="AN18" s="192"/>
      <c r="AO18" s="191"/>
      <c r="AP18" s="192"/>
      <c r="AQ18" s="458"/>
    </row>
    <row r="19" spans="1:43" ht="17.25" customHeight="1" thickBot="1">
      <c r="A19" s="909"/>
      <c r="B19" s="567"/>
      <c r="C19" s="585" t="s">
        <v>669</v>
      </c>
      <c r="D19" s="586"/>
      <c r="E19" s="586"/>
      <c r="F19" s="586"/>
      <c r="G19" s="586"/>
      <c r="H19" s="586"/>
      <c r="I19" s="586"/>
      <c r="J19" s="587">
        <f ca="1">J11+J13</f>
        <v>285879.82830541662</v>
      </c>
      <c r="K19" s="588"/>
      <c r="L19" s="588"/>
      <c r="M19" s="589">
        <f ca="1">M11+M13</f>
        <v>1</v>
      </c>
      <c r="N19" s="588"/>
      <c r="O19" s="588"/>
      <c r="P19" s="571"/>
      <c r="Q19" s="191"/>
      <c r="R19" s="191"/>
      <c r="S19" s="191"/>
      <c r="T19" s="191"/>
      <c r="U19" s="191"/>
      <c r="V19" s="458"/>
      <c r="W19" s="458"/>
      <c r="X19" s="458"/>
      <c r="Y19" s="458"/>
      <c r="Z19" s="458"/>
      <c r="AA19" s="458"/>
      <c r="AB19" s="458"/>
      <c r="AC19" s="458"/>
      <c r="AD19" s="458"/>
      <c r="AE19" s="458"/>
      <c r="AF19" s="458"/>
      <c r="AG19" s="458"/>
      <c r="AH19" s="458"/>
      <c r="AI19" s="458"/>
      <c r="AJ19" s="458"/>
      <c r="AK19" s="458"/>
      <c r="AL19" s="458"/>
      <c r="AM19" s="458"/>
      <c r="AN19" s="192"/>
      <c r="AO19" s="191"/>
      <c r="AP19" s="192"/>
      <c r="AQ19" s="458"/>
    </row>
    <row r="20" spans="1:43" ht="7.5" customHeight="1" thickTop="1">
      <c r="A20" s="909"/>
      <c r="B20" s="567"/>
      <c r="C20" s="567"/>
      <c r="D20" s="567"/>
      <c r="E20" s="567"/>
      <c r="F20" s="567"/>
      <c r="G20" s="567"/>
      <c r="H20" s="567"/>
      <c r="I20" s="567"/>
      <c r="J20" s="465"/>
      <c r="K20" s="567"/>
      <c r="L20" s="567"/>
      <c r="M20" s="465"/>
      <c r="N20" s="567"/>
      <c r="O20" s="567"/>
      <c r="P20" s="567"/>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2"/>
      <c r="AQ20" s="458"/>
    </row>
    <row r="21" spans="1:43" ht="7.5" customHeight="1">
      <c r="A21" s="909"/>
      <c r="B21" s="567"/>
      <c r="C21" s="567"/>
      <c r="D21" s="567"/>
      <c r="E21" s="567"/>
      <c r="F21" s="567"/>
      <c r="G21" s="567"/>
      <c r="H21" s="567"/>
      <c r="I21" s="567"/>
      <c r="J21" s="465"/>
      <c r="K21" s="567"/>
      <c r="L21" s="567"/>
      <c r="M21" s="465"/>
      <c r="N21" s="567"/>
      <c r="O21" s="567"/>
      <c r="P21" s="567"/>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2"/>
      <c r="AQ21" s="458"/>
    </row>
    <row r="22" spans="1:43" ht="17.25" customHeight="1">
      <c r="A22" s="909"/>
      <c r="B22" s="567"/>
      <c r="C22" s="194" t="s">
        <v>674</v>
      </c>
      <c r="D22" s="562"/>
      <c r="E22" s="562"/>
      <c r="F22" s="562"/>
      <c r="G22" s="562"/>
      <c r="H22" s="562"/>
      <c r="I22" s="562"/>
      <c r="J22" s="562"/>
      <c r="K22" s="562"/>
      <c r="L22" s="562"/>
      <c r="M22" s="562"/>
      <c r="N22" s="562"/>
      <c r="O22" s="562"/>
      <c r="P22" s="562"/>
      <c r="Q22" s="458"/>
      <c r="R22" s="458"/>
      <c r="S22" s="458"/>
      <c r="T22" s="458"/>
      <c r="U22" s="458"/>
      <c r="V22" s="458"/>
      <c r="W22" s="458"/>
      <c r="X22" s="458"/>
      <c r="Y22" s="458"/>
      <c r="Z22" s="458"/>
      <c r="AA22" s="458"/>
      <c r="AB22" s="458"/>
      <c r="AC22" s="458"/>
      <c r="AD22" s="458"/>
      <c r="AE22" s="458"/>
      <c r="AF22" s="458"/>
      <c r="AG22" s="458"/>
      <c r="AH22" s="458"/>
      <c r="AI22" s="458"/>
      <c r="AJ22" s="458"/>
      <c r="AK22" s="458"/>
      <c r="AL22" s="458"/>
      <c r="AM22" s="458"/>
      <c r="AN22" s="192"/>
      <c r="AO22" s="191"/>
      <c r="AP22" s="192"/>
      <c r="AQ22" s="458"/>
    </row>
    <row r="23" spans="1:43" ht="12" customHeight="1">
      <c r="A23" s="909"/>
      <c r="B23" s="567"/>
      <c r="C23" s="194"/>
      <c r="D23" s="562"/>
      <c r="E23" s="562"/>
      <c r="F23" s="562"/>
      <c r="G23" s="562"/>
      <c r="H23" s="562"/>
      <c r="I23" s="562"/>
      <c r="J23" s="562"/>
      <c r="K23" s="562"/>
      <c r="L23" s="562"/>
      <c r="M23" s="562"/>
      <c r="N23" s="562"/>
      <c r="O23" s="562"/>
      <c r="P23" s="562"/>
      <c r="Q23" s="458"/>
      <c r="R23" s="458"/>
      <c r="S23" s="458"/>
      <c r="T23" s="458"/>
      <c r="U23" s="458"/>
      <c r="V23" s="458"/>
      <c r="W23" s="458"/>
      <c r="X23" s="458"/>
      <c r="Y23" s="458"/>
      <c r="Z23" s="458"/>
      <c r="AA23" s="458"/>
      <c r="AB23" s="458"/>
      <c r="AC23" s="458"/>
      <c r="AD23" s="458"/>
      <c r="AE23" s="458"/>
      <c r="AF23" s="458"/>
      <c r="AG23" s="458"/>
      <c r="AH23" s="458"/>
      <c r="AI23" s="458"/>
      <c r="AJ23" s="458"/>
      <c r="AK23" s="458"/>
      <c r="AL23" s="458"/>
      <c r="AM23" s="458"/>
      <c r="AN23" s="192"/>
      <c r="AO23" s="191"/>
      <c r="AP23" s="192"/>
      <c r="AQ23" s="458"/>
    </row>
    <row r="24" spans="1:43" ht="17.25" customHeight="1">
      <c r="A24" s="909"/>
      <c r="B24" s="567"/>
      <c r="C24" s="562" t="str">
        <f>"Total Funding Requirement (" &amp;Currency_Label &amp;")"</f>
        <v>Total Funding Requirement (USD)</v>
      </c>
      <c r="D24" s="562"/>
      <c r="E24" s="562"/>
      <c r="F24" s="436"/>
      <c r="G24" s="562"/>
      <c r="H24" s="562"/>
      <c r="I24" s="562"/>
      <c r="J24" s="617">
        <f ca="1">J19</f>
        <v>285879.82830541662</v>
      </c>
      <c r="K24" s="618"/>
      <c r="L24" s="618"/>
      <c r="M24" s="619">
        <f ca="1">IFERROR((J25+J26)/J24,0)</f>
        <v>1</v>
      </c>
      <c r="N24" s="619"/>
      <c r="O24" s="562"/>
      <c r="P24" s="562"/>
      <c r="Q24" s="466"/>
      <c r="R24" s="458"/>
      <c r="S24" s="458"/>
      <c r="T24" s="458"/>
      <c r="U24" s="458"/>
      <c r="V24" s="458"/>
      <c r="W24" s="458"/>
      <c r="X24" s="458"/>
      <c r="Y24" s="458"/>
      <c r="Z24" s="458"/>
      <c r="AA24" s="458"/>
      <c r="AB24" s="458"/>
      <c r="AC24" s="458"/>
      <c r="AD24" s="458"/>
      <c r="AE24" s="458"/>
      <c r="AF24" s="458"/>
      <c r="AG24" s="458"/>
      <c r="AH24" s="458"/>
      <c r="AI24" s="458"/>
      <c r="AJ24" s="458"/>
      <c r="AK24" s="458"/>
      <c r="AL24" s="458"/>
      <c r="AM24" s="458"/>
      <c r="AN24" s="192"/>
      <c r="AO24" s="191"/>
      <c r="AP24" s="192"/>
      <c r="AQ24" s="458"/>
    </row>
    <row r="25" spans="1:43" ht="17.25" customHeight="1">
      <c r="A25" s="909"/>
      <c r="B25" s="567"/>
      <c r="C25" s="562" t="s">
        <v>675</v>
      </c>
      <c r="D25" s="562"/>
      <c r="E25" s="562"/>
      <c r="F25" s="562"/>
      <c r="G25" s="562"/>
      <c r="H25" s="562"/>
      <c r="I25" s="562"/>
      <c r="J25" s="617">
        <f ca="1">J13</f>
        <v>210879.82830541662</v>
      </c>
      <c r="K25" s="618"/>
      <c r="L25" s="618"/>
      <c r="M25" s="619">
        <f ca="1">IFERROR(J25/J24,0)</f>
        <v>0.73765200418451848</v>
      </c>
      <c r="N25" s="619"/>
      <c r="O25" s="562"/>
      <c r="P25" s="562"/>
      <c r="Q25" s="458"/>
      <c r="R25" s="458"/>
      <c r="S25" s="458"/>
      <c r="T25" s="458"/>
      <c r="U25" s="458"/>
      <c r="V25" s="458"/>
      <c r="W25" s="458"/>
      <c r="X25" s="458"/>
      <c r="Y25" s="458"/>
      <c r="Z25" s="458"/>
      <c r="AA25" s="458"/>
      <c r="AB25" s="458"/>
      <c r="AC25" s="458"/>
      <c r="AD25" s="458"/>
      <c r="AE25" s="458"/>
      <c r="AF25" s="458"/>
      <c r="AG25" s="458"/>
      <c r="AH25" s="458"/>
      <c r="AI25" s="458"/>
      <c r="AJ25" s="458"/>
      <c r="AK25" s="458"/>
      <c r="AL25" s="458"/>
      <c r="AM25" s="458"/>
      <c r="AN25" s="192"/>
      <c r="AO25" s="191"/>
      <c r="AP25" s="192"/>
      <c r="AQ25" s="458"/>
    </row>
    <row r="26" spans="1:43" ht="17.25" customHeight="1">
      <c r="A26" s="909"/>
      <c r="B26" s="567"/>
      <c r="C26" s="562" t="s">
        <v>676</v>
      </c>
      <c r="D26" s="562"/>
      <c r="E26" s="562"/>
      <c r="F26" s="562"/>
      <c r="G26" s="562"/>
      <c r="H26" s="562"/>
      <c r="I26" s="562"/>
      <c r="J26" s="617">
        <f ca="1">J11</f>
        <v>75000</v>
      </c>
      <c r="K26" s="618"/>
      <c r="L26" s="618"/>
      <c r="M26" s="619">
        <f ca="1">IFERROR(J26/J24,0)</f>
        <v>0.26234799581548146</v>
      </c>
      <c r="N26" s="619"/>
      <c r="O26" s="562"/>
      <c r="P26" s="562"/>
      <c r="Q26" s="458"/>
      <c r="R26" s="458"/>
      <c r="S26" s="458"/>
      <c r="T26" s="458"/>
      <c r="U26" s="458"/>
      <c r="V26" s="458"/>
      <c r="W26" s="458"/>
      <c r="X26" s="458"/>
      <c r="Y26" s="458"/>
      <c r="Z26" s="458"/>
      <c r="AA26" s="458"/>
      <c r="AB26" s="458"/>
      <c r="AC26" s="458"/>
      <c r="AD26" s="458"/>
      <c r="AE26" s="458"/>
      <c r="AF26" s="458"/>
      <c r="AG26" s="458"/>
      <c r="AH26" s="458"/>
      <c r="AI26" s="458"/>
      <c r="AJ26" s="458"/>
      <c r="AK26" s="458"/>
      <c r="AL26" s="458"/>
      <c r="AM26" s="458"/>
      <c r="AN26" s="192"/>
      <c r="AO26" s="191"/>
      <c r="AP26" s="192"/>
      <c r="AQ26" s="458"/>
    </row>
    <row r="27" spans="1:43" ht="17.25" customHeight="1">
      <c r="A27" s="909"/>
      <c r="B27" s="567"/>
      <c r="C27" s="562" t="s">
        <v>677</v>
      </c>
      <c r="D27" s="562"/>
      <c r="E27" s="562"/>
      <c r="F27" s="562"/>
      <c r="G27" s="562"/>
      <c r="H27" s="562"/>
      <c r="I27" s="562"/>
      <c r="J27" s="590">
        <f ca="1">IF(J11=0,"n.a.",J13/J11)</f>
        <v>2.8117310440722219</v>
      </c>
      <c r="K27" s="591"/>
      <c r="L27" s="592"/>
      <c r="M27" s="593"/>
      <c r="N27" s="594"/>
      <c r="O27" s="562"/>
      <c r="P27" s="562"/>
      <c r="Q27" s="458"/>
      <c r="R27" s="458"/>
      <c r="S27" s="458"/>
      <c r="T27" s="458"/>
      <c r="U27" s="458"/>
      <c r="V27" s="458"/>
      <c r="W27" s="458"/>
      <c r="X27" s="458"/>
      <c r="Y27" s="458"/>
      <c r="Z27" s="458"/>
      <c r="AA27" s="458"/>
      <c r="AB27" s="458"/>
      <c r="AC27" s="458"/>
      <c r="AD27" s="458"/>
      <c r="AE27" s="458"/>
      <c r="AF27" s="458"/>
      <c r="AG27" s="458"/>
      <c r="AH27" s="458"/>
      <c r="AI27" s="458"/>
      <c r="AJ27" s="458"/>
      <c r="AK27" s="458"/>
      <c r="AL27" s="458"/>
      <c r="AM27" s="458"/>
      <c r="AN27" s="192"/>
      <c r="AO27" s="191"/>
      <c r="AP27" s="192"/>
      <c r="AQ27" s="458"/>
    </row>
    <row r="28" spans="1:43" ht="17.25" customHeight="1">
      <c r="A28" s="909"/>
      <c r="B28" s="567"/>
      <c r="C28" s="562"/>
      <c r="D28" s="562"/>
      <c r="E28" s="562"/>
      <c r="F28" s="561"/>
      <c r="G28" s="561"/>
      <c r="H28" s="561"/>
      <c r="I28" s="561"/>
      <c r="J28" s="569"/>
      <c r="K28" s="570"/>
      <c r="L28" s="570"/>
      <c r="M28" s="570"/>
      <c r="N28" s="570"/>
      <c r="O28" s="562"/>
      <c r="P28" s="562"/>
      <c r="Q28" s="458"/>
      <c r="R28" s="458"/>
      <c r="S28" s="458"/>
      <c r="T28" s="458"/>
      <c r="U28" s="458"/>
      <c r="V28" s="458"/>
      <c r="W28" s="458"/>
      <c r="X28" s="458"/>
      <c r="Y28" s="458"/>
      <c r="Z28" s="458"/>
      <c r="AA28" s="458"/>
      <c r="AB28" s="458"/>
      <c r="AC28" s="458"/>
      <c r="AD28" s="458"/>
      <c r="AE28" s="458"/>
      <c r="AF28" s="458"/>
      <c r="AG28" s="458"/>
      <c r="AH28" s="458"/>
      <c r="AI28" s="458"/>
      <c r="AJ28" s="458"/>
      <c r="AK28" s="458"/>
      <c r="AL28" s="458"/>
      <c r="AM28" s="458"/>
      <c r="AN28" s="192"/>
      <c r="AO28" s="191"/>
      <c r="AP28" s="192"/>
      <c r="AQ28" s="458"/>
    </row>
    <row r="29" spans="1:43" ht="17.25" customHeight="1">
      <c r="A29" s="909"/>
      <c r="B29" s="567"/>
      <c r="C29" s="567"/>
      <c r="D29" s="567"/>
      <c r="E29" s="567"/>
      <c r="F29" s="465"/>
      <c r="G29" s="465"/>
      <c r="H29" s="465"/>
      <c r="I29" s="465"/>
      <c r="J29" s="465"/>
      <c r="K29" s="567"/>
      <c r="L29" s="567"/>
      <c r="M29" s="567"/>
      <c r="N29" s="567"/>
      <c r="O29" s="567"/>
      <c r="P29" s="567"/>
      <c r="Q29" s="191"/>
      <c r="R29" s="191"/>
      <c r="S29" s="191"/>
      <c r="T29" s="191"/>
      <c r="U29" s="191"/>
      <c r="V29" s="191"/>
      <c r="W29" s="970"/>
      <c r="X29" s="729"/>
      <c r="Y29" s="729"/>
      <c r="Z29" s="191"/>
      <c r="AA29" s="191"/>
      <c r="AB29" s="191"/>
      <c r="AC29" s="191"/>
      <c r="AD29" s="191"/>
      <c r="AE29" s="191"/>
      <c r="AF29" s="191"/>
      <c r="AG29" s="191"/>
      <c r="AH29" s="191"/>
      <c r="AI29" s="191"/>
      <c r="AJ29" s="191"/>
      <c r="AK29" s="191"/>
      <c r="AL29" s="191"/>
      <c r="AM29" s="191"/>
      <c r="AN29" s="191"/>
      <c r="AO29" s="191"/>
      <c r="AP29" s="192"/>
      <c r="AQ29" s="458"/>
    </row>
    <row r="30" spans="1:43" ht="10.5" customHeight="1">
      <c r="A30" s="910"/>
      <c r="B30" s="191"/>
      <c r="C30" s="192"/>
      <c r="D30" s="192"/>
      <c r="E30" s="192"/>
      <c r="F30" s="243"/>
      <c r="G30" s="243"/>
      <c r="H30" s="243"/>
      <c r="I30" s="243"/>
      <c r="J30" s="243"/>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458"/>
      <c r="AN30" s="458"/>
      <c r="AO30" s="191"/>
      <c r="AP30" s="192"/>
      <c r="AQ30" s="458"/>
    </row>
    <row r="31" spans="1:43" ht="21.75" customHeight="1">
      <c r="A31" s="910"/>
      <c r="B31" s="191"/>
      <c r="C31" s="194" t="s">
        <v>679</v>
      </c>
      <c r="D31" s="458"/>
      <c r="E31" s="458"/>
      <c r="F31" s="200"/>
      <c r="G31" s="200"/>
      <c r="H31" s="200"/>
      <c r="I31" s="194"/>
      <c r="J31" s="200"/>
      <c r="K31" s="458"/>
      <c r="L31" s="458"/>
      <c r="M31" s="458"/>
      <c r="N31" s="458"/>
      <c r="O31" s="458"/>
      <c r="P31" s="458"/>
      <c r="Q31" s="458"/>
      <c r="R31" s="466"/>
      <c r="S31" s="767"/>
      <c r="T31" s="767"/>
      <c r="U31" s="767"/>
      <c r="V31" s="767"/>
      <c r="W31" s="767"/>
      <c r="X31" s="767"/>
      <c r="Y31" s="767"/>
      <c r="Z31" s="458"/>
      <c r="AA31" s="458"/>
      <c r="AB31" s="458"/>
      <c r="AC31" s="458"/>
      <c r="AD31" s="458"/>
      <c r="AE31" s="458"/>
      <c r="AF31" s="458"/>
      <c r="AG31" s="458"/>
      <c r="AH31" s="458"/>
      <c r="AI31" s="458"/>
      <c r="AJ31" s="458"/>
      <c r="AK31" s="458"/>
      <c r="AL31" s="458"/>
      <c r="AM31" s="458"/>
      <c r="AN31" s="458"/>
      <c r="AO31" s="191"/>
      <c r="AP31" s="192"/>
      <c r="AQ31" s="458"/>
    </row>
    <row r="32" spans="1:43" ht="17.25" customHeight="1">
      <c r="A32" s="910"/>
      <c r="B32" s="191"/>
      <c r="C32" s="1019" t="str">
        <f>"  12 months commencing in "&amp;TRIM(Timing!$I$31)&amp;" "&amp;FIXED(Timing!$I$32,0,1)</f>
        <v xml:space="preserve">  12 months commencing in Mar 2019</v>
      </c>
      <c r="D32" s="972"/>
      <c r="E32" s="973"/>
      <c r="F32" s="895"/>
      <c r="G32" s="895"/>
      <c r="H32" s="973"/>
      <c r="I32" s="895"/>
      <c r="J32" s="971"/>
      <c r="K32" s="971"/>
      <c r="L32" s="971"/>
      <c r="M32" s="467"/>
      <c r="N32" s="467"/>
      <c r="O32" s="467"/>
      <c r="P32" s="467"/>
      <c r="Q32" s="467"/>
      <c r="R32" s="458"/>
      <c r="S32" s="458"/>
      <c r="T32" s="458"/>
      <c r="U32" s="458"/>
      <c r="V32" s="458"/>
      <c r="W32" s="458"/>
      <c r="X32" s="458"/>
      <c r="Y32" s="458"/>
      <c r="Z32" s="458"/>
      <c r="AA32" s="767"/>
      <c r="AB32" s="458"/>
      <c r="AC32" s="458"/>
      <c r="AD32" s="458"/>
      <c r="AE32" s="458"/>
      <c r="AF32" s="458"/>
      <c r="AG32" s="458"/>
      <c r="AH32" s="458"/>
      <c r="AI32" s="458"/>
      <c r="AJ32" s="458"/>
      <c r="AK32" s="458"/>
      <c r="AL32" s="458"/>
      <c r="AM32" s="458"/>
      <c r="AN32" s="458"/>
      <c r="AO32" s="191"/>
      <c r="AP32" s="192"/>
      <c r="AQ32" s="458"/>
    </row>
    <row r="33" spans="1:43" ht="7.5" customHeight="1">
      <c r="A33" s="910"/>
      <c r="B33" s="191"/>
      <c r="C33" s="466"/>
      <c r="D33" s="458"/>
      <c r="E33" s="458"/>
      <c r="F33" s="458"/>
      <c r="G33" s="458"/>
      <c r="H33" s="195"/>
      <c r="I33" s="458"/>
      <c r="J33" s="200"/>
      <c r="K33" s="200"/>
      <c r="L33" s="200"/>
      <c r="M33" s="200"/>
      <c r="N33" s="200"/>
      <c r="O33" s="458"/>
      <c r="P33" s="458"/>
      <c r="Q33" s="458"/>
      <c r="R33" s="458"/>
      <c r="S33" s="458"/>
      <c r="T33" s="458"/>
      <c r="U33" s="458"/>
      <c r="V33" s="458"/>
      <c r="W33" s="458"/>
      <c r="X33" s="458"/>
      <c r="Y33" s="458"/>
      <c r="Z33" s="458"/>
      <c r="AA33" s="458"/>
      <c r="AB33" s="458"/>
      <c r="AC33" s="458"/>
      <c r="AD33" s="458"/>
      <c r="AE33" s="458"/>
      <c r="AF33" s="458"/>
      <c r="AG33" s="458"/>
      <c r="AH33" s="458"/>
      <c r="AI33" s="458"/>
      <c r="AJ33" s="458"/>
      <c r="AK33" s="458"/>
      <c r="AL33" s="458"/>
      <c r="AM33" s="458"/>
      <c r="AN33" s="458"/>
      <c r="AO33" s="191"/>
      <c r="AP33" s="192"/>
      <c r="AQ33" s="458"/>
    </row>
    <row r="34" spans="1:43" ht="17.25" customHeight="1">
      <c r="A34" s="910"/>
      <c r="B34" s="567"/>
      <c r="C34" s="462" t="s">
        <v>680</v>
      </c>
      <c r="D34" s="463"/>
      <c r="E34" s="463"/>
      <c r="F34" s="463"/>
      <c r="G34" s="463"/>
      <c r="H34" s="463"/>
      <c r="I34" s="464"/>
      <c r="J34" s="459" t="str">
        <f>"in " &amp;Currency_Label</f>
        <v>in USD</v>
      </c>
      <c r="K34" s="460"/>
      <c r="L34" s="461"/>
      <c r="M34" s="459" t="s">
        <v>47</v>
      </c>
      <c r="N34" s="460"/>
      <c r="O34" s="461"/>
      <c r="P34" s="368" t="s">
        <v>681</v>
      </c>
      <c r="Q34" s="369"/>
      <c r="R34" s="369"/>
      <c r="S34" s="369"/>
      <c r="T34" s="458"/>
      <c r="U34" s="458"/>
      <c r="V34" s="462" t="s">
        <v>682</v>
      </c>
      <c r="W34" s="463"/>
      <c r="X34" s="463"/>
      <c r="Y34" s="463"/>
      <c r="Z34" s="463"/>
      <c r="AA34" s="463"/>
      <c r="AB34" s="464"/>
      <c r="AC34" s="459" t="str">
        <f>"in " &amp;Currency_Label</f>
        <v>in USD</v>
      </c>
      <c r="AD34" s="460"/>
      <c r="AE34" s="461"/>
      <c r="AF34" s="459" t="s">
        <v>47</v>
      </c>
      <c r="AG34" s="460"/>
      <c r="AH34" s="461"/>
      <c r="AI34" s="368" t="s">
        <v>681</v>
      </c>
      <c r="AJ34" s="369"/>
      <c r="AK34" s="369"/>
      <c r="AL34" s="369"/>
      <c r="AM34" s="458"/>
      <c r="AN34" s="458"/>
      <c r="AO34" s="191"/>
      <c r="AP34" s="192"/>
      <c r="AQ34" s="458"/>
    </row>
    <row r="35" spans="1:43" ht="12" customHeight="1">
      <c r="A35" s="910"/>
      <c r="B35" s="567"/>
      <c r="C35" s="458"/>
      <c r="D35" s="458"/>
      <c r="E35" s="458"/>
      <c r="F35" s="200"/>
      <c r="G35" s="458"/>
      <c r="H35" s="458"/>
      <c r="I35" s="458"/>
      <c r="J35" s="458"/>
      <c r="K35" s="458"/>
      <c r="L35" s="458"/>
      <c r="M35" s="458"/>
      <c r="N35" s="458"/>
      <c r="O35" s="458"/>
      <c r="P35" s="458"/>
      <c r="Q35" s="458"/>
      <c r="R35" s="458"/>
      <c r="S35" s="458"/>
      <c r="T35" s="458"/>
      <c r="U35" s="767"/>
      <c r="V35" s="458"/>
      <c r="W35" s="458"/>
      <c r="X35" s="458"/>
      <c r="Y35" s="458"/>
      <c r="Z35" s="458"/>
      <c r="AA35" s="458"/>
      <c r="AB35" s="458"/>
      <c r="AC35" s="458"/>
      <c r="AD35" s="458"/>
      <c r="AE35" s="458"/>
      <c r="AF35" s="458"/>
      <c r="AG35" s="458"/>
      <c r="AH35" s="458"/>
      <c r="AI35" s="458"/>
      <c r="AJ35" s="458"/>
      <c r="AK35" s="458"/>
      <c r="AL35" s="458"/>
      <c r="AM35" s="458"/>
      <c r="AN35" s="458"/>
      <c r="AO35" s="191"/>
      <c r="AP35" s="192"/>
      <c r="AQ35" s="458"/>
    </row>
    <row r="36" spans="1:43" ht="17.25" customHeight="1">
      <c r="A36" s="910"/>
      <c r="B36" s="567"/>
      <c r="C36" s="458" t="str">
        <f>Financing!C11</f>
        <v>Cash collected from sales (incl. VAT)</v>
      </c>
      <c r="D36" s="458"/>
      <c r="E36" s="458"/>
      <c r="F36" s="458"/>
      <c r="G36" s="458"/>
      <c r="H36" s="458"/>
      <c r="I36" s="458"/>
      <c r="J36" s="468">
        <f>SUMIF(Timing!$J$18:$AG$18,1,Financing!J11:AG11)+Inputs!$F$233</f>
        <v>2272159.4382351055</v>
      </c>
      <c r="K36" s="469"/>
      <c r="L36" s="469"/>
      <c r="M36" s="470">
        <f t="shared" ref="M36:M47" ca="1" si="1">IFERROR(J36/J$52,0)</f>
        <v>0.88218258160715191</v>
      </c>
      <c r="N36" s="470"/>
      <c r="O36" s="470"/>
      <c r="P36" s="1135">
        <f ca="1">M36</f>
        <v>0.88218258160715191</v>
      </c>
      <c r="Q36" s="1136"/>
      <c r="R36" s="1136"/>
      <c r="S36" s="1136"/>
      <c r="T36" s="458"/>
      <c r="U36" s="767"/>
      <c r="V36" s="458" t="s">
        <v>369</v>
      </c>
      <c r="W36" s="458"/>
      <c r="X36" s="458"/>
      <c r="Y36" s="458"/>
      <c r="Z36" s="458"/>
      <c r="AA36" s="458"/>
      <c r="AB36" s="458"/>
      <c r="AC36" s="468">
        <f>-(SUMIF(Timing!$J$18:$AG$18,1,Financing!J16:AG16))</f>
        <v>23320</v>
      </c>
      <c r="AD36" s="469"/>
      <c r="AE36" s="469"/>
      <c r="AF36" s="470">
        <f t="shared" ref="AF36:AF51" ca="1" si="2">IFERROR(AC36/AC$52,0)</f>
        <v>9.0541611899626218E-3</v>
      </c>
      <c r="AG36" s="470"/>
      <c r="AH36" s="470"/>
      <c r="AI36" s="1135">
        <f ca="1">AF36</f>
        <v>9.0541611899626218E-3</v>
      </c>
      <c r="AJ36" s="1136"/>
      <c r="AK36" s="1136"/>
      <c r="AL36" s="1136"/>
      <c r="AM36" s="458"/>
      <c r="AN36" s="458"/>
      <c r="AO36" s="191"/>
      <c r="AP36" s="192"/>
      <c r="AQ36" s="458"/>
    </row>
    <row r="37" spans="1:43" ht="17.25" customHeight="1">
      <c r="A37" s="910"/>
      <c r="B37" s="567"/>
      <c r="C37" s="458" t="s">
        <v>664</v>
      </c>
      <c r="D37" s="458"/>
      <c r="E37" s="458"/>
      <c r="F37" s="458"/>
      <c r="G37" s="458"/>
      <c r="H37" s="458"/>
      <c r="I37" s="458"/>
      <c r="J37" s="468">
        <f>SUMIF(Timing!$J$18:$AG$18,1,Financing!$J12:$AG12)</f>
        <v>5000</v>
      </c>
      <c r="K37" s="469"/>
      <c r="L37" s="469"/>
      <c r="M37" s="470">
        <f t="shared" ca="1" si="1"/>
        <v>1.9412867045377441E-3</v>
      </c>
      <c r="N37" s="470"/>
      <c r="O37" s="470"/>
      <c r="P37" s="1135">
        <f t="shared" ref="P37:P47" ca="1" si="3">M37</f>
        <v>1.9412867045377441E-3</v>
      </c>
      <c r="Q37" s="1136"/>
      <c r="R37" s="1136"/>
      <c r="S37" s="1136"/>
      <c r="T37" s="458"/>
      <c r="U37" s="767"/>
      <c r="V37" s="767" t="str">
        <f>Financing!C17</f>
        <v>Cost of Materials/Goods (incl. VAT)</v>
      </c>
      <c r="AC37" s="468">
        <f>-(SUMIF(Timing!$J$18:$AG$18,1,Financing!J17:AG17))</f>
        <v>962867.06712992245</v>
      </c>
      <c r="AD37" s="469"/>
      <c r="AE37" s="469"/>
      <c r="AF37" s="470">
        <f t="shared" ca="1" si="2"/>
        <v>0.37384020713125554</v>
      </c>
      <c r="AG37" s="470"/>
      <c r="AH37" s="470"/>
      <c r="AI37" s="1135">
        <f t="shared" ref="AI37:AI51" ca="1" si="4">AF37</f>
        <v>0.37384020713125554</v>
      </c>
      <c r="AJ37" s="1136"/>
      <c r="AK37" s="1136"/>
      <c r="AL37" s="1136"/>
      <c r="AM37" s="458"/>
      <c r="AN37" s="458"/>
      <c r="AO37" s="540"/>
      <c r="AP37" s="539"/>
      <c r="AQ37" s="538"/>
    </row>
    <row r="38" spans="1:43" ht="17.25" customHeight="1">
      <c r="A38" s="910"/>
      <c r="B38" s="567"/>
      <c r="C38" s="767" t="str">
        <f>Financing!C13</f>
        <v>Other operating &amp; extraordinary income</v>
      </c>
      <c r="D38" s="767"/>
      <c r="E38" s="767"/>
      <c r="F38" s="767"/>
      <c r="G38" s="767"/>
      <c r="H38" s="767"/>
      <c r="I38" s="767"/>
      <c r="J38" s="468">
        <f>MAX(0,SUMIF(Timing!$J$18:$AG$18,1,Financing!J13:AG13))</f>
        <v>11000</v>
      </c>
      <c r="K38" s="469"/>
      <c r="L38" s="469"/>
      <c r="M38" s="470">
        <f t="shared" ca="1" si="1"/>
        <v>4.2708307499830372E-3</v>
      </c>
      <c r="N38" s="470"/>
      <c r="O38" s="470"/>
      <c r="P38" s="1135">
        <f t="shared" ca="1" si="3"/>
        <v>4.2708307499830372E-3</v>
      </c>
      <c r="Q38" s="1136"/>
      <c r="R38" s="1136"/>
      <c r="S38" s="1136"/>
      <c r="T38" s="458"/>
      <c r="U38" s="767"/>
      <c r="V38" s="767" t="str">
        <f>Financing!C18</f>
        <v>Other Direct Costs (incl. VAT)</v>
      </c>
      <c r="W38" s="458"/>
      <c r="X38" s="458"/>
      <c r="Y38" s="458"/>
      <c r="Z38" s="458"/>
      <c r="AA38" s="458"/>
      <c r="AB38" s="458"/>
      <c r="AC38" s="468">
        <f ca="1">-(SUMIF(Timing!$J$18:$AG$18,1,Financing!J18:AG18))</f>
        <v>43920.688761917248</v>
      </c>
      <c r="AD38" s="469"/>
      <c r="AE38" s="469"/>
      <c r="AF38" s="470">
        <f t="shared" ca="1" si="2"/>
        <v>1.7052529829527385E-2</v>
      </c>
      <c r="AG38" s="470"/>
      <c r="AH38" s="470"/>
      <c r="AI38" s="1135">
        <f t="shared" ca="1" si="4"/>
        <v>1.7052529829527385E-2</v>
      </c>
      <c r="AJ38" s="1136"/>
      <c r="AK38" s="1136"/>
      <c r="AL38" s="1136"/>
      <c r="AM38" s="458"/>
      <c r="AN38" s="458"/>
      <c r="AO38" s="540"/>
      <c r="AP38" s="539"/>
      <c r="AQ38" s="538"/>
    </row>
    <row r="39" spans="1:43" s="830" customFormat="1" ht="17.25" customHeight="1">
      <c r="A39" s="910"/>
      <c r="B39" s="567"/>
      <c r="C39" s="767" t="s">
        <v>697</v>
      </c>
      <c r="D39" s="767"/>
      <c r="E39" s="767"/>
      <c r="F39" s="767"/>
      <c r="G39" s="767"/>
      <c r="H39" s="767"/>
      <c r="I39" s="767"/>
      <c r="J39" s="468">
        <f>MAX(0,SUMIF(Timing!$J$18:$AG$18,1,Financing!J14:AG14))</f>
        <v>0</v>
      </c>
      <c r="K39" s="469"/>
      <c r="L39" s="469"/>
      <c r="M39" s="470">
        <f t="shared" ca="1" si="1"/>
        <v>0</v>
      </c>
      <c r="N39" s="470"/>
      <c r="O39" s="470"/>
      <c r="P39" s="1135">
        <f t="shared" ca="1" si="3"/>
        <v>0</v>
      </c>
      <c r="Q39" s="1136"/>
      <c r="R39" s="1136"/>
      <c r="S39" s="1136"/>
      <c r="T39" s="767"/>
      <c r="U39" s="767"/>
      <c r="V39" s="767" t="str">
        <f>Financing!C19</f>
        <v>Overheads (incl. VAT)</v>
      </c>
      <c r="W39" s="767"/>
      <c r="X39" s="767"/>
      <c r="Y39" s="767"/>
      <c r="Z39" s="767"/>
      <c r="AA39" s="767"/>
      <c r="AB39" s="767"/>
      <c r="AC39" s="468">
        <f ca="1">-(SUMIF(Timing!$J$18:$AG$18,1,Financing!J19:AG19))</f>
        <v>443281.90069452795</v>
      </c>
      <c r="AD39" s="469"/>
      <c r="AE39" s="469"/>
      <c r="AF39" s="470">
        <f t="shared" ca="1" si="2"/>
        <v>0.17210745203607461</v>
      </c>
      <c r="AG39" s="470"/>
      <c r="AH39" s="470"/>
      <c r="AI39" s="892">
        <f t="shared" ca="1" si="4"/>
        <v>0.17210745203607461</v>
      </c>
      <c r="AJ39" s="891"/>
      <c r="AK39" s="891"/>
      <c r="AL39" s="891"/>
      <c r="AM39" s="767"/>
      <c r="AN39" s="767"/>
      <c r="AO39" s="567"/>
      <c r="AP39" s="566"/>
      <c r="AQ39" s="767"/>
    </row>
    <row r="40" spans="1:43" s="830" customFormat="1" ht="17.25" customHeight="1">
      <c r="A40" s="910"/>
      <c r="B40" s="567"/>
      <c r="C40" s="767" t="str">
        <f>Financing!C15</f>
        <v>Interest received on cash deposits</v>
      </c>
      <c r="D40" s="767"/>
      <c r="E40" s="767"/>
      <c r="F40" s="767"/>
      <c r="G40" s="767"/>
      <c r="H40" s="767"/>
      <c r="I40" s="767"/>
      <c r="J40" s="468">
        <f ca="1">MAX(0,SUMIF(Timing!$J$18:$AG$18,1,Financing!J15:AG15))</f>
        <v>1572.0474980147808</v>
      </c>
      <c r="K40" s="469"/>
      <c r="L40" s="469"/>
      <c r="M40" s="470">
        <f t="shared" ca="1" si="1"/>
        <v>6.1035898135958385E-4</v>
      </c>
      <c r="N40" s="470"/>
      <c r="O40" s="470"/>
      <c r="P40" s="1135">
        <f t="shared" ca="1" si="3"/>
        <v>6.1035898135958385E-4</v>
      </c>
      <c r="Q40" s="1136"/>
      <c r="R40" s="1136"/>
      <c r="S40" s="1136"/>
      <c r="T40" s="767"/>
      <c r="U40" s="767"/>
      <c r="V40" s="767" t="str">
        <f>Financing!C20</f>
        <v>Direct labor costs (w/o social insurance+income tax)</v>
      </c>
      <c r="W40" s="767"/>
      <c r="X40" s="767"/>
      <c r="Y40" s="767"/>
      <c r="Z40" s="767"/>
      <c r="AA40" s="767"/>
      <c r="AB40" s="767"/>
      <c r="AC40" s="468">
        <f>-(SUMIF(Timing!$J$18:$AG$18,1,Financing!J20:AG20))</f>
        <v>59468.333333333336</v>
      </c>
      <c r="AD40" s="469"/>
      <c r="AE40" s="469"/>
      <c r="AF40" s="470">
        <f t="shared" ca="1" si="2"/>
        <v>2.3089016968200139E-2</v>
      </c>
      <c r="AG40" s="470"/>
      <c r="AH40" s="470"/>
      <c r="AI40" s="892">
        <f t="shared" ca="1" si="4"/>
        <v>2.3089016968200139E-2</v>
      </c>
      <c r="AJ40" s="891"/>
      <c r="AK40" s="891"/>
      <c r="AL40" s="891"/>
      <c r="AM40" s="767"/>
      <c r="AN40" s="767"/>
      <c r="AO40" s="567"/>
      <c r="AP40" s="566"/>
      <c r="AQ40" s="767"/>
    </row>
    <row r="41" spans="1:43" s="830" customFormat="1" ht="17.25" customHeight="1">
      <c r="A41" s="910"/>
      <c r="B41" s="567"/>
      <c r="C41" s="767" t="str">
        <f>Name_VAT &amp;" recovered from tax authority"</f>
        <v>VAT recovered from tax authority</v>
      </c>
      <c r="D41" s="767"/>
      <c r="E41" s="767"/>
      <c r="F41" s="767"/>
      <c r="G41" s="767"/>
      <c r="H41" s="767"/>
      <c r="I41" s="767"/>
      <c r="J41" s="468">
        <f ca="1">MAX(0,SUMIF(Timing!$J$18:$AG$18,1,Financing!J33:AG33))</f>
        <v>0</v>
      </c>
      <c r="K41" s="469"/>
      <c r="L41" s="469"/>
      <c r="M41" s="470">
        <f t="shared" ca="1" si="1"/>
        <v>0</v>
      </c>
      <c r="N41" s="470"/>
      <c r="O41" s="470"/>
      <c r="P41" s="1135">
        <f t="shared" ca="1" si="3"/>
        <v>0</v>
      </c>
      <c r="Q41" s="1136"/>
      <c r="R41" s="1136"/>
      <c r="S41" s="1136"/>
      <c r="T41" s="767"/>
      <c r="U41" s="767"/>
      <c r="V41" s="767" t="str">
        <f>Financing!C21</f>
        <v>Social insurance &amp; income tax (PAYE/Payroll withholdings)</v>
      </c>
      <c r="W41" s="767"/>
      <c r="X41" s="767"/>
      <c r="Y41" s="767"/>
      <c r="Z41" s="767"/>
      <c r="AA41" s="767"/>
      <c r="AB41" s="767"/>
      <c r="AC41" s="468">
        <f>-(SUMIF(Timing!$J$18:$AG$18,1,Financing!J21:AG21))</f>
        <v>63952.083333333328</v>
      </c>
      <c r="AD41" s="469"/>
      <c r="AE41" s="469"/>
      <c r="AF41" s="470">
        <f t="shared" ca="1" si="2"/>
        <v>2.4829865820494085E-2</v>
      </c>
      <c r="AG41" s="470"/>
      <c r="AH41" s="470"/>
      <c r="AI41" s="892">
        <f t="shared" ca="1" si="4"/>
        <v>2.4829865820494085E-2</v>
      </c>
      <c r="AJ41" s="891"/>
      <c r="AK41" s="891"/>
      <c r="AL41" s="891"/>
      <c r="AM41" s="767"/>
      <c r="AN41" s="767"/>
      <c r="AO41" s="567"/>
      <c r="AP41" s="566"/>
      <c r="AQ41" s="767"/>
    </row>
    <row r="42" spans="1:43" s="830" customFormat="1" ht="17.25" customHeight="1">
      <c r="A42" s="910"/>
      <c r="B42" s="567"/>
      <c r="C42" s="767" t="str">
        <f>C12</f>
        <v>Share Capital</v>
      </c>
      <c r="D42" s="767"/>
      <c r="E42" s="767"/>
      <c r="F42" s="767"/>
      <c r="G42" s="767"/>
      <c r="H42" s="767"/>
      <c r="I42" s="767"/>
      <c r="J42" s="468">
        <f ca="1">SUMIF(Timing!$J$18:$AG$18,1,Financing!$J42:$AG42)</f>
        <v>75000</v>
      </c>
      <c r="K42" s="469"/>
      <c r="L42" s="469"/>
      <c r="M42" s="470">
        <f t="shared" ca="1" si="1"/>
        <v>2.9119300568066161E-2</v>
      </c>
      <c r="N42" s="470"/>
      <c r="O42" s="470"/>
      <c r="P42" s="1135">
        <f t="shared" ca="1" si="3"/>
        <v>2.9119300568066161E-2</v>
      </c>
      <c r="Q42" s="1136"/>
      <c r="R42" s="1136"/>
      <c r="S42" s="1136"/>
      <c r="T42" s="767"/>
      <c r="U42" s="767"/>
      <c r="V42" s="767" t="str">
        <f>Financing!C22</f>
        <v>Extraordinary expenses</v>
      </c>
      <c r="W42" s="767"/>
      <c r="X42" s="767"/>
      <c r="Y42" s="767"/>
      <c r="Z42" s="767"/>
      <c r="AA42" s="767"/>
      <c r="AB42" s="767"/>
      <c r="AC42" s="468">
        <f>-(SUMIF(Timing!$J$18:$AG$18,1,Financing!J22:AG22))</f>
        <v>0</v>
      </c>
      <c r="AD42" s="469"/>
      <c r="AE42" s="469"/>
      <c r="AF42" s="470">
        <f t="shared" ca="1" si="2"/>
        <v>0</v>
      </c>
      <c r="AG42" s="470"/>
      <c r="AH42" s="470"/>
      <c r="AI42" s="892">
        <f t="shared" ca="1" si="4"/>
        <v>0</v>
      </c>
      <c r="AJ42" s="891"/>
      <c r="AK42" s="891"/>
      <c r="AL42" s="891"/>
      <c r="AM42" s="767"/>
      <c r="AN42" s="767"/>
      <c r="AO42" s="567"/>
      <c r="AP42" s="566"/>
      <c r="AQ42" s="767"/>
    </row>
    <row r="43" spans="1:43" ht="17.25" customHeight="1">
      <c r="A43" s="910"/>
      <c r="B43" s="567"/>
      <c r="C43" s="767" t="str">
        <f>C14</f>
        <v>Debt: UL Bank</v>
      </c>
      <c r="D43" s="767"/>
      <c r="E43" s="767"/>
      <c r="F43" s="767"/>
      <c r="G43" s="767"/>
      <c r="H43" s="767"/>
      <c r="I43" s="767"/>
      <c r="J43" s="468">
        <f ca="1">SUMIF(Timing!$J$18:$AG$18,1,Financing!$J45:$AG45)</f>
        <v>80000</v>
      </c>
      <c r="K43" s="469"/>
      <c r="L43" s="469"/>
      <c r="M43" s="470">
        <f t="shared" ca="1" si="1"/>
        <v>3.1060587272603905E-2</v>
      </c>
      <c r="N43" s="470"/>
      <c r="O43" s="470"/>
      <c r="P43" s="1135">
        <f t="shared" ca="1" si="3"/>
        <v>3.1060587272603905E-2</v>
      </c>
      <c r="Q43" s="1136"/>
      <c r="R43" s="1136"/>
      <c r="S43" s="1136"/>
      <c r="T43" s="767"/>
      <c r="U43" s="767"/>
      <c r="V43" s="767" t="str">
        <f>Financing!C23</f>
        <v>Capital Expenditure (incl. VAT)</v>
      </c>
      <c r="W43" s="537"/>
      <c r="X43" s="537"/>
      <c r="Y43" s="537"/>
      <c r="Z43" s="537"/>
      <c r="AA43" s="537"/>
      <c r="AB43" s="537"/>
      <c r="AC43" s="468">
        <f>-(SUMIF(Timing!$J$18:$AG$18,1,Financing!J23:AG23))</f>
        <v>499550</v>
      </c>
      <c r="AD43" s="469"/>
      <c r="AE43" s="469"/>
      <c r="AF43" s="470">
        <f t="shared" ca="1" si="2"/>
        <v>0.19395395465033569</v>
      </c>
      <c r="AG43" s="470"/>
      <c r="AH43" s="470"/>
      <c r="AI43" s="1135">
        <f t="shared" ca="1" si="4"/>
        <v>0.19395395465033569</v>
      </c>
      <c r="AJ43" s="1136"/>
      <c r="AK43" s="1136"/>
      <c r="AL43" s="1136"/>
      <c r="AM43" s="458"/>
      <c r="AN43" s="458"/>
      <c r="AO43" s="191"/>
      <c r="AP43" s="192"/>
      <c r="AQ43" s="458"/>
    </row>
    <row r="44" spans="1:43" ht="17.25" customHeight="1">
      <c r="A44" s="910"/>
      <c r="B44" s="910"/>
      <c r="C44" s="767" t="str">
        <f>C15</f>
        <v>Debt: HSBC Bank</v>
      </c>
      <c r="D44" s="767"/>
      <c r="E44" s="767"/>
      <c r="F44" s="767"/>
      <c r="G44" s="767"/>
      <c r="H44" s="767"/>
      <c r="I44" s="767"/>
      <c r="J44" s="468">
        <f>SUMIF(Timing!$J$18:$AG$18,1,Financing!$J49:$AG49)</f>
        <v>40000</v>
      </c>
      <c r="K44" s="469"/>
      <c r="L44" s="469"/>
      <c r="M44" s="470">
        <f t="shared" ca="1" si="1"/>
        <v>1.5530293636301953E-2</v>
      </c>
      <c r="N44" s="470"/>
      <c r="O44" s="470"/>
      <c r="P44" s="1135">
        <f t="shared" ca="1" si="3"/>
        <v>1.5530293636301953E-2</v>
      </c>
      <c r="Q44" s="1136"/>
      <c r="R44" s="1136"/>
      <c r="S44" s="1136"/>
      <c r="T44" s="767"/>
      <c r="U44" s="767"/>
      <c r="V44" s="767" t="s">
        <v>698</v>
      </c>
      <c r="W44" s="537"/>
      <c r="X44" s="537"/>
      <c r="Y44" s="537"/>
      <c r="Z44" s="537"/>
      <c r="AA44" s="537"/>
      <c r="AB44" s="537"/>
      <c r="AC44" s="468">
        <f>-(SUMIF(Timing!$J$18:$AG$18,1,Financing!J24:AG24)+SUMIF(Timing!$J$18:$AG$18,1,Financing!J25:AG25))</f>
        <v>2250</v>
      </c>
      <c r="AD44" s="469"/>
      <c r="AE44" s="469"/>
      <c r="AF44" s="470">
        <f t="shared" ca="1" si="2"/>
        <v>8.7357901704184816E-4</v>
      </c>
      <c r="AG44" s="470"/>
      <c r="AH44" s="470"/>
      <c r="AI44" s="1135">
        <f t="shared" ca="1" si="4"/>
        <v>8.7357901704184816E-4</v>
      </c>
      <c r="AJ44" s="1136"/>
      <c r="AK44" s="1136"/>
      <c r="AL44" s="1136"/>
      <c r="AM44" s="458"/>
      <c r="AN44" s="458"/>
      <c r="AO44" s="191"/>
      <c r="AP44" s="192"/>
      <c r="AQ44" s="458"/>
    </row>
    <row r="45" spans="1:43" ht="17.25" customHeight="1">
      <c r="A45" s="910"/>
      <c r="B45" s="910"/>
      <c r="C45" s="767" t="str">
        <f>C16</f>
        <v>Debt: UBS</v>
      </c>
      <c r="D45" s="767"/>
      <c r="E45" s="767"/>
      <c r="F45" s="767"/>
      <c r="G45" s="767"/>
      <c r="H45" s="767"/>
      <c r="I45" s="767"/>
      <c r="J45" s="468">
        <f>SUMIF(Timing!$J$18:$AG$18,1,Financing!$J54:$AG54)</f>
        <v>60000</v>
      </c>
      <c r="K45" s="469"/>
      <c r="L45" s="469"/>
      <c r="M45" s="470">
        <f t="shared" ca="1" si="1"/>
        <v>2.3295440454452927E-2</v>
      </c>
      <c r="N45" s="470"/>
      <c r="O45" s="470"/>
      <c r="P45" s="1135">
        <f t="shared" ca="1" si="3"/>
        <v>2.3295440454452927E-2</v>
      </c>
      <c r="Q45" s="1136"/>
      <c r="R45" s="1136"/>
      <c r="S45" s="1136"/>
      <c r="T45" s="767"/>
      <c r="U45" s="767"/>
      <c r="V45" s="767" t="s">
        <v>940</v>
      </c>
      <c r="AC45" s="468">
        <f>-(SUMIF(Timing!$J$18:$AG$18,1,Financing!J26:AG26)+SUMIF(Timing!$J$18:$AG$18,1,Financing!J27:AG27))</f>
        <v>12500</v>
      </c>
      <c r="AD45" s="469"/>
      <c r="AE45" s="469"/>
      <c r="AF45" s="470">
        <f t="shared" ca="1" si="2"/>
        <v>4.8532167613436015E-3</v>
      </c>
      <c r="AG45" s="470"/>
      <c r="AH45" s="470"/>
      <c r="AI45" s="1135">
        <f t="shared" ca="1" si="4"/>
        <v>4.8532167613436015E-3</v>
      </c>
      <c r="AJ45" s="1136"/>
      <c r="AK45" s="1136"/>
      <c r="AL45" s="1136"/>
      <c r="AM45" s="767"/>
      <c r="AN45" s="458"/>
      <c r="AO45" s="191"/>
      <c r="AP45" s="192"/>
      <c r="AQ45" s="458"/>
    </row>
    <row r="46" spans="1:43" ht="17.25" customHeight="1">
      <c r="A46" s="910"/>
      <c r="B46" s="910"/>
      <c r="C46" s="767" t="str">
        <f>C17</f>
        <v>Debt: Shareholder Loan</v>
      </c>
      <c r="D46" s="767"/>
      <c r="E46" s="767"/>
      <c r="F46" s="767"/>
      <c r="G46" s="767"/>
      <c r="H46" s="767"/>
      <c r="I46" s="767"/>
      <c r="J46" s="468">
        <f>SUMIF(Timing!$J$18:$AG$18,1,Financing!$J59:$AG59)</f>
        <v>7500</v>
      </c>
      <c r="K46" s="469"/>
      <c r="L46" s="469"/>
      <c r="M46" s="470">
        <f t="shared" ca="1" si="1"/>
        <v>2.9119300568066159E-3</v>
      </c>
      <c r="N46" s="470"/>
      <c r="O46" s="470"/>
      <c r="P46" s="1135">
        <f t="shared" ca="1" si="3"/>
        <v>2.9119300568066159E-3</v>
      </c>
      <c r="Q46" s="1136"/>
      <c r="R46" s="1136"/>
      <c r="S46" s="1136"/>
      <c r="T46" s="767"/>
      <c r="U46" s="767"/>
      <c r="V46" s="537" t="s">
        <v>690</v>
      </c>
      <c r="W46" s="537"/>
      <c r="X46" s="537"/>
      <c r="Y46" s="537"/>
      <c r="Z46" s="537"/>
      <c r="AA46" s="537"/>
      <c r="AB46" s="537"/>
      <c r="AC46" s="468">
        <f ca="1">-(SUMIF(Timing!$J$18:$AG$18,1,Financing!J28:AG28)+SUMIF(Timing!$J$18:$AG$18,1,Financing!J29:AG29)+SUMIF(Timing!$J$18:$AG$18,1,Financing!J31:AG31))</f>
        <v>17677.096984069456</v>
      </c>
      <c r="AD46" s="469"/>
      <c r="AE46" s="469"/>
      <c r="AF46" s="470">
        <f t="shared" ca="1" si="2"/>
        <v>6.8632626699985846E-3</v>
      </c>
      <c r="AG46" s="470"/>
      <c r="AH46" s="470"/>
      <c r="AI46" s="1135">
        <f t="shared" ca="1" si="4"/>
        <v>6.8632626699985846E-3</v>
      </c>
      <c r="AJ46" s="1136"/>
      <c r="AK46" s="1136"/>
      <c r="AL46" s="1136"/>
      <c r="AM46" s="767"/>
      <c r="AN46" s="458"/>
      <c r="AO46" s="191"/>
      <c r="AP46" s="192"/>
      <c r="AQ46" s="458"/>
    </row>
    <row r="47" spans="1:43" ht="17.25" customHeight="1">
      <c r="A47" s="910"/>
      <c r="B47" s="910"/>
      <c r="C47" s="767" t="str">
        <f>C18</f>
        <v>Overdraft Facility</v>
      </c>
      <c r="D47" s="767"/>
      <c r="E47" s="767"/>
      <c r="F47" s="767"/>
      <c r="G47" s="767"/>
      <c r="H47" s="767"/>
      <c r="I47" s="767"/>
      <c r="J47" s="468">
        <f ca="1">SUMIF(Timing!$J$18:$AG$18,1,Financing!$J67:$AG67)</f>
        <v>23379.828305416639</v>
      </c>
      <c r="K47" s="469"/>
      <c r="L47" s="469"/>
      <c r="M47" s="470">
        <f t="shared" ca="1" si="1"/>
        <v>9.0773899687361069E-3</v>
      </c>
      <c r="N47" s="470"/>
      <c r="O47" s="470"/>
      <c r="P47" s="1135">
        <f t="shared" ca="1" si="3"/>
        <v>9.0773899687361069E-3</v>
      </c>
      <c r="Q47" s="1136"/>
      <c r="R47" s="1136"/>
      <c r="S47" s="1136"/>
      <c r="T47" s="458"/>
      <c r="U47" s="767"/>
      <c r="V47" s="767" t="s">
        <v>937</v>
      </c>
      <c r="W47" s="767"/>
      <c r="X47" s="767"/>
      <c r="Y47" s="767"/>
      <c r="Z47" s="767"/>
      <c r="AA47" s="767"/>
      <c r="AB47" s="767"/>
      <c r="AC47" s="468">
        <f ca="1">-SUMIF(Timing!$J$18:$AG$18,1,Financing!$J152:$AG152)</f>
        <v>56879.828305416639</v>
      </c>
      <c r="AD47" s="469"/>
      <c r="AE47" s="469"/>
      <c r="AF47" s="470">
        <f t="shared" ca="1" si="2"/>
        <v>2.2084010889135537E-2</v>
      </c>
      <c r="AG47" s="470"/>
      <c r="AH47" s="470"/>
      <c r="AI47" s="1135">
        <f t="shared" ca="1" si="4"/>
        <v>2.2084010889135537E-2</v>
      </c>
      <c r="AJ47" s="1136"/>
      <c r="AK47" s="1136"/>
      <c r="AL47" s="1136"/>
      <c r="AM47" s="767"/>
      <c r="AN47" s="458"/>
      <c r="AO47" s="191"/>
      <c r="AP47" s="192"/>
      <c r="AQ47" s="458"/>
    </row>
    <row r="48" spans="1:43" ht="17.25" customHeight="1">
      <c r="A48" s="910"/>
      <c r="B48" s="910"/>
      <c r="C48" s="758"/>
      <c r="D48" s="758"/>
      <c r="E48" s="758"/>
      <c r="F48" s="758"/>
      <c r="G48" s="758"/>
      <c r="H48" s="758"/>
      <c r="I48" s="758"/>
      <c r="J48" s="468"/>
      <c r="K48" s="895"/>
      <c r="L48" s="895"/>
      <c r="M48" s="896"/>
      <c r="N48" s="896"/>
      <c r="O48" s="896"/>
      <c r="P48" s="1135"/>
      <c r="Q48" s="1136"/>
      <c r="R48" s="1136"/>
      <c r="S48" s="1136"/>
      <c r="U48" s="767"/>
      <c r="V48" s="537" t="str">
        <f>Name_VAT &amp;" paid to tax authority"</f>
        <v>VAT paid to tax authority</v>
      </c>
      <c r="W48" s="537"/>
      <c r="X48" s="537"/>
      <c r="Y48" s="537"/>
      <c r="Z48" s="537"/>
      <c r="AA48" s="537"/>
      <c r="AB48" s="537"/>
      <c r="AC48" s="468">
        <f ca="1">MAX(0,-SUMIF(Timing!$J$18:$AG$18,1,Financing!J33:AG33))</f>
        <v>56041.015166419587</v>
      </c>
      <c r="AD48" s="469"/>
      <c r="AE48" s="469"/>
      <c r="AF48" s="470">
        <f t="shared" ca="1" si="2"/>
        <v>2.1758335530270279E-2</v>
      </c>
      <c r="AG48" s="470"/>
      <c r="AH48" s="470"/>
      <c r="AI48" s="1135">
        <f t="shared" ca="1" si="4"/>
        <v>2.1758335530270279E-2</v>
      </c>
      <c r="AJ48" s="1136"/>
      <c r="AK48" s="1136"/>
      <c r="AL48" s="1136"/>
      <c r="AM48" s="767"/>
      <c r="AN48" s="458"/>
      <c r="AO48" s="191"/>
      <c r="AP48" s="192"/>
      <c r="AQ48" s="458"/>
    </row>
    <row r="49" spans="1:63" ht="17.25" customHeight="1">
      <c r="A49" s="910"/>
      <c r="B49" s="910"/>
      <c r="C49" s="758"/>
      <c r="D49" s="758"/>
      <c r="E49" s="758"/>
      <c r="F49" s="758"/>
      <c r="G49" s="758"/>
      <c r="H49" s="758"/>
      <c r="I49" s="758"/>
      <c r="J49" s="468"/>
      <c r="K49" s="895"/>
      <c r="L49" s="895"/>
      <c r="M49" s="896"/>
      <c r="N49" s="896"/>
      <c r="O49" s="896"/>
      <c r="P49" s="1135"/>
      <c r="Q49" s="1136"/>
      <c r="R49" s="1136"/>
      <c r="S49" s="1136"/>
      <c r="U49" s="767"/>
      <c r="V49" s="537" t="str">
        <f>Financing!C34</f>
        <v>Taxes on income paid</v>
      </c>
      <c r="W49" s="537"/>
      <c r="X49" s="537"/>
      <c r="Y49" s="537"/>
      <c r="Z49" s="537"/>
      <c r="AA49" s="537"/>
      <c r="AB49" s="537"/>
      <c r="AC49" s="468">
        <f ca="1">-(SUMIF(Timing!$J$18:$AG$18,1,Financing!J34:AG34))</f>
        <v>105000</v>
      </c>
      <c r="AD49" s="469"/>
      <c r="AE49" s="469"/>
      <c r="AF49" s="470">
        <f t="shared" ca="1" si="2"/>
        <v>4.0767020795286248E-2</v>
      </c>
      <c r="AG49" s="470"/>
      <c r="AH49" s="470"/>
      <c r="AI49" s="1135">
        <f t="shared" ca="1" si="4"/>
        <v>4.0767020795286248E-2</v>
      </c>
      <c r="AJ49" s="1136"/>
      <c r="AK49" s="1136"/>
      <c r="AL49" s="1136"/>
      <c r="AM49" s="458"/>
      <c r="AN49" s="458"/>
      <c r="AO49" s="191"/>
      <c r="AP49" s="192"/>
      <c r="AQ49" s="458"/>
    </row>
    <row r="50" spans="1:63" ht="17.25" customHeight="1">
      <c r="A50" s="910"/>
      <c r="B50" s="910"/>
      <c r="C50" s="758"/>
      <c r="D50" s="758"/>
      <c r="E50" s="758"/>
      <c r="F50" s="758"/>
      <c r="G50" s="758"/>
      <c r="H50" s="758"/>
      <c r="I50" s="758"/>
      <c r="J50" s="468"/>
      <c r="K50" s="895"/>
      <c r="L50" s="895"/>
      <c r="M50" s="896"/>
      <c r="N50" s="896"/>
      <c r="O50" s="896"/>
      <c r="P50" s="1135"/>
      <c r="Q50" s="1136"/>
      <c r="R50" s="1136"/>
      <c r="S50" s="1136"/>
      <c r="U50" s="767"/>
      <c r="V50" s="767" t="s">
        <v>700</v>
      </c>
      <c r="W50" s="767"/>
      <c r="X50" s="767"/>
      <c r="Y50" s="767"/>
      <c r="Z50" s="767"/>
      <c r="AA50" s="767"/>
      <c r="AB50" s="767"/>
      <c r="AC50" s="468">
        <f ca="1">BI431</f>
        <v>228903.30033</v>
      </c>
      <c r="AD50" s="469"/>
      <c r="AE50" s="469"/>
      <c r="AF50" s="470">
        <f t="shared" ca="1" si="2"/>
        <v>8.8873386711073935E-2</v>
      </c>
      <c r="AG50" s="470"/>
      <c r="AH50" s="470"/>
      <c r="AI50" s="1135">
        <f t="shared" ca="1" si="4"/>
        <v>8.8873386711073935E-2</v>
      </c>
      <c r="AJ50" s="1136"/>
      <c r="AK50" s="1136"/>
      <c r="AL50" s="1136"/>
      <c r="AM50" s="767"/>
      <c r="AN50" s="458"/>
      <c r="AO50" s="191"/>
      <c r="AP50" s="192"/>
      <c r="AQ50" s="458"/>
      <c r="AS50" s="78"/>
    </row>
    <row r="51" spans="1:63" ht="17.25" customHeight="1">
      <c r="A51" s="910"/>
      <c r="B51" s="910"/>
      <c r="C51" s="758"/>
      <c r="D51" s="758"/>
      <c r="E51" s="758"/>
      <c r="F51" s="758"/>
      <c r="G51" s="758"/>
      <c r="H51" s="758"/>
      <c r="I51" s="758"/>
      <c r="J51" s="468"/>
      <c r="K51" s="895"/>
      <c r="L51" s="895"/>
      <c r="M51" s="896"/>
      <c r="N51" s="896"/>
      <c r="O51" s="896"/>
      <c r="P51" s="1135"/>
      <c r="Q51" s="1136"/>
      <c r="R51" s="1136"/>
      <c r="S51" s="1136"/>
      <c r="U51" s="767"/>
      <c r="V51" s="767" t="str">
        <f>Financing!C75</f>
        <v>Dividend payout</v>
      </c>
      <c r="W51" s="767"/>
      <c r="X51" s="767"/>
      <c r="Y51" s="767"/>
      <c r="Z51" s="767"/>
      <c r="AA51" s="767"/>
      <c r="AB51" s="767"/>
      <c r="AC51" s="468">
        <f>-(SUMIF(Timing!$J$18:$AG$18,1,Financing!J75:AG75))</f>
        <v>0</v>
      </c>
      <c r="AD51" s="469"/>
      <c r="AE51" s="469"/>
      <c r="AF51" s="470">
        <f t="shared" ca="1" si="2"/>
        <v>0</v>
      </c>
      <c r="AG51" s="470"/>
      <c r="AH51" s="470"/>
      <c r="AI51" s="1135">
        <f t="shared" ca="1" si="4"/>
        <v>0</v>
      </c>
      <c r="AJ51" s="1136"/>
      <c r="AK51" s="1136"/>
      <c r="AL51" s="1136"/>
      <c r="AM51" s="767"/>
      <c r="AN51" s="458"/>
      <c r="AO51" s="191"/>
      <c r="AP51" s="192"/>
      <c r="AQ51" s="458"/>
      <c r="AS51" s="78"/>
    </row>
    <row r="52" spans="1:63" ht="17.25" customHeight="1" thickBot="1">
      <c r="A52" s="910"/>
      <c r="B52" s="910"/>
      <c r="C52" s="201" t="s">
        <v>687</v>
      </c>
      <c r="D52" s="202"/>
      <c r="E52" s="202"/>
      <c r="F52" s="202"/>
      <c r="G52" s="202"/>
      <c r="H52" s="202"/>
      <c r="I52" s="202"/>
      <c r="J52" s="471">
        <f ca="1">SUM(J36:J51)</f>
        <v>2575611.314038537</v>
      </c>
      <c r="K52" s="472"/>
      <c r="L52" s="472"/>
      <c r="M52" s="473">
        <f ca="1">SUM(M36:M51)</f>
        <v>0.99999999999999989</v>
      </c>
      <c r="N52" s="473"/>
      <c r="O52" s="473"/>
      <c r="P52" s="458"/>
      <c r="Q52" s="458"/>
      <c r="R52" s="458"/>
      <c r="S52" s="458"/>
      <c r="T52" s="458"/>
      <c r="U52" s="767"/>
      <c r="V52" s="201" t="s">
        <v>688</v>
      </c>
      <c r="W52" s="202"/>
      <c r="X52" s="202"/>
      <c r="Y52" s="202"/>
      <c r="Z52" s="202"/>
      <c r="AA52" s="202"/>
      <c r="AB52" s="202"/>
      <c r="AC52" s="471">
        <f ca="1">SUM(AC36:AC51)</f>
        <v>2575611.3140389398</v>
      </c>
      <c r="AD52" s="472"/>
      <c r="AE52" s="472"/>
      <c r="AF52" s="473">
        <f ca="1">SUM(AF36:AF51)</f>
        <v>1.0000000000000002</v>
      </c>
      <c r="AG52" s="473"/>
      <c r="AH52" s="473"/>
      <c r="AI52" s="458"/>
      <c r="AJ52" s="458"/>
      <c r="AK52" s="458"/>
      <c r="AL52" s="458"/>
      <c r="AM52" s="458"/>
      <c r="AN52" s="458"/>
      <c r="AO52" s="191"/>
      <c r="AP52" s="192"/>
      <c r="AQ52" s="458"/>
    </row>
    <row r="53" spans="1:63" ht="9" customHeight="1" thickTop="1">
      <c r="A53" s="910"/>
      <c r="B53" s="910"/>
      <c r="C53" s="458"/>
      <c r="D53" s="458"/>
      <c r="E53" s="458"/>
      <c r="F53" s="458"/>
      <c r="G53" s="458"/>
      <c r="H53" s="458"/>
      <c r="I53" s="458"/>
      <c r="J53" s="200"/>
      <c r="K53" s="458"/>
      <c r="L53" s="458"/>
      <c r="M53" s="458"/>
      <c r="N53" s="458"/>
      <c r="O53" s="458"/>
      <c r="P53" s="458"/>
      <c r="Q53" s="458"/>
      <c r="R53" s="458"/>
      <c r="S53" s="458"/>
      <c r="T53" s="458"/>
      <c r="U53" s="767"/>
      <c r="V53" s="458"/>
      <c r="W53" s="458"/>
      <c r="X53" s="458"/>
      <c r="Y53" s="458"/>
      <c r="Z53" s="458"/>
      <c r="AA53" s="458"/>
      <c r="AB53" s="458"/>
      <c r="AC53" s="458"/>
      <c r="AD53" s="458"/>
      <c r="AE53" s="458"/>
      <c r="AF53" s="458"/>
      <c r="AG53" s="458"/>
      <c r="AH53" s="458"/>
      <c r="AI53" s="458"/>
      <c r="AJ53" s="458"/>
      <c r="AK53" s="458"/>
      <c r="AL53" s="458"/>
      <c r="AM53" s="458"/>
      <c r="AN53" s="458"/>
      <c r="AO53" s="191"/>
      <c r="AP53" s="192"/>
      <c r="AQ53" s="458"/>
    </row>
    <row r="54" spans="1:63" ht="17.25" customHeight="1">
      <c r="A54" s="910"/>
      <c r="B54" s="910"/>
      <c r="C54" s="458" t="s">
        <v>689</v>
      </c>
      <c r="D54" s="458"/>
      <c r="E54" s="458"/>
      <c r="F54" s="458"/>
      <c r="G54" s="458"/>
      <c r="H54" s="458"/>
      <c r="I54" s="458"/>
      <c r="J54" s="648">
        <f ca="1">ROUND(J52-AC52,1)</f>
        <v>0</v>
      </c>
      <c r="K54" s="648"/>
      <c r="L54" s="648"/>
      <c r="M54" s="576">
        <f ca="1">ROUND(J52-AC52,1)</f>
        <v>0</v>
      </c>
      <c r="N54" s="577"/>
      <c r="O54" s="577"/>
      <c r="P54" s="553"/>
      <c r="Q54" s="458"/>
      <c r="R54" s="458"/>
      <c r="S54" s="458"/>
      <c r="T54" s="458"/>
      <c r="U54" s="458"/>
      <c r="V54" s="458"/>
      <c r="W54" s="458"/>
      <c r="X54" s="458"/>
      <c r="Y54" s="458"/>
      <c r="Z54" s="458"/>
      <c r="AA54" s="458"/>
      <c r="AB54" s="458"/>
      <c r="AC54" s="458"/>
      <c r="AD54" s="458"/>
      <c r="AE54" s="458"/>
      <c r="AF54" s="458"/>
      <c r="AG54" s="458"/>
      <c r="AH54" s="458"/>
      <c r="AI54" s="458"/>
      <c r="AJ54" s="458"/>
      <c r="AK54" s="458"/>
      <c r="AL54" s="458"/>
      <c r="AM54" s="458"/>
      <c r="AN54" s="458"/>
      <c r="AO54" s="191"/>
      <c r="AP54" s="192"/>
      <c r="AQ54" s="458"/>
    </row>
    <row r="55" spans="1:63" ht="17.25" customHeight="1">
      <c r="A55" s="910"/>
      <c r="B55" s="910"/>
      <c r="C55" s="458"/>
      <c r="D55" s="458"/>
      <c r="E55" s="458"/>
      <c r="F55" s="458"/>
      <c r="G55" s="458"/>
      <c r="H55" s="458"/>
      <c r="I55" s="458"/>
      <c r="J55" s="200"/>
      <c r="K55" s="458"/>
      <c r="L55" s="458"/>
      <c r="M55" s="458"/>
      <c r="N55" s="458"/>
      <c r="O55" s="458"/>
      <c r="P55" s="458"/>
      <c r="Q55" s="458"/>
      <c r="R55" s="458"/>
      <c r="S55" s="458"/>
      <c r="T55" s="458"/>
      <c r="U55" s="458"/>
      <c r="V55" s="458"/>
      <c r="W55" s="458"/>
      <c r="X55" s="458"/>
      <c r="Y55" s="458"/>
      <c r="Z55" s="458"/>
      <c r="AA55" s="458"/>
      <c r="AB55" s="458"/>
      <c r="AC55" s="458"/>
      <c r="AD55" s="458"/>
      <c r="AE55" s="458"/>
      <c r="AF55" s="458"/>
      <c r="AG55" s="458"/>
      <c r="AH55" s="458"/>
      <c r="AI55" s="458"/>
      <c r="AJ55" s="458"/>
      <c r="AK55" s="458"/>
      <c r="AL55" s="458"/>
      <c r="AM55" s="458"/>
      <c r="AN55" s="458"/>
      <c r="AO55" s="191"/>
      <c r="AP55" s="192"/>
      <c r="AQ55" s="458"/>
    </row>
    <row r="56" spans="1:63" ht="12" customHeight="1">
      <c r="A56" s="910"/>
      <c r="B56" s="910"/>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2"/>
      <c r="AQ56" s="458"/>
    </row>
    <row r="57" spans="1:63" ht="12" customHeight="1">
      <c r="A57" s="910"/>
      <c r="B57" s="910"/>
      <c r="C57" s="474"/>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2"/>
      <c r="AQ57" s="458"/>
      <c r="AW57" s="502"/>
      <c r="AX57" s="192"/>
      <c r="AY57" s="192"/>
      <c r="AZ57" s="192"/>
      <c r="BA57" s="192"/>
      <c r="BB57" s="192"/>
      <c r="BC57" s="192"/>
      <c r="BD57" s="192"/>
      <c r="BE57" s="192"/>
      <c r="BF57" s="192"/>
      <c r="BG57" s="192"/>
      <c r="BH57" s="192"/>
      <c r="BI57" s="192"/>
      <c r="BJ57" s="192"/>
      <c r="BK57" s="192"/>
    </row>
    <row r="58" spans="1:63" ht="21" customHeight="1">
      <c r="A58" s="910"/>
      <c r="B58" s="910"/>
      <c r="C58" s="194" t="str">
        <f>CHOOSE(language,"Profit and Loss Statement","Income Statement")</f>
        <v>Income Statement</v>
      </c>
      <c r="D58" s="192"/>
      <c r="E58" s="192"/>
      <c r="F58" s="192"/>
      <c r="G58" s="192"/>
      <c r="H58" s="192"/>
      <c r="I58" s="192"/>
      <c r="J58" s="192"/>
      <c r="K58" s="192"/>
      <c r="L58" s="976"/>
      <c r="M58" s="534"/>
      <c r="N58" s="975"/>
      <c r="O58" s="535"/>
      <c r="P58" s="535"/>
      <c r="Q58" s="534"/>
      <c r="R58" s="535"/>
      <c r="S58" s="535"/>
      <c r="T58" s="535"/>
      <c r="U58" s="535"/>
      <c r="V58" s="535"/>
      <c r="W58" s="535"/>
      <c r="X58" s="535"/>
      <c r="Y58" s="535"/>
      <c r="Z58" s="535"/>
      <c r="AA58" s="534"/>
      <c r="AB58" s="534"/>
      <c r="AC58" s="534"/>
      <c r="AD58" s="535"/>
      <c r="AE58" s="535"/>
      <c r="AF58" s="534"/>
      <c r="AG58" s="534"/>
      <c r="AH58" s="534"/>
      <c r="AI58" s="535"/>
      <c r="AJ58" s="535"/>
      <c r="AK58" s="390"/>
      <c r="AL58" s="191"/>
      <c r="AM58" s="191"/>
      <c r="AN58" s="191"/>
      <c r="AO58" s="191"/>
      <c r="AP58" s="192"/>
      <c r="AQ58" s="458"/>
    </row>
    <row r="59" spans="1:63" ht="17.25" customHeight="1">
      <c r="A59" s="910"/>
      <c r="B59" s="910"/>
      <c r="C59" s="195" t="str">
        <f>"   (all currency in " &amp;Currency_Label &amp;")"</f>
        <v xml:space="preserve">   (all currency in USD)</v>
      </c>
      <c r="D59" s="458"/>
      <c r="E59" s="458"/>
      <c r="F59" s="458"/>
      <c r="G59" s="458"/>
      <c r="H59" s="458"/>
      <c r="I59" s="458"/>
      <c r="J59" s="458"/>
      <c r="K59" s="559"/>
      <c r="L59" s="359" t="str">
        <f>'Summary 02'!$V$5</f>
        <v>FY 2018</v>
      </c>
      <c r="M59" s="360"/>
      <c r="N59" s="361"/>
      <c r="O59" s="362" t="s">
        <v>47</v>
      </c>
      <c r="P59" s="364"/>
      <c r="Q59" s="365" t="str">
        <f>'Summary 02'!$AA$5</f>
        <v>FY 2019</v>
      </c>
      <c r="R59" s="360"/>
      <c r="S59" s="361"/>
      <c r="T59" s="362" t="s">
        <v>47</v>
      </c>
      <c r="U59" s="364"/>
      <c r="V59" s="365" t="s">
        <v>944</v>
      </c>
      <c r="W59" s="360"/>
      <c r="X59" s="361"/>
      <c r="Y59" s="362"/>
      <c r="Z59" s="363"/>
      <c r="AA59" s="365"/>
      <c r="AB59" s="360"/>
      <c r="AC59" s="361"/>
      <c r="AD59" s="362"/>
      <c r="AE59" s="363"/>
      <c r="AF59" s="365"/>
      <c r="AG59" s="360"/>
      <c r="AH59" s="361"/>
      <c r="AI59" s="362"/>
      <c r="AJ59" s="363"/>
      <c r="AK59" s="191"/>
      <c r="AL59" s="191"/>
      <c r="AM59" s="191"/>
      <c r="AN59" s="191"/>
      <c r="AO59" s="191"/>
      <c r="AP59" s="192"/>
      <c r="AQ59" s="192"/>
      <c r="AR59" s="126"/>
    </row>
    <row r="60" spans="1:63" ht="17.25" customHeight="1">
      <c r="A60" s="910"/>
      <c r="B60" s="910"/>
      <c r="C60" s="195" t="str">
        <f>"   (last month in fiscal year: " &amp;Inputs!$I$20&amp;")"</f>
        <v xml:space="preserve">   (last month in fiscal year: NOV)</v>
      </c>
      <c r="D60" s="195"/>
      <c r="E60" s="458"/>
      <c r="F60" s="195"/>
      <c r="G60" s="195"/>
      <c r="H60" s="195"/>
      <c r="I60" s="458"/>
      <c r="J60" s="458"/>
      <c r="K60" s="979">
        <f>IF(Inputs!$I$22=1,"",IF(MONTH(Startdatum)=1,"",Startdatum))</f>
        <v>43525</v>
      </c>
      <c r="L60" s="978"/>
      <c r="M60" s="977"/>
      <c r="N60" s="978"/>
      <c r="O60" s="477"/>
      <c r="P60" s="478"/>
      <c r="Q60" s="479"/>
      <c r="R60" s="475"/>
      <c r="S60" s="476"/>
      <c r="T60" s="477"/>
      <c r="U60" s="478"/>
      <c r="V60" s="568"/>
      <c r="W60" s="910"/>
      <c r="X60" s="568"/>
      <c r="Y60" s="910"/>
      <c r="Z60" s="568"/>
      <c r="AA60" s="910"/>
      <c r="AB60" s="910"/>
      <c r="AC60" s="568"/>
      <c r="AD60" s="910"/>
      <c r="AE60" s="568"/>
      <c r="AF60" s="910"/>
      <c r="AG60" s="568"/>
      <c r="AH60" s="910"/>
      <c r="AI60" s="568"/>
      <c r="AJ60" s="910"/>
      <c r="AK60" s="391"/>
      <c r="AL60" s="191"/>
      <c r="AM60" s="191"/>
      <c r="AN60" s="191"/>
      <c r="AO60" s="191"/>
      <c r="AP60" s="192"/>
      <c r="AQ60" s="566"/>
    </row>
    <row r="61" spans="1:63" ht="17.25" customHeight="1">
      <c r="A61" s="910"/>
      <c r="B61" s="910"/>
      <c r="C61" s="192" t="str">
        <f>CHOOSE(language,"Turnover","Revenue")</f>
        <v>Revenue</v>
      </c>
      <c r="D61" s="192"/>
      <c r="E61" s="192"/>
      <c r="F61" s="192"/>
      <c r="G61" s="458"/>
      <c r="H61" s="458"/>
      <c r="I61" s="458"/>
      <c r="J61" s="767"/>
      <c r="K61" s="458"/>
      <c r="L61" s="480">
        <f>'Summary 02'!V21</f>
        <v>1454383.434373206</v>
      </c>
      <c r="M61" s="481"/>
      <c r="N61" s="482"/>
      <c r="O61" s="893">
        <f>IFERROR(L61/L$61,0)</f>
        <v>1</v>
      </c>
      <c r="P61" s="484"/>
      <c r="Q61" s="485">
        <f>'Summary 02'!AA21</f>
        <v>2282650.003621364</v>
      </c>
      <c r="R61" s="481"/>
      <c r="S61" s="482"/>
      <c r="T61" s="893">
        <f>IFERROR(Q61/Q$61,0)</f>
        <v>1</v>
      </c>
      <c r="U61" s="484"/>
      <c r="V61" s="568"/>
      <c r="W61" s="910"/>
      <c r="X61" s="568"/>
      <c r="Y61" s="910"/>
      <c r="Z61" s="568"/>
      <c r="AA61" s="910"/>
      <c r="AB61" s="910"/>
      <c r="AC61" s="568"/>
      <c r="AD61" s="910"/>
      <c r="AE61" s="568"/>
      <c r="AF61" s="910"/>
      <c r="AG61" s="568"/>
      <c r="AH61" s="910"/>
      <c r="AI61" s="568"/>
      <c r="AJ61" s="910"/>
      <c r="AK61" s="391"/>
      <c r="AL61" s="191"/>
      <c r="AM61" s="191"/>
      <c r="AN61" s="191"/>
      <c r="AO61" s="191"/>
      <c r="AP61" s="192"/>
      <c r="AQ61" s="566"/>
    </row>
    <row r="62" spans="1:63" ht="17.25" customHeight="1">
      <c r="A62" s="910"/>
      <c r="B62" s="910"/>
      <c r="C62" s="192" t="s">
        <v>349</v>
      </c>
      <c r="D62" s="192"/>
      <c r="E62" s="192"/>
      <c r="F62" s="192"/>
      <c r="G62" s="458"/>
      <c r="H62" s="458"/>
      <c r="I62" s="458"/>
      <c r="J62" s="458"/>
      <c r="K62" s="458"/>
      <c r="L62" s="486">
        <f>'Summary 02'!V26</f>
        <v>731676.14790795953</v>
      </c>
      <c r="M62" s="487"/>
      <c r="N62" s="488"/>
      <c r="O62" s="483">
        <f>IFERROR(L62/L$61,0)</f>
        <v>0.50308338957620846</v>
      </c>
      <c r="P62" s="484"/>
      <c r="Q62" s="489">
        <f>'Summary 02'!AA26</f>
        <v>1044059.836567479</v>
      </c>
      <c r="R62" s="487"/>
      <c r="S62" s="488"/>
      <c r="T62" s="483">
        <f>IFERROR(Q62/Q$61,0)</f>
        <v>0.45738936539158676</v>
      </c>
      <c r="U62" s="484"/>
      <c r="V62" s="568"/>
      <c r="W62" s="910"/>
      <c r="X62" s="568"/>
      <c r="Y62" s="910"/>
      <c r="Z62" s="568"/>
      <c r="AA62" s="910"/>
      <c r="AB62" s="910"/>
      <c r="AC62" s="568"/>
      <c r="AD62" s="910"/>
      <c r="AE62" s="568"/>
      <c r="AF62" s="910"/>
      <c r="AG62" s="568"/>
      <c r="AH62" s="910"/>
      <c r="AI62" s="568"/>
      <c r="AJ62" s="910"/>
      <c r="AK62" s="391"/>
      <c r="AL62" s="191"/>
      <c r="AM62" s="191"/>
      <c r="AN62" s="191"/>
      <c r="AO62" s="191"/>
      <c r="AP62" s="192"/>
      <c r="AQ62" s="566"/>
    </row>
    <row r="63" spans="1:63" ht="17.25" customHeight="1">
      <c r="A63" s="910"/>
      <c r="B63" s="910"/>
      <c r="C63" s="199" t="s">
        <v>357</v>
      </c>
      <c r="D63" s="191"/>
      <c r="E63" s="191"/>
      <c r="F63" s="191"/>
      <c r="G63" s="191"/>
      <c r="H63" s="191"/>
      <c r="I63" s="191"/>
      <c r="J63" s="567"/>
      <c r="K63" s="191"/>
      <c r="L63" s="490">
        <f>L61-L62</f>
        <v>722707.28646524646</v>
      </c>
      <c r="M63" s="491"/>
      <c r="N63" s="492"/>
      <c r="O63" s="493">
        <f>IFERROR(L63/L$61,0)</f>
        <v>0.49691661042379159</v>
      </c>
      <c r="P63" s="494"/>
      <c r="Q63" s="495">
        <f>Q61-Q62</f>
        <v>1238590.1670538851</v>
      </c>
      <c r="R63" s="491"/>
      <c r="S63" s="492"/>
      <c r="T63" s="493">
        <f>IFERROR(Q63/Q$61,0)</f>
        <v>0.54261063460841319</v>
      </c>
      <c r="U63" s="494"/>
      <c r="V63" s="568"/>
      <c r="W63" s="910"/>
      <c r="X63" s="568"/>
      <c r="Y63" s="910"/>
      <c r="Z63" s="568"/>
      <c r="AA63" s="910"/>
      <c r="AB63" s="910"/>
      <c r="AC63" s="568"/>
      <c r="AD63" s="910"/>
      <c r="AE63" s="568"/>
      <c r="AF63" s="910"/>
      <c r="AG63" s="568"/>
      <c r="AH63" s="910"/>
      <c r="AI63" s="568"/>
      <c r="AJ63" s="910"/>
      <c r="AK63" s="391"/>
      <c r="AL63" s="191"/>
      <c r="AM63" s="191"/>
      <c r="AN63" s="191"/>
      <c r="AO63" s="191"/>
      <c r="AP63" s="192"/>
      <c r="AQ63" s="566"/>
      <c r="AW63" s="358"/>
    </row>
    <row r="64" spans="1:63" ht="17.25" customHeight="1">
      <c r="A64" s="910"/>
      <c r="B64" s="910"/>
      <c r="C64" s="458" t="s">
        <v>352</v>
      </c>
      <c r="D64" s="458"/>
      <c r="E64" s="458"/>
      <c r="F64" s="458"/>
      <c r="G64" s="458"/>
      <c r="H64" s="458"/>
      <c r="I64" s="458"/>
      <c r="J64" s="458"/>
      <c r="K64" s="458"/>
      <c r="L64" s="486">
        <f>'Summary 02'!V35</f>
        <v>320111.37414115138</v>
      </c>
      <c r="M64" s="487"/>
      <c r="N64" s="488"/>
      <c r="O64" s="483">
        <f t="shared" ref="O64:O76" si="5">IFERROR(L64/L$61,0)</f>
        <v>0.22010108653300869</v>
      </c>
      <c r="P64" s="484"/>
      <c r="Q64" s="489">
        <f>'Summary 02'!AA35</f>
        <v>703099.88342568907</v>
      </c>
      <c r="R64" s="487"/>
      <c r="S64" s="488"/>
      <c r="T64" s="483">
        <f t="shared" ref="T64:T76" si="6">IFERROR(Q64/Q$61,0)</f>
        <v>0.30801913666582248</v>
      </c>
      <c r="U64" s="484"/>
      <c r="V64" s="568"/>
      <c r="W64" s="910"/>
      <c r="X64" s="568"/>
      <c r="Y64" s="910"/>
      <c r="Z64" s="568"/>
      <c r="AA64" s="910"/>
      <c r="AB64" s="910"/>
      <c r="AC64" s="568"/>
      <c r="AD64" s="910"/>
      <c r="AE64" s="568"/>
      <c r="AF64" s="910"/>
      <c r="AG64" s="568"/>
      <c r="AH64" s="910"/>
      <c r="AI64" s="568"/>
      <c r="AJ64" s="910"/>
      <c r="AK64" s="391"/>
      <c r="AL64" s="191"/>
      <c r="AM64" s="191"/>
      <c r="AN64" s="191"/>
      <c r="AO64" s="191"/>
      <c r="AP64" s="192"/>
      <c r="AQ64" s="566"/>
    </row>
    <row r="65" spans="1:51" ht="17.25" customHeight="1">
      <c r="A65" s="910"/>
      <c r="B65" s="910"/>
      <c r="C65" s="199" t="s">
        <v>359</v>
      </c>
      <c r="D65" s="567"/>
      <c r="E65" s="567"/>
      <c r="F65" s="567"/>
      <c r="G65" s="567"/>
      <c r="H65" s="567"/>
      <c r="I65" s="567"/>
      <c r="J65" s="567"/>
      <c r="K65" s="567"/>
      <c r="L65" s="490">
        <f>L63-L64</f>
        <v>402595.91232409509</v>
      </c>
      <c r="M65" s="491"/>
      <c r="N65" s="492"/>
      <c r="O65" s="496">
        <f t="shared" si="5"/>
        <v>0.2768155238907829</v>
      </c>
      <c r="P65" s="494"/>
      <c r="Q65" s="495">
        <f>Q63-Q64</f>
        <v>535490.28362819599</v>
      </c>
      <c r="R65" s="491"/>
      <c r="S65" s="492"/>
      <c r="T65" s="496">
        <f t="shared" si="6"/>
        <v>0.23459149794259077</v>
      </c>
      <c r="U65" s="494"/>
      <c r="V65" s="568"/>
      <c r="W65" s="910"/>
      <c r="X65" s="568"/>
      <c r="Y65" s="910"/>
      <c r="Z65" s="568"/>
      <c r="AA65" s="910"/>
      <c r="AB65" s="910"/>
      <c r="AC65" s="568"/>
      <c r="AD65" s="910"/>
      <c r="AE65" s="568"/>
      <c r="AF65" s="910"/>
      <c r="AG65" s="568"/>
      <c r="AH65" s="910"/>
      <c r="AI65" s="568"/>
      <c r="AJ65" s="910"/>
      <c r="AK65" s="568"/>
      <c r="AL65" s="567"/>
      <c r="AM65" s="567"/>
      <c r="AN65" s="567"/>
      <c r="AO65" s="567"/>
      <c r="AP65" s="566"/>
      <c r="AQ65" s="566"/>
    </row>
    <row r="66" spans="1:51" ht="17.25" customHeight="1">
      <c r="A66" s="910"/>
      <c r="B66" s="910"/>
      <c r="C66" s="830" t="s">
        <v>362</v>
      </c>
      <c r="D66" s="574"/>
      <c r="E66" s="574"/>
      <c r="F66" s="574"/>
      <c r="G66" s="574"/>
      <c r="H66" s="574"/>
      <c r="I66" s="574"/>
      <c r="J66" s="574"/>
      <c r="K66" s="574"/>
      <c r="L66" s="486">
        <f>'Summary 02'!V37</f>
        <v>4500</v>
      </c>
      <c r="M66" s="487"/>
      <c r="N66" s="488"/>
      <c r="O66" s="483">
        <f t="shared" si="5"/>
        <v>3.0940946477015945E-3</v>
      </c>
      <c r="P66" s="484"/>
      <c r="Q66" s="489">
        <f>'Summary 02'!AA37</f>
        <v>7250</v>
      </c>
      <c r="R66" s="487"/>
      <c r="S66" s="488"/>
      <c r="T66" s="483">
        <f t="shared" si="6"/>
        <v>3.1761329982687081E-3</v>
      </c>
      <c r="U66" s="484"/>
      <c r="V66" s="568"/>
      <c r="W66" s="910"/>
      <c r="X66" s="568"/>
      <c r="Y66" s="910"/>
      <c r="Z66" s="568"/>
      <c r="AA66" s="910"/>
      <c r="AB66" s="910"/>
      <c r="AC66" s="568"/>
      <c r="AD66" s="910"/>
      <c r="AE66" s="568"/>
      <c r="AF66" s="910"/>
      <c r="AG66" s="568"/>
      <c r="AH66" s="910"/>
      <c r="AI66" s="568"/>
      <c r="AJ66" s="910"/>
      <c r="AK66" s="568"/>
      <c r="AL66" s="567"/>
      <c r="AM66" s="567"/>
      <c r="AN66" s="567"/>
      <c r="AO66" s="567"/>
      <c r="AP66" s="566"/>
      <c r="AQ66" s="566"/>
    </row>
    <row r="67" spans="1:51" s="830" customFormat="1" ht="17.25" customHeight="1">
      <c r="A67" s="910"/>
      <c r="B67" s="910"/>
      <c r="C67" s="830" t="s">
        <v>231</v>
      </c>
      <c r="D67" s="767"/>
      <c r="E67" s="767"/>
      <c r="F67" s="767"/>
      <c r="G67" s="767"/>
      <c r="H67" s="767"/>
      <c r="I67" s="767"/>
      <c r="J67" s="767"/>
      <c r="K67" s="767"/>
      <c r="L67" s="486">
        <f>'Summary 02'!V38</f>
        <v>21815.751515598095</v>
      </c>
      <c r="M67" s="487"/>
      <c r="N67" s="488"/>
      <c r="O67" s="483">
        <f t="shared" ref="O67" si="7">IFERROR(L67/L$61,0)</f>
        <v>1.5000000000000003E-2</v>
      </c>
      <c r="P67" s="484"/>
      <c r="Q67" s="489">
        <f>'Summary 02'!AA38</f>
        <v>34239.750054320459</v>
      </c>
      <c r="R67" s="487"/>
      <c r="S67" s="488"/>
      <c r="T67" s="483">
        <f t="shared" si="6"/>
        <v>1.4999999999999999E-2</v>
      </c>
      <c r="U67" s="484"/>
      <c r="V67" s="568"/>
      <c r="W67" s="910"/>
      <c r="X67" s="568"/>
      <c r="Y67" s="910"/>
      <c r="Z67" s="568"/>
      <c r="AA67" s="910"/>
      <c r="AB67" s="910"/>
      <c r="AC67" s="568"/>
      <c r="AD67" s="910"/>
      <c r="AE67" s="568"/>
      <c r="AF67" s="910"/>
      <c r="AG67" s="568"/>
      <c r="AH67" s="910"/>
      <c r="AI67" s="568"/>
      <c r="AJ67" s="910"/>
      <c r="AK67" s="568"/>
      <c r="AL67" s="567"/>
      <c r="AM67" s="567"/>
      <c r="AN67" s="567"/>
      <c r="AO67" s="567"/>
      <c r="AP67" s="566"/>
      <c r="AQ67" s="566"/>
    </row>
    <row r="68" spans="1:51" s="830" customFormat="1" ht="17.25" customHeight="1">
      <c r="A68" s="910"/>
      <c r="B68" s="910"/>
      <c r="C68" s="830" t="s">
        <v>493</v>
      </c>
      <c r="D68" s="767"/>
      <c r="E68" s="767"/>
      <c r="F68" s="767"/>
      <c r="G68" s="767"/>
      <c r="H68" s="767"/>
      <c r="I68" s="767"/>
      <c r="J68" s="767"/>
      <c r="K68" s="767"/>
      <c r="L68" s="486">
        <f>'Summary 02'!V39</f>
        <v>0</v>
      </c>
      <c r="M68" s="487"/>
      <c r="N68" s="488"/>
      <c r="O68" s="483">
        <f t="shared" ref="O68:O69" si="8">IFERROR(L68/L$61,0)</f>
        <v>0</v>
      </c>
      <c r="P68" s="484"/>
      <c r="Q68" s="489">
        <f>'Summary 02'!AA39</f>
        <v>0</v>
      </c>
      <c r="R68" s="487"/>
      <c r="S68" s="488"/>
      <c r="T68" s="483">
        <f t="shared" si="6"/>
        <v>0</v>
      </c>
      <c r="U68" s="484"/>
      <c r="V68" s="568"/>
      <c r="W68" s="910"/>
      <c r="X68" s="568"/>
      <c r="Y68" s="910"/>
      <c r="Z68" s="568"/>
      <c r="AA68" s="910"/>
      <c r="AB68" s="910"/>
      <c r="AC68" s="568"/>
      <c r="AD68" s="910"/>
      <c r="AE68" s="568"/>
      <c r="AF68" s="910"/>
      <c r="AG68" s="568"/>
      <c r="AH68" s="910"/>
      <c r="AI68" s="568"/>
      <c r="AJ68" s="910"/>
      <c r="AK68" s="568"/>
      <c r="AL68" s="567"/>
      <c r="AM68" s="567"/>
      <c r="AN68" s="567"/>
      <c r="AO68" s="567"/>
      <c r="AP68" s="566"/>
      <c r="AQ68" s="566"/>
    </row>
    <row r="69" spans="1:51" s="830" customFormat="1" ht="17.25" customHeight="1">
      <c r="A69" s="910"/>
      <c r="B69" s="910"/>
      <c r="C69" s="830" t="s">
        <v>685</v>
      </c>
      <c r="D69" s="767"/>
      <c r="E69" s="767"/>
      <c r="F69" s="767"/>
      <c r="G69" s="767"/>
      <c r="H69" s="767"/>
      <c r="I69" s="767"/>
      <c r="J69" s="767"/>
      <c r="K69" s="767"/>
      <c r="L69" s="486">
        <f>-'Summary 02'!V44+'Summary 02'!V45</f>
        <v>5500</v>
      </c>
      <c r="M69" s="487"/>
      <c r="N69" s="488"/>
      <c r="O69" s="483">
        <f t="shared" si="8"/>
        <v>3.7816712360797269E-3</v>
      </c>
      <c r="P69" s="484"/>
      <c r="Q69" s="489">
        <f>-'Summary 02'!AA44+'Summary 02'!AA45</f>
        <v>-1750</v>
      </c>
      <c r="R69" s="487"/>
      <c r="S69" s="488"/>
      <c r="T69" s="483">
        <f t="shared" si="6"/>
        <v>-7.6665279268555017E-4</v>
      </c>
      <c r="U69" s="484"/>
      <c r="V69" s="568"/>
      <c r="W69" s="910"/>
      <c r="X69" s="568"/>
      <c r="Y69" s="910"/>
      <c r="Z69" s="568"/>
      <c r="AA69" s="910"/>
      <c r="AB69" s="910"/>
      <c r="AC69" s="568"/>
      <c r="AD69" s="910"/>
      <c r="AE69" s="568"/>
      <c r="AF69" s="910"/>
      <c r="AG69" s="568"/>
      <c r="AH69" s="910"/>
      <c r="AI69" s="568"/>
      <c r="AJ69" s="910"/>
      <c r="AK69" s="568"/>
      <c r="AL69" s="567"/>
      <c r="AM69" s="567"/>
      <c r="AN69" s="567"/>
      <c r="AO69" s="567"/>
      <c r="AP69" s="566"/>
      <c r="AQ69" s="566"/>
    </row>
    <row r="70" spans="1:51" ht="17.25" customHeight="1">
      <c r="A70" s="910"/>
      <c r="B70" s="910"/>
      <c r="C70" s="199" t="s">
        <v>655</v>
      </c>
      <c r="D70" s="191"/>
      <c r="E70" s="191"/>
      <c r="F70" s="191"/>
      <c r="G70" s="191"/>
      <c r="H70" s="191"/>
      <c r="I70" s="191"/>
      <c r="J70" s="191"/>
      <c r="K70" s="191"/>
      <c r="L70" s="490">
        <f>L65+L66-L67+L68+L69</f>
        <v>390780.16080849699</v>
      </c>
      <c r="M70" s="491"/>
      <c r="N70" s="492"/>
      <c r="O70" s="496">
        <f t="shared" si="5"/>
        <v>0.26869128977456419</v>
      </c>
      <c r="P70" s="494"/>
      <c r="Q70" s="495">
        <f>Q65+Q66-Q67+Q68+Q69</f>
        <v>506750.53357387555</v>
      </c>
      <c r="R70" s="491"/>
      <c r="S70" s="492"/>
      <c r="T70" s="496">
        <f t="shared" si="6"/>
        <v>0.22200097814817393</v>
      </c>
      <c r="U70" s="494"/>
      <c r="V70" s="568"/>
      <c r="W70" s="910"/>
      <c r="X70" s="568"/>
      <c r="Y70" s="910"/>
      <c r="Z70" s="568"/>
      <c r="AA70" s="910"/>
      <c r="AB70" s="910"/>
      <c r="AC70" s="568"/>
      <c r="AD70" s="910"/>
      <c r="AE70" s="568"/>
      <c r="AF70" s="910"/>
      <c r="AG70" s="568"/>
      <c r="AH70" s="910"/>
      <c r="AI70" s="568"/>
      <c r="AJ70" s="910"/>
      <c r="AK70" s="391"/>
      <c r="AL70" s="191"/>
      <c r="AM70" s="191"/>
      <c r="AN70" s="191"/>
      <c r="AO70" s="191"/>
      <c r="AP70" s="192"/>
      <c r="AQ70" s="192"/>
    </row>
    <row r="71" spans="1:51" ht="17.25" customHeight="1">
      <c r="A71" s="910"/>
      <c r="B71" s="910"/>
      <c r="C71" s="830" t="str">
        <f>CHOOSE(language,"Depreciation &amp; Amortisation","Depreciation &amp; Amortization")</f>
        <v>Depreciation &amp; Amortization</v>
      </c>
      <c r="D71" s="458"/>
      <c r="E71" s="458"/>
      <c r="F71" s="458"/>
      <c r="G71" s="458"/>
      <c r="H71" s="458"/>
      <c r="I71" s="458"/>
      <c r="J71" s="458"/>
      <c r="K71" s="458"/>
      <c r="L71" s="486">
        <f>'Summary 02'!V40</f>
        <v>80330.555555555533</v>
      </c>
      <c r="M71" s="487"/>
      <c r="N71" s="488"/>
      <c r="O71" s="483">
        <f t="shared" si="5"/>
        <v>5.5233409331408884E-2</v>
      </c>
      <c r="P71" s="484"/>
      <c r="Q71" s="489">
        <f>'Summary 02'!AA40</f>
        <v>131936.11111111112</v>
      </c>
      <c r="R71" s="487"/>
      <c r="S71" s="488"/>
      <c r="T71" s="483">
        <f t="shared" si="6"/>
        <v>5.7799536022516793E-2</v>
      </c>
      <c r="U71" s="484"/>
      <c r="V71" s="568"/>
      <c r="W71" s="910"/>
      <c r="X71" s="568"/>
      <c r="Y71" s="910"/>
      <c r="Z71" s="568"/>
      <c r="AA71" s="910"/>
      <c r="AB71" s="910"/>
      <c r="AC71" s="568"/>
      <c r="AD71" s="910"/>
      <c r="AE71" s="568"/>
      <c r="AF71" s="910"/>
      <c r="AG71" s="568"/>
      <c r="AH71" s="910"/>
      <c r="AI71" s="568"/>
      <c r="AJ71" s="910"/>
      <c r="AK71" s="391"/>
      <c r="AL71" s="191"/>
      <c r="AM71" s="191"/>
      <c r="AN71" s="191"/>
      <c r="AO71" s="191"/>
      <c r="AP71" s="192"/>
      <c r="AQ71" s="192"/>
    </row>
    <row r="72" spans="1:51" ht="17.25" customHeight="1">
      <c r="A72" s="910"/>
      <c r="B72" s="910"/>
      <c r="C72" s="199" t="s">
        <v>686</v>
      </c>
      <c r="D72" s="191"/>
      <c r="E72" s="191"/>
      <c r="F72" s="191"/>
      <c r="G72" s="191"/>
      <c r="H72" s="191"/>
      <c r="I72" s="191"/>
      <c r="J72" s="191"/>
      <c r="K72" s="191"/>
      <c r="L72" s="490">
        <f>L70-L71</f>
        <v>310449.60525294149</v>
      </c>
      <c r="M72" s="491"/>
      <c r="N72" s="492"/>
      <c r="O72" s="496">
        <f t="shared" si="5"/>
        <v>0.21345788044315536</v>
      </c>
      <c r="P72" s="494"/>
      <c r="Q72" s="495">
        <f>Q70-Q71</f>
        <v>374814.42246276443</v>
      </c>
      <c r="R72" s="491"/>
      <c r="S72" s="492"/>
      <c r="T72" s="496">
        <f t="shared" si="6"/>
        <v>0.16420144212565713</v>
      </c>
      <c r="U72" s="494"/>
      <c r="V72" s="568"/>
      <c r="W72" s="910"/>
      <c r="X72" s="568"/>
      <c r="Y72" s="910"/>
      <c r="Z72" s="568"/>
      <c r="AA72" s="910"/>
      <c r="AB72" s="910"/>
      <c r="AC72" s="568"/>
      <c r="AD72" s="910"/>
      <c r="AE72" s="568"/>
      <c r="AF72" s="910"/>
      <c r="AG72" s="568"/>
      <c r="AH72" s="910"/>
      <c r="AI72" s="568"/>
      <c r="AJ72" s="910"/>
      <c r="AK72" s="391"/>
      <c r="AL72" s="191"/>
      <c r="AM72" s="191"/>
      <c r="AN72" s="191"/>
      <c r="AO72" s="191"/>
      <c r="AP72" s="192"/>
      <c r="AQ72" s="192"/>
    </row>
    <row r="73" spans="1:51" ht="17.25" customHeight="1">
      <c r="A73" s="910"/>
      <c r="B73" s="910"/>
      <c r="C73" s="458" t="s">
        <v>578</v>
      </c>
      <c r="D73" s="458"/>
      <c r="E73" s="458"/>
      <c r="F73" s="458"/>
      <c r="G73" s="767"/>
      <c r="H73" s="767"/>
      <c r="I73" s="767"/>
      <c r="J73" s="458"/>
      <c r="K73" s="458"/>
      <c r="L73" s="486">
        <f ca="1">'Summary 02'!V42-'Summary 02'!V43</f>
        <v>14236.932525625936</v>
      </c>
      <c r="M73" s="487"/>
      <c r="N73" s="488"/>
      <c r="O73" s="483">
        <f t="shared" ca="1" si="5"/>
        <v>9.7889814949395446E-3</v>
      </c>
      <c r="P73" s="484"/>
      <c r="Q73" s="489">
        <f ca="1">'Summary 02'!AA42-'Summary 02'!AA43</f>
        <v>13661.129798394541</v>
      </c>
      <c r="R73" s="487"/>
      <c r="S73" s="488"/>
      <c r="T73" s="483">
        <f t="shared" ca="1" si="6"/>
        <v>5.9847676063879782E-3</v>
      </c>
      <c r="U73" s="484"/>
      <c r="V73" s="568"/>
      <c r="W73" s="910"/>
      <c r="X73" s="568"/>
      <c r="Y73" s="910"/>
      <c r="Z73" s="568"/>
      <c r="AA73" s="910"/>
      <c r="AB73" s="910"/>
      <c r="AC73" s="568"/>
      <c r="AD73" s="910"/>
      <c r="AE73" s="568"/>
      <c r="AF73" s="910"/>
      <c r="AG73" s="568"/>
      <c r="AH73" s="910"/>
      <c r="AI73" s="568"/>
      <c r="AJ73" s="910"/>
      <c r="AK73" s="391"/>
      <c r="AL73" s="191"/>
      <c r="AM73" s="191"/>
      <c r="AN73" s="191"/>
      <c r="AO73" s="191"/>
      <c r="AP73" s="192"/>
      <c r="AQ73" s="192"/>
    </row>
    <row r="74" spans="1:51" ht="17.25" customHeight="1">
      <c r="A74" s="910"/>
      <c r="B74" s="910"/>
      <c r="C74" s="199" t="s">
        <v>503</v>
      </c>
      <c r="D74" s="191"/>
      <c r="E74" s="191"/>
      <c r="F74" s="191"/>
      <c r="G74" s="191"/>
      <c r="H74" s="191"/>
      <c r="I74" s="191"/>
      <c r="J74" s="191"/>
      <c r="K74" s="191"/>
      <c r="L74" s="490">
        <f ca="1">L72-L73</f>
        <v>296212.67272731557</v>
      </c>
      <c r="M74" s="491"/>
      <c r="N74" s="492"/>
      <c r="O74" s="496">
        <f t="shared" ca="1" si="5"/>
        <v>0.20366889894821583</v>
      </c>
      <c r="P74" s="494"/>
      <c r="Q74" s="495">
        <f ca="1">Q72-Q73</f>
        <v>361153.29266436992</v>
      </c>
      <c r="R74" s="491"/>
      <c r="S74" s="492"/>
      <c r="T74" s="496">
        <f t="shared" ca="1" si="6"/>
        <v>0.15821667451926916</v>
      </c>
      <c r="U74" s="494"/>
      <c r="V74" s="568"/>
      <c r="W74" s="910"/>
      <c r="X74" s="568"/>
      <c r="Y74" s="910"/>
      <c r="Z74" s="568"/>
      <c r="AA74" s="910"/>
      <c r="AB74" s="910"/>
      <c r="AC74" s="568"/>
      <c r="AD74" s="910"/>
      <c r="AE74" s="568"/>
      <c r="AF74" s="910"/>
      <c r="AG74" s="568"/>
      <c r="AH74" s="910"/>
      <c r="AI74" s="568"/>
      <c r="AJ74" s="910"/>
      <c r="AK74" s="391"/>
      <c r="AL74" s="551"/>
      <c r="AM74" s="551"/>
      <c r="AN74" s="551"/>
      <c r="AO74" s="551"/>
      <c r="AP74" s="552"/>
      <c r="AQ74" s="192"/>
    </row>
    <row r="75" spans="1:51" ht="17.25" customHeight="1">
      <c r="A75" s="910"/>
      <c r="B75" s="910"/>
      <c r="C75" s="257" t="str">
        <f>CHOOSE(language,"Taxes on Profit","Taxes on Income")</f>
        <v>Taxes on Income</v>
      </c>
      <c r="D75" s="458"/>
      <c r="E75" s="458"/>
      <c r="F75" s="458"/>
      <c r="G75" s="458"/>
      <c r="H75" s="458"/>
      <c r="I75" s="458"/>
      <c r="J75" s="458"/>
      <c r="K75" s="458"/>
      <c r="L75" s="486">
        <f ca="1">'Summary 02'!V47</f>
        <v>88863.801818194697</v>
      </c>
      <c r="M75" s="487"/>
      <c r="N75" s="488"/>
      <c r="O75" s="483">
        <f t="shared" ca="1" si="5"/>
        <v>6.1100669684464766E-2</v>
      </c>
      <c r="P75" s="484"/>
      <c r="Q75" s="489">
        <f ca="1">'Summary 02'!AA47</f>
        <v>108345.98779931097</v>
      </c>
      <c r="R75" s="487"/>
      <c r="S75" s="488"/>
      <c r="T75" s="483">
        <f t="shared" ca="1" si="6"/>
        <v>4.7465002355780744E-2</v>
      </c>
      <c r="U75" s="484"/>
      <c r="V75" s="568"/>
      <c r="W75" s="910"/>
      <c r="X75" s="568"/>
      <c r="Y75" s="910"/>
      <c r="Z75" s="568"/>
      <c r="AA75" s="910"/>
      <c r="AB75" s="910"/>
      <c r="AC75" s="568"/>
      <c r="AD75" s="910"/>
      <c r="AE75" s="568"/>
      <c r="AF75" s="910"/>
      <c r="AG75" s="568"/>
      <c r="AH75" s="910"/>
      <c r="AI75" s="568"/>
      <c r="AJ75" s="910"/>
      <c r="AK75" s="391"/>
      <c r="AL75" s="191"/>
      <c r="AM75" s="191"/>
      <c r="AN75" s="191"/>
      <c r="AO75" s="191"/>
      <c r="AP75" s="192"/>
      <c r="AQ75" s="192"/>
    </row>
    <row r="76" spans="1:51" ht="17.25" customHeight="1" thickBot="1">
      <c r="A76" s="910"/>
      <c r="B76" s="910"/>
      <c r="C76" s="201" t="s">
        <v>734</v>
      </c>
      <c r="D76" s="563"/>
      <c r="E76" s="563"/>
      <c r="F76" s="563"/>
      <c r="G76" s="563"/>
      <c r="H76" s="563"/>
      <c r="I76" s="563"/>
      <c r="J76" s="563"/>
      <c r="K76" s="563"/>
      <c r="L76" s="471">
        <f ca="1">L74-L75</f>
        <v>207348.87090912089</v>
      </c>
      <c r="M76" s="472"/>
      <c r="N76" s="497"/>
      <c r="O76" s="498">
        <f t="shared" ca="1" si="5"/>
        <v>0.14256822926375107</v>
      </c>
      <c r="P76" s="499"/>
      <c r="Q76" s="500">
        <f ca="1">Q74-Q75</f>
        <v>252807.30486505895</v>
      </c>
      <c r="R76" s="472"/>
      <c r="S76" s="497"/>
      <c r="T76" s="498">
        <f t="shared" ca="1" si="6"/>
        <v>0.11075167216348841</v>
      </c>
      <c r="U76" s="499"/>
      <c r="V76" s="568"/>
      <c r="W76" s="910"/>
      <c r="X76" s="568"/>
      <c r="Y76" s="910"/>
      <c r="Z76" s="568"/>
      <c r="AA76" s="910"/>
      <c r="AB76" s="910"/>
      <c r="AC76" s="568"/>
      <c r="AD76" s="910"/>
      <c r="AE76" s="568"/>
      <c r="AF76" s="910"/>
      <c r="AG76" s="568"/>
      <c r="AH76" s="910"/>
      <c r="AI76" s="568"/>
      <c r="AJ76" s="910"/>
      <c r="AK76" s="568"/>
      <c r="AL76" s="191"/>
      <c r="AM76" s="191"/>
      <c r="AN76" s="191"/>
      <c r="AO76" s="191"/>
      <c r="AP76" s="192"/>
      <c r="AQ76" s="192"/>
    </row>
    <row r="77" spans="1:51" ht="17.25" customHeight="1" thickTop="1">
      <c r="A77" s="910"/>
      <c r="B77" s="910"/>
      <c r="C77" s="257" t="s">
        <v>366</v>
      </c>
      <c r="D77" s="562"/>
      <c r="E77" s="562"/>
      <c r="F77" s="562"/>
      <c r="G77" s="562"/>
      <c r="H77" s="562"/>
      <c r="I77" s="595">
        <f>Inputs!$F$248</f>
        <v>-33500</v>
      </c>
      <c r="J77" s="595"/>
      <c r="K77" s="562"/>
      <c r="L77" s="486">
        <f ca="1">Inputs!$F$248+L76</f>
        <v>173848.87090912089</v>
      </c>
      <c r="M77" s="487"/>
      <c r="N77" s="488"/>
      <c r="O77" s="634"/>
      <c r="P77" s="478"/>
      <c r="Q77" s="489">
        <f ca="1">IF(Q74=0,0,L77+Q76)</f>
        <v>426656.17577417986</v>
      </c>
      <c r="R77" s="487"/>
      <c r="S77" s="488"/>
      <c r="T77" s="634"/>
      <c r="U77" s="478"/>
      <c r="V77" s="568"/>
      <c r="W77" s="910"/>
      <c r="X77" s="568"/>
      <c r="Y77" s="910"/>
      <c r="Z77" s="568"/>
      <c r="AA77" s="910"/>
      <c r="AB77" s="910"/>
      <c r="AC77" s="568"/>
      <c r="AD77" s="910"/>
      <c r="AE77" s="568"/>
      <c r="AF77" s="910"/>
      <c r="AG77" s="568"/>
      <c r="AH77" s="910"/>
      <c r="AI77" s="568"/>
      <c r="AJ77" s="910"/>
      <c r="AK77" s="568"/>
      <c r="AL77" s="191"/>
      <c r="AM77" s="191"/>
      <c r="AN77" s="191"/>
      <c r="AO77" s="191"/>
      <c r="AP77" s="192"/>
      <c r="AQ77" s="192"/>
    </row>
    <row r="78" spans="1:51" ht="17.25" customHeight="1">
      <c r="A78" s="910"/>
      <c r="B78" s="910"/>
      <c r="C78" s="501" t="s">
        <v>736</v>
      </c>
      <c r="D78" s="261"/>
      <c r="E78" s="261"/>
      <c r="F78" s="261"/>
      <c r="G78" s="261"/>
      <c r="H78" s="261"/>
      <c r="I78" s="648">
        <f ca="1">ROUND(I77+L76+Q76-LOOKUP(Enddatum,'Summary 02'!$J$8:$AA$8,'Summary 02'!$J$49:$AA$49),1)</f>
        <v>0</v>
      </c>
      <c r="J78" s="648"/>
      <c r="K78" s="261"/>
      <c r="L78" s="396"/>
      <c r="M78" s="394"/>
      <c r="N78" s="394"/>
      <c r="O78" s="261"/>
      <c r="P78" s="261"/>
      <c r="Q78" s="396"/>
      <c r="R78" s="394"/>
      <c r="S78" s="394"/>
      <c r="T78" s="458"/>
      <c r="U78" s="458"/>
      <c r="V78" s="910"/>
      <c r="W78" s="910"/>
      <c r="X78" s="910"/>
      <c r="Y78" s="910"/>
      <c r="Z78" s="910"/>
      <c r="AA78" s="910"/>
      <c r="AB78" s="910"/>
      <c r="AC78" s="910"/>
      <c r="AD78" s="910"/>
      <c r="AE78" s="910"/>
      <c r="AF78" s="910"/>
      <c r="AG78" s="910"/>
      <c r="AH78" s="910"/>
      <c r="AI78" s="910"/>
      <c r="AJ78" s="910"/>
      <c r="AK78" s="191"/>
      <c r="AL78" s="191"/>
      <c r="AM78" s="191"/>
      <c r="AN78" s="191"/>
      <c r="AO78" s="191"/>
      <c r="AP78" s="192"/>
      <c r="AQ78" s="192"/>
    </row>
    <row r="79" spans="1:51" ht="12.75" customHeight="1">
      <c r="A79" s="910"/>
      <c r="B79" s="910"/>
      <c r="C79" s="191"/>
      <c r="D79" s="191"/>
      <c r="E79" s="191"/>
      <c r="F79" s="191"/>
      <c r="G79" s="191"/>
      <c r="H79" s="191"/>
      <c r="I79" s="191"/>
      <c r="J79" s="191"/>
      <c r="K79" s="191"/>
      <c r="L79" s="465"/>
      <c r="M79" s="191"/>
      <c r="N79" s="191"/>
      <c r="O79" s="465"/>
      <c r="P79" s="191"/>
      <c r="Q79" s="191"/>
      <c r="R79" s="465"/>
      <c r="S79" s="191"/>
      <c r="T79" s="191"/>
      <c r="U79" s="465"/>
      <c r="V79" s="191"/>
      <c r="W79" s="191"/>
      <c r="X79" s="465"/>
      <c r="Y79" s="191"/>
      <c r="Z79" s="191"/>
      <c r="AA79" s="191"/>
      <c r="AB79" s="191"/>
      <c r="AC79" s="191"/>
      <c r="AD79" s="191"/>
      <c r="AE79" s="191"/>
      <c r="AF79" s="191"/>
      <c r="AG79" s="191"/>
      <c r="AH79" s="191"/>
      <c r="AI79" s="191"/>
      <c r="AJ79" s="465"/>
      <c r="AK79" s="191"/>
      <c r="AL79" s="191"/>
      <c r="AM79" s="465"/>
      <c r="AN79" s="191"/>
      <c r="AO79" s="191"/>
      <c r="AP79" s="192"/>
      <c r="AQ79" s="192"/>
      <c r="AY79" s="262"/>
    </row>
    <row r="80" spans="1:51" s="911" customFormat="1" ht="17.25" customHeight="1">
      <c r="A80" s="910"/>
      <c r="B80" s="910"/>
      <c r="C80" s="910"/>
      <c r="D80" s="910"/>
      <c r="E80" s="910"/>
      <c r="F80" s="910"/>
      <c r="G80" s="910"/>
      <c r="H80" s="910"/>
      <c r="I80" s="910"/>
      <c r="J80" s="910"/>
      <c r="K80" s="910"/>
      <c r="L80" s="465"/>
      <c r="M80" s="910"/>
      <c r="N80" s="910"/>
      <c r="O80" s="465"/>
      <c r="P80" s="910"/>
      <c r="Q80" s="910"/>
      <c r="R80" s="465"/>
      <c r="S80" s="910"/>
      <c r="T80" s="910"/>
      <c r="U80" s="465"/>
      <c r="V80" s="910"/>
      <c r="W80" s="910"/>
      <c r="X80" s="465"/>
      <c r="Y80" s="910"/>
      <c r="Z80" s="910"/>
      <c r="AA80" s="910"/>
      <c r="AB80" s="910"/>
      <c r="AC80" s="910"/>
      <c r="AD80" s="910"/>
      <c r="AE80" s="910"/>
      <c r="AF80" s="910"/>
      <c r="AG80" s="910"/>
      <c r="AH80" s="910"/>
      <c r="AI80" s="910"/>
      <c r="AJ80" s="465"/>
      <c r="AK80" s="910"/>
      <c r="AL80" s="910"/>
      <c r="AM80" s="465"/>
      <c r="AN80" s="910"/>
      <c r="AO80" s="910"/>
      <c r="AP80" s="566"/>
      <c r="AQ80" s="566"/>
      <c r="AY80" s="262"/>
    </row>
    <row r="81" spans="1:51" s="911" customFormat="1" ht="24" customHeight="1">
      <c r="A81" s="910"/>
      <c r="B81" s="910"/>
      <c r="C81" s="502" t="s">
        <v>859</v>
      </c>
      <c r="D81" s="566"/>
      <c r="E81" s="566"/>
      <c r="F81" s="566"/>
      <c r="G81" s="566"/>
      <c r="H81" s="566"/>
      <c r="I81" s="566"/>
      <c r="J81" s="566"/>
      <c r="K81" s="566"/>
      <c r="L81" s="243"/>
      <c r="M81" s="566"/>
      <c r="N81" s="566"/>
      <c r="O81" s="243"/>
      <c r="P81" s="566"/>
      <c r="Q81" s="566"/>
      <c r="R81" s="243"/>
      <c r="S81" s="566"/>
      <c r="T81" s="566"/>
      <c r="U81" s="243"/>
      <c r="V81" s="566"/>
      <c r="W81" s="566"/>
      <c r="X81" s="243"/>
      <c r="Y81" s="566"/>
      <c r="Z81" s="566"/>
      <c r="AA81" s="566"/>
      <c r="AB81" s="566"/>
      <c r="AC81" s="566"/>
      <c r="AD81" s="566"/>
      <c r="AE81" s="566"/>
      <c r="AF81" s="566"/>
      <c r="AG81" s="566"/>
      <c r="AH81" s="566"/>
      <c r="AI81" s="566"/>
      <c r="AJ81" s="243"/>
      <c r="AK81" s="566"/>
      <c r="AL81" s="566"/>
      <c r="AM81" s="243"/>
      <c r="AN81" s="910"/>
      <c r="AO81" s="910"/>
      <c r="AP81" s="566"/>
      <c r="AQ81" s="566"/>
      <c r="AY81" s="262"/>
    </row>
    <row r="82" spans="1:51" s="911" customFormat="1" ht="12.75" customHeight="1">
      <c r="A82" s="910"/>
      <c r="B82" s="910"/>
      <c r="C82" s="467"/>
      <c r="D82" s="566"/>
      <c r="E82" s="566"/>
      <c r="F82" s="566"/>
      <c r="G82" s="566"/>
      <c r="H82" s="566"/>
      <c r="I82" s="566"/>
      <c r="J82" s="566"/>
      <c r="K82" s="566"/>
      <c r="L82" s="243"/>
      <c r="M82" s="566"/>
      <c r="N82" s="566"/>
      <c r="O82" s="243"/>
      <c r="P82" s="566"/>
      <c r="Q82" s="566"/>
      <c r="R82" s="243"/>
      <c r="S82" s="566"/>
      <c r="T82" s="566"/>
      <c r="U82" s="243"/>
      <c r="V82" s="566"/>
      <c r="W82" s="566"/>
      <c r="X82" s="243"/>
      <c r="Y82" s="566"/>
      <c r="Z82" s="566"/>
      <c r="AA82" s="566"/>
      <c r="AB82" s="566"/>
      <c r="AC82" s="566"/>
      <c r="AD82" s="566"/>
      <c r="AE82" s="566"/>
      <c r="AF82" s="566"/>
      <c r="AG82" s="566"/>
      <c r="AH82" s="566"/>
      <c r="AI82" s="566"/>
      <c r="AJ82" s="243"/>
      <c r="AK82" s="566"/>
      <c r="AL82" s="566"/>
      <c r="AM82" s="243"/>
      <c r="AN82" s="910"/>
      <c r="AO82" s="910"/>
      <c r="AP82" s="566"/>
      <c r="AQ82" s="566"/>
      <c r="AY82" s="262"/>
    </row>
    <row r="83" spans="1:51" s="911" customFormat="1" ht="22.5" customHeight="1">
      <c r="A83" s="910"/>
      <c r="B83" s="910"/>
      <c r="C83" s="502" t="s">
        <v>861</v>
      </c>
      <c r="D83" s="566"/>
      <c r="E83" s="566"/>
      <c r="F83" s="566"/>
      <c r="G83" s="566"/>
      <c r="H83" s="566"/>
      <c r="I83" s="566"/>
      <c r="J83" s="566"/>
      <c r="K83" s="566"/>
      <c r="L83" s="243"/>
      <c r="M83" s="566"/>
      <c r="N83" s="566"/>
      <c r="O83" s="467" t="str">
        <f>"   (all currency in " &amp;Currency_Label &amp;")"</f>
        <v xml:space="preserve">   (all currency in USD)</v>
      </c>
      <c r="P83" s="566"/>
      <c r="Q83" s="566"/>
      <c r="R83" s="243"/>
      <c r="S83" s="566"/>
      <c r="T83" s="566"/>
      <c r="U83" s="243"/>
      <c r="V83" s="566"/>
      <c r="W83" s="566"/>
      <c r="X83" s="243"/>
      <c r="Y83" s="566"/>
      <c r="Z83" s="566"/>
      <c r="AA83" s="566"/>
      <c r="AB83" s="566"/>
      <c r="AC83" s="566"/>
      <c r="AD83" s="566"/>
      <c r="AE83" s="566"/>
      <c r="AF83" s="566"/>
      <c r="AG83" s="566"/>
      <c r="AH83" s="566"/>
      <c r="AI83" s="566"/>
      <c r="AJ83" s="243"/>
      <c r="AK83" s="566"/>
      <c r="AL83" s="566"/>
      <c r="AM83" s="243"/>
      <c r="AN83" s="910"/>
      <c r="AO83" s="910"/>
      <c r="AP83" s="566"/>
      <c r="AQ83" s="566"/>
      <c r="AY83" s="262"/>
    </row>
    <row r="84" spans="1:51" s="911" customFormat="1" ht="16.5" customHeight="1">
      <c r="A84" s="910"/>
      <c r="B84" s="910"/>
      <c r="C84" s="467"/>
      <c r="D84" s="566"/>
      <c r="E84" s="566"/>
      <c r="F84" s="566"/>
      <c r="G84" s="566"/>
      <c r="H84" s="566"/>
      <c r="I84" s="566"/>
      <c r="J84" s="566"/>
      <c r="K84" s="566"/>
      <c r="L84" s="243"/>
      <c r="M84" s="566"/>
      <c r="N84" s="566"/>
      <c r="O84" s="243"/>
      <c r="P84" s="566"/>
      <c r="Q84" s="566"/>
      <c r="R84" s="243"/>
      <c r="S84" s="566"/>
      <c r="T84" s="566"/>
      <c r="U84" s="243"/>
      <c r="V84" s="566"/>
      <c r="W84" s="566"/>
      <c r="X84" s="243"/>
      <c r="Y84" s="566"/>
      <c r="Z84" s="566"/>
      <c r="AA84" s="566"/>
      <c r="AB84" s="566"/>
      <c r="AC84" s="566"/>
      <c r="AD84" s="566"/>
      <c r="AE84" s="566"/>
      <c r="AF84" s="566"/>
      <c r="AG84" s="566"/>
      <c r="AH84" s="566"/>
      <c r="AI84" s="566"/>
      <c r="AJ84" s="243"/>
      <c r="AK84" s="566"/>
      <c r="AL84" s="566"/>
      <c r="AM84" s="243"/>
      <c r="AN84" s="910"/>
      <c r="AO84" s="910"/>
      <c r="AP84" s="566"/>
      <c r="AQ84" s="566"/>
      <c r="AY84" s="262"/>
    </row>
    <row r="85" spans="1:51" s="911" customFormat="1" ht="17.25" customHeight="1">
      <c r="A85" s="910"/>
      <c r="B85" s="910"/>
      <c r="C85" s="566"/>
      <c r="D85" s="566"/>
      <c r="E85" s="566"/>
      <c r="F85" s="566"/>
      <c r="G85" s="566"/>
      <c r="H85" s="566"/>
      <c r="I85" s="566"/>
      <c r="J85" s="566"/>
      <c r="K85" s="566"/>
      <c r="L85" s="243"/>
      <c r="M85" s="566"/>
      <c r="N85" s="566"/>
      <c r="O85" s="243"/>
      <c r="P85" s="566"/>
      <c r="Q85" s="566"/>
      <c r="R85" s="243"/>
      <c r="S85" s="566"/>
      <c r="T85" s="566"/>
      <c r="U85" s="243"/>
      <c r="V85" s="566"/>
      <c r="W85" s="566"/>
      <c r="X85" s="243"/>
      <c r="Y85" s="566"/>
      <c r="Z85" s="566"/>
      <c r="AA85" s="566"/>
      <c r="AB85" s="566"/>
      <c r="AC85" s="566"/>
      <c r="AD85" s="566"/>
      <c r="AE85" s="566"/>
      <c r="AF85" s="566"/>
      <c r="AG85" s="566"/>
      <c r="AH85" s="566"/>
      <c r="AI85" s="566"/>
      <c r="AJ85" s="243"/>
      <c r="AK85" s="566"/>
      <c r="AL85" s="566"/>
      <c r="AM85" s="243"/>
      <c r="AN85" s="910"/>
      <c r="AO85" s="910"/>
      <c r="AP85" s="566"/>
      <c r="AQ85" s="566"/>
      <c r="AY85" s="262"/>
    </row>
    <row r="86" spans="1:51" s="911" customFormat="1" ht="17.25" customHeight="1">
      <c r="A86" s="910"/>
      <c r="B86" s="910"/>
      <c r="C86" s="566"/>
      <c r="D86" s="566"/>
      <c r="E86" s="566"/>
      <c r="F86" s="566"/>
      <c r="G86" s="566"/>
      <c r="H86" s="566"/>
      <c r="I86" s="566"/>
      <c r="J86" s="566"/>
      <c r="K86" s="566"/>
      <c r="L86" s="243"/>
      <c r="M86" s="566"/>
      <c r="N86" s="566"/>
      <c r="O86" s="243"/>
      <c r="P86" s="566"/>
      <c r="Q86" s="566"/>
      <c r="R86" s="243"/>
      <c r="S86" s="566"/>
      <c r="T86" s="566"/>
      <c r="U86" s="243"/>
      <c r="V86" s="566"/>
      <c r="W86" s="566"/>
      <c r="X86" s="243"/>
      <c r="Y86" s="566"/>
      <c r="Z86" s="566"/>
      <c r="AA86" s="566"/>
      <c r="AB86" s="566"/>
      <c r="AC86" s="566"/>
      <c r="AD86" s="566"/>
      <c r="AE86" s="566"/>
      <c r="AF86" s="566"/>
      <c r="AG86" s="566"/>
      <c r="AH86" s="566"/>
      <c r="AI86" s="566"/>
      <c r="AJ86" s="243"/>
      <c r="AK86" s="566"/>
      <c r="AL86" s="566"/>
      <c r="AM86" s="243"/>
      <c r="AN86" s="910"/>
      <c r="AO86" s="910"/>
      <c r="AP86" s="566"/>
      <c r="AQ86" s="566"/>
      <c r="AY86" s="262"/>
    </row>
    <row r="87" spans="1:51" s="911" customFormat="1" ht="17.25" customHeight="1">
      <c r="A87" s="910"/>
      <c r="B87" s="910"/>
      <c r="C87" s="566"/>
      <c r="D87" s="566"/>
      <c r="E87" s="566"/>
      <c r="F87" s="566"/>
      <c r="G87" s="566"/>
      <c r="H87" s="566"/>
      <c r="I87" s="566"/>
      <c r="J87" s="566"/>
      <c r="K87" s="566"/>
      <c r="L87" s="243"/>
      <c r="M87" s="566"/>
      <c r="N87" s="566"/>
      <c r="O87" s="243"/>
      <c r="P87" s="566"/>
      <c r="Q87" s="566"/>
      <c r="R87" s="243"/>
      <c r="S87" s="566"/>
      <c r="T87" s="566"/>
      <c r="U87" s="243"/>
      <c r="V87" s="566"/>
      <c r="W87" s="566"/>
      <c r="X87" s="243"/>
      <c r="Y87" s="566"/>
      <c r="Z87" s="566"/>
      <c r="AA87" s="566"/>
      <c r="AB87" s="566"/>
      <c r="AC87" s="566"/>
      <c r="AD87" s="566"/>
      <c r="AE87" s="566"/>
      <c r="AF87" s="566"/>
      <c r="AG87" s="566"/>
      <c r="AH87" s="566"/>
      <c r="AI87" s="566"/>
      <c r="AJ87" s="243"/>
      <c r="AK87" s="566"/>
      <c r="AL87" s="566"/>
      <c r="AM87" s="243"/>
      <c r="AN87" s="910"/>
      <c r="AO87" s="910"/>
      <c r="AP87" s="566"/>
      <c r="AQ87" s="566"/>
      <c r="AY87" s="262"/>
    </row>
    <row r="88" spans="1:51" s="911" customFormat="1" ht="17.25" customHeight="1">
      <c r="A88" s="910"/>
      <c r="B88" s="910"/>
      <c r="C88" s="566"/>
      <c r="D88" s="566"/>
      <c r="E88" s="566"/>
      <c r="F88" s="566"/>
      <c r="G88" s="566"/>
      <c r="H88" s="566"/>
      <c r="I88" s="566"/>
      <c r="J88" s="566"/>
      <c r="K88" s="566"/>
      <c r="L88" s="243"/>
      <c r="M88" s="566"/>
      <c r="N88" s="566"/>
      <c r="O88" s="243"/>
      <c r="P88" s="566"/>
      <c r="Q88" s="566"/>
      <c r="R88" s="243"/>
      <c r="S88" s="566"/>
      <c r="T88" s="566"/>
      <c r="U88" s="243"/>
      <c r="V88" s="566"/>
      <c r="W88" s="566"/>
      <c r="X88" s="243"/>
      <c r="Y88" s="566"/>
      <c r="Z88" s="566"/>
      <c r="AA88" s="566"/>
      <c r="AB88" s="566"/>
      <c r="AC88" s="566"/>
      <c r="AD88" s="566"/>
      <c r="AE88" s="566"/>
      <c r="AF88" s="566"/>
      <c r="AG88" s="566"/>
      <c r="AH88" s="566"/>
      <c r="AI88" s="566"/>
      <c r="AJ88" s="243"/>
      <c r="AK88" s="566"/>
      <c r="AL88" s="566"/>
      <c r="AM88" s="243"/>
      <c r="AN88" s="910"/>
      <c r="AO88" s="910"/>
      <c r="AP88" s="566"/>
      <c r="AQ88" s="566"/>
      <c r="AY88" s="262"/>
    </row>
    <row r="89" spans="1:51" s="911" customFormat="1" ht="17.25" customHeight="1">
      <c r="A89" s="910"/>
      <c r="B89" s="910"/>
      <c r="C89" s="566"/>
      <c r="D89" s="566"/>
      <c r="E89" s="566"/>
      <c r="F89" s="566"/>
      <c r="G89" s="566"/>
      <c r="H89" s="566"/>
      <c r="I89" s="566"/>
      <c r="J89" s="566"/>
      <c r="K89" s="566"/>
      <c r="L89" s="243"/>
      <c r="M89" s="566"/>
      <c r="N89" s="566"/>
      <c r="O89" s="243"/>
      <c r="P89" s="566"/>
      <c r="Q89" s="566"/>
      <c r="R89" s="243"/>
      <c r="S89" s="566"/>
      <c r="T89" s="566"/>
      <c r="U89" s="243"/>
      <c r="V89" s="566"/>
      <c r="W89" s="566"/>
      <c r="X89" s="243"/>
      <c r="Y89" s="566"/>
      <c r="Z89" s="566"/>
      <c r="AA89" s="566"/>
      <c r="AB89" s="566"/>
      <c r="AC89" s="566"/>
      <c r="AD89" s="566"/>
      <c r="AE89" s="566"/>
      <c r="AF89" s="566"/>
      <c r="AG89" s="566"/>
      <c r="AH89" s="566"/>
      <c r="AI89" s="566"/>
      <c r="AJ89" s="243"/>
      <c r="AK89" s="566"/>
      <c r="AL89" s="566"/>
      <c r="AM89" s="243"/>
      <c r="AN89" s="910"/>
      <c r="AO89" s="910"/>
      <c r="AP89" s="566"/>
      <c r="AQ89" s="566"/>
      <c r="AY89" s="262"/>
    </row>
    <row r="90" spans="1:51" s="911" customFormat="1" ht="17.25" customHeight="1">
      <c r="A90" s="910"/>
      <c r="B90" s="910"/>
      <c r="C90" s="566"/>
      <c r="D90" s="566"/>
      <c r="E90" s="566"/>
      <c r="F90" s="566"/>
      <c r="G90" s="566"/>
      <c r="H90" s="566"/>
      <c r="I90" s="566"/>
      <c r="J90" s="566"/>
      <c r="K90" s="566"/>
      <c r="L90" s="243"/>
      <c r="M90" s="566"/>
      <c r="N90" s="566"/>
      <c r="O90" s="243"/>
      <c r="P90" s="566"/>
      <c r="Q90" s="566"/>
      <c r="R90" s="243"/>
      <c r="S90" s="566"/>
      <c r="T90" s="566"/>
      <c r="U90" s="243"/>
      <c r="V90" s="566"/>
      <c r="W90" s="566"/>
      <c r="X90" s="243"/>
      <c r="Y90" s="566"/>
      <c r="Z90" s="566"/>
      <c r="AA90" s="566"/>
      <c r="AB90" s="566"/>
      <c r="AC90" s="566"/>
      <c r="AD90" s="566"/>
      <c r="AE90" s="566"/>
      <c r="AF90" s="566"/>
      <c r="AG90" s="566"/>
      <c r="AH90" s="566"/>
      <c r="AI90" s="566"/>
      <c r="AJ90" s="243"/>
      <c r="AK90" s="566"/>
      <c r="AL90" s="566"/>
      <c r="AM90" s="243"/>
      <c r="AN90" s="910"/>
      <c r="AO90" s="910"/>
      <c r="AP90" s="566"/>
      <c r="AQ90" s="566"/>
      <c r="AY90" s="262"/>
    </row>
    <row r="91" spans="1:51" s="911" customFormat="1" ht="17.25" customHeight="1">
      <c r="A91" s="910"/>
      <c r="B91" s="910"/>
      <c r="C91" s="566"/>
      <c r="D91" s="566"/>
      <c r="E91" s="566"/>
      <c r="F91" s="566"/>
      <c r="G91" s="566"/>
      <c r="H91" s="566"/>
      <c r="I91" s="566"/>
      <c r="J91" s="566"/>
      <c r="K91" s="566"/>
      <c r="L91" s="243"/>
      <c r="M91" s="566"/>
      <c r="N91" s="566"/>
      <c r="O91" s="243"/>
      <c r="P91" s="566"/>
      <c r="Q91" s="566"/>
      <c r="R91" s="243"/>
      <c r="S91" s="566"/>
      <c r="T91" s="566"/>
      <c r="U91" s="243"/>
      <c r="V91" s="566"/>
      <c r="W91" s="566"/>
      <c r="X91" s="243"/>
      <c r="Y91" s="566"/>
      <c r="Z91" s="566"/>
      <c r="AA91" s="566"/>
      <c r="AB91" s="566"/>
      <c r="AC91" s="566"/>
      <c r="AD91" s="566"/>
      <c r="AE91" s="566"/>
      <c r="AF91" s="566"/>
      <c r="AG91" s="566"/>
      <c r="AH91" s="566"/>
      <c r="AI91" s="566"/>
      <c r="AJ91" s="243"/>
      <c r="AK91" s="566"/>
      <c r="AL91" s="566"/>
      <c r="AM91" s="243"/>
      <c r="AN91" s="910"/>
      <c r="AO91" s="910"/>
      <c r="AP91" s="566"/>
      <c r="AQ91" s="566"/>
      <c r="AY91" s="262"/>
    </row>
    <row r="92" spans="1:51" s="911" customFormat="1" ht="17.25" customHeight="1">
      <c r="A92" s="910"/>
      <c r="B92" s="910"/>
      <c r="C92" s="566"/>
      <c r="D92" s="566"/>
      <c r="E92" s="566"/>
      <c r="F92" s="566"/>
      <c r="G92" s="566"/>
      <c r="H92" s="566"/>
      <c r="I92" s="566"/>
      <c r="J92" s="566"/>
      <c r="K92" s="566"/>
      <c r="L92" s="243"/>
      <c r="M92" s="566"/>
      <c r="N92" s="566"/>
      <c r="O92" s="243"/>
      <c r="P92" s="566"/>
      <c r="Q92" s="566"/>
      <c r="R92" s="243"/>
      <c r="S92" s="566"/>
      <c r="T92" s="566"/>
      <c r="U92" s="243"/>
      <c r="V92" s="566"/>
      <c r="W92" s="566"/>
      <c r="X92" s="243"/>
      <c r="Y92" s="566"/>
      <c r="Z92" s="566"/>
      <c r="AA92" s="566"/>
      <c r="AB92" s="566"/>
      <c r="AC92" s="566"/>
      <c r="AD92" s="566"/>
      <c r="AE92" s="566"/>
      <c r="AF92" s="566"/>
      <c r="AG92" s="566"/>
      <c r="AH92" s="566"/>
      <c r="AI92" s="566"/>
      <c r="AJ92" s="243"/>
      <c r="AK92" s="566"/>
      <c r="AL92" s="566"/>
      <c r="AM92" s="243"/>
      <c r="AN92" s="910"/>
      <c r="AO92" s="910"/>
      <c r="AP92" s="566"/>
      <c r="AQ92" s="566"/>
      <c r="AY92" s="262"/>
    </row>
    <row r="93" spans="1:51" s="911" customFormat="1" ht="17.25" customHeight="1">
      <c r="A93" s="910"/>
      <c r="B93" s="910"/>
      <c r="C93" s="566"/>
      <c r="D93" s="566"/>
      <c r="E93" s="566"/>
      <c r="F93" s="566"/>
      <c r="G93" s="566"/>
      <c r="H93" s="566"/>
      <c r="I93" s="566"/>
      <c r="J93" s="566"/>
      <c r="K93" s="566"/>
      <c r="L93" s="243"/>
      <c r="M93" s="566"/>
      <c r="N93" s="566"/>
      <c r="O93" s="243"/>
      <c r="P93" s="566"/>
      <c r="Q93" s="566"/>
      <c r="R93" s="243"/>
      <c r="S93" s="566"/>
      <c r="T93" s="566"/>
      <c r="U93" s="243"/>
      <c r="V93" s="566"/>
      <c r="W93" s="566"/>
      <c r="X93" s="243"/>
      <c r="Y93" s="566"/>
      <c r="Z93" s="566"/>
      <c r="AA93" s="566"/>
      <c r="AB93" s="566"/>
      <c r="AC93" s="566"/>
      <c r="AD93" s="566"/>
      <c r="AE93" s="566"/>
      <c r="AF93" s="566"/>
      <c r="AG93" s="566"/>
      <c r="AH93" s="566"/>
      <c r="AI93" s="566"/>
      <c r="AJ93" s="243"/>
      <c r="AK93" s="566"/>
      <c r="AL93" s="566"/>
      <c r="AM93" s="243"/>
      <c r="AN93" s="910"/>
      <c r="AO93" s="910"/>
      <c r="AP93" s="566"/>
      <c r="AQ93" s="566"/>
      <c r="AY93" s="262"/>
    </row>
    <row r="94" spans="1:51" s="911" customFormat="1" ht="17.25" customHeight="1">
      <c r="A94" s="910"/>
      <c r="B94" s="910"/>
      <c r="C94" s="566"/>
      <c r="D94" s="566"/>
      <c r="E94" s="566"/>
      <c r="F94" s="566"/>
      <c r="G94" s="566"/>
      <c r="H94" s="566"/>
      <c r="I94" s="566"/>
      <c r="J94" s="566"/>
      <c r="K94" s="566"/>
      <c r="L94" s="243"/>
      <c r="M94" s="566"/>
      <c r="N94" s="566"/>
      <c r="O94" s="243"/>
      <c r="P94" s="566"/>
      <c r="Q94" s="566"/>
      <c r="R94" s="243"/>
      <c r="S94" s="566"/>
      <c r="T94" s="566"/>
      <c r="U94" s="243"/>
      <c r="V94" s="566"/>
      <c r="W94" s="566"/>
      <c r="X94" s="243"/>
      <c r="Y94" s="566"/>
      <c r="Z94" s="566"/>
      <c r="AA94" s="566"/>
      <c r="AB94" s="566"/>
      <c r="AC94" s="566"/>
      <c r="AD94" s="566"/>
      <c r="AE94" s="566"/>
      <c r="AF94" s="566"/>
      <c r="AG94" s="566"/>
      <c r="AH94" s="566"/>
      <c r="AI94" s="566"/>
      <c r="AJ94" s="243"/>
      <c r="AK94" s="566"/>
      <c r="AL94" s="566"/>
      <c r="AM94" s="243"/>
      <c r="AN94" s="910"/>
      <c r="AO94" s="910"/>
      <c r="AP94" s="566"/>
      <c r="AQ94" s="566"/>
      <c r="AY94" s="262"/>
    </row>
    <row r="95" spans="1:51" s="911" customFormat="1" ht="17.25" customHeight="1">
      <c r="A95" s="910"/>
      <c r="B95" s="910"/>
      <c r="C95" s="566"/>
      <c r="D95" s="566"/>
      <c r="E95" s="566"/>
      <c r="F95" s="566"/>
      <c r="G95" s="566"/>
      <c r="H95" s="566"/>
      <c r="I95" s="566"/>
      <c r="J95" s="566"/>
      <c r="K95" s="566"/>
      <c r="L95" s="243"/>
      <c r="M95" s="566"/>
      <c r="N95" s="566"/>
      <c r="O95" s="243"/>
      <c r="P95" s="566"/>
      <c r="Q95" s="566"/>
      <c r="R95" s="243"/>
      <c r="S95" s="566"/>
      <c r="T95" s="566"/>
      <c r="U95" s="243"/>
      <c r="V95" s="566"/>
      <c r="W95" s="566"/>
      <c r="X95" s="243"/>
      <c r="Y95" s="566"/>
      <c r="Z95" s="566"/>
      <c r="AA95" s="566"/>
      <c r="AB95" s="566"/>
      <c r="AC95" s="566"/>
      <c r="AD95" s="566"/>
      <c r="AE95" s="566"/>
      <c r="AF95" s="566"/>
      <c r="AG95" s="566"/>
      <c r="AH95" s="566"/>
      <c r="AI95" s="566"/>
      <c r="AJ95" s="243"/>
      <c r="AK95" s="566"/>
      <c r="AL95" s="566"/>
      <c r="AM95" s="243"/>
      <c r="AN95" s="910"/>
      <c r="AO95" s="910"/>
      <c r="AP95" s="566"/>
      <c r="AQ95" s="566"/>
      <c r="AY95" s="262"/>
    </row>
    <row r="96" spans="1:51" s="911" customFormat="1" ht="17.25" customHeight="1">
      <c r="A96" s="910"/>
      <c r="B96" s="910"/>
      <c r="C96" s="566"/>
      <c r="D96" s="566"/>
      <c r="E96" s="566"/>
      <c r="F96" s="566"/>
      <c r="G96" s="566"/>
      <c r="H96" s="566"/>
      <c r="I96" s="566"/>
      <c r="J96" s="566"/>
      <c r="K96" s="566"/>
      <c r="L96" s="243"/>
      <c r="M96" s="566"/>
      <c r="N96" s="566"/>
      <c r="O96" s="243"/>
      <c r="P96" s="566"/>
      <c r="Q96" s="566"/>
      <c r="R96" s="243"/>
      <c r="S96" s="566"/>
      <c r="T96" s="566"/>
      <c r="U96" s="243"/>
      <c r="V96" s="566"/>
      <c r="W96" s="566"/>
      <c r="X96" s="243"/>
      <c r="Y96" s="566"/>
      <c r="Z96" s="566"/>
      <c r="AA96" s="566"/>
      <c r="AB96" s="566"/>
      <c r="AC96" s="566"/>
      <c r="AD96" s="566"/>
      <c r="AE96" s="566"/>
      <c r="AF96" s="566"/>
      <c r="AG96" s="566"/>
      <c r="AH96" s="566"/>
      <c r="AI96" s="566"/>
      <c r="AJ96" s="243"/>
      <c r="AK96" s="566"/>
      <c r="AL96" s="566"/>
      <c r="AM96" s="243"/>
      <c r="AN96" s="910"/>
      <c r="AO96" s="910"/>
      <c r="AP96" s="566"/>
      <c r="AQ96" s="566"/>
      <c r="AY96" s="262"/>
    </row>
    <row r="97" spans="1:51" s="911" customFormat="1" ht="17.25" customHeight="1">
      <c r="A97" s="910"/>
      <c r="B97" s="910"/>
      <c r="C97" s="566"/>
      <c r="D97" s="566"/>
      <c r="E97" s="566"/>
      <c r="F97" s="566"/>
      <c r="G97" s="566"/>
      <c r="H97" s="566"/>
      <c r="I97" s="566"/>
      <c r="J97" s="566"/>
      <c r="K97" s="566"/>
      <c r="L97" s="243"/>
      <c r="M97" s="566"/>
      <c r="N97" s="566"/>
      <c r="O97" s="243"/>
      <c r="P97" s="566"/>
      <c r="Q97" s="566"/>
      <c r="R97" s="243"/>
      <c r="S97" s="566"/>
      <c r="T97" s="566"/>
      <c r="U97" s="243"/>
      <c r="V97" s="566"/>
      <c r="W97" s="566"/>
      <c r="X97" s="243"/>
      <c r="Y97" s="566"/>
      <c r="Z97" s="566"/>
      <c r="AA97" s="566"/>
      <c r="AB97" s="566"/>
      <c r="AC97" s="566"/>
      <c r="AD97" s="566"/>
      <c r="AE97" s="566"/>
      <c r="AF97" s="566"/>
      <c r="AG97" s="566"/>
      <c r="AH97" s="566"/>
      <c r="AI97" s="566"/>
      <c r="AJ97" s="243"/>
      <c r="AK97" s="566"/>
      <c r="AL97" s="566"/>
      <c r="AM97" s="243"/>
      <c r="AN97" s="910"/>
      <c r="AO97" s="910"/>
      <c r="AP97" s="566"/>
      <c r="AQ97" s="566"/>
      <c r="AY97" s="262"/>
    </row>
    <row r="98" spans="1:51" s="911" customFormat="1" ht="17.25" customHeight="1">
      <c r="A98" s="910"/>
      <c r="B98" s="910"/>
      <c r="C98" s="566"/>
      <c r="D98" s="566"/>
      <c r="E98" s="566"/>
      <c r="F98" s="566"/>
      <c r="G98" s="566"/>
      <c r="H98" s="566"/>
      <c r="I98" s="566"/>
      <c r="J98" s="566"/>
      <c r="K98" s="566"/>
      <c r="L98" s="243"/>
      <c r="M98" s="566"/>
      <c r="N98" s="566"/>
      <c r="O98" s="243"/>
      <c r="P98" s="566"/>
      <c r="Q98" s="566"/>
      <c r="R98" s="243"/>
      <c r="S98" s="566"/>
      <c r="T98" s="566"/>
      <c r="U98" s="243"/>
      <c r="V98" s="566"/>
      <c r="W98" s="566"/>
      <c r="X98" s="243"/>
      <c r="Y98" s="566"/>
      <c r="Z98" s="566"/>
      <c r="AA98" s="566"/>
      <c r="AB98" s="566"/>
      <c r="AC98" s="566"/>
      <c r="AD98" s="566"/>
      <c r="AE98" s="566"/>
      <c r="AF98" s="566"/>
      <c r="AG98" s="566"/>
      <c r="AH98" s="566"/>
      <c r="AI98" s="566"/>
      <c r="AJ98" s="243"/>
      <c r="AK98" s="566"/>
      <c r="AL98" s="566"/>
      <c r="AM98" s="243"/>
      <c r="AN98" s="910"/>
      <c r="AO98" s="910"/>
      <c r="AP98" s="566"/>
      <c r="AQ98" s="566"/>
      <c r="AY98" s="262"/>
    </row>
    <row r="99" spans="1:51" s="911" customFormat="1" ht="17.25" customHeight="1">
      <c r="A99" s="910"/>
      <c r="B99" s="910"/>
      <c r="C99" s="566"/>
      <c r="D99" s="566"/>
      <c r="E99" s="566"/>
      <c r="F99" s="566"/>
      <c r="G99" s="566"/>
      <c r="H99" s="566"/>
      <c r="I99" s="566"/>
      <c r="J99" s="566"/>
      <c r="K99" s="566"/>
      <c r="L99" s="243"/>
      <c r="M99" s="566"/>
      <c r="N99" s="566"/>
      <c r="O99" s="243"/>
      <c r="P99" s="566"/>
      <c r="Q99" s="566"/>
      <c r="R99" s="243"/>
      <c r="S99" s="566"/>
      <c r="T99" s="566"/>
      <c r="U99" s="243"/>
      <c r="V99" s="566"/>
      <c r="W99" s="566"/>
      <c r="X99" s="243"/>
      <c r="Y99" s="566"/>
      <c r="Z99" s="566"/>
      <c r="AA99" s="566"/>
      <c r="AB99" s="566"/>
      <c r="AC99" s="566"/>
      <c r="AD99" s="566"/>
      <c r="AE99" s="566"/>
      <c r="AF99" s="566"/>
      <c r="AG99" s="566"/>
      <c r="AH99" s="566"/>
      <c r="AI99" s="566"/>
      <c r="AJ99" s="243"/>
      <c r="AK99" s="566"/>
      <c r="AL99" s="566"/>
      <c r="AM99" s="243"/>
      <c r="AN99" s="910"/>
      <c r="AO99" s="910"/>
      <c r="AP99" s="566"/>
      <c r="AQ99" s="566"/>
      <c r="AY99" s="262"/>
    </row>
    <row r="100" spans="1:51" s="911" customFormat="1" ht="17.25" customHeight="1">
      <c r="A100" s="910"/>
      <c r="B100" s="910"/>
      <c r="C100" s="566"/>
      <c r="D100" s="566"/>
      <c r="E100" s="566"/>
      <c r="F100" s="566"/>
      <c r="G100" s="566"/>
      <c r="H100" s="566"/>
      <c r="I100" s="566"/>
      <c r="J100" s="566"/>
      <c r="K100" s="566"/>
      <c r="L100" s="243"/>
      <c r="M100" s="566"/>
      <c r="N100" s="566"/>
      <c r="O100" s="243"/>
      <c r="P100" s="566"/>
      <c r="Q100" s="566"/>
      <c r="R100" s="243"/>
      <c r="S100" s="566"/>
      <c r="T100" s="566"/>
      <c r="U100" s="243"/>
      <c r="V100" s="566"/>
      <c r="W100" s="566"/>
      <c r="X100" s="243"/>
      <c r="Y100" s="566"/>
      <c r="Z100" s="566"/>
      <c r="AA100" s="566"/>
      <c r="AB100" s="566"/>
      <c r="AC100" s="566"/>
      <c r="AD100" s="566"/>
      <c r="AE100" s="566"/>
      <c r="AF100" s="566"/>
      <c r="AG100" s="566"/>
      <c r="AH100" s="566"/>
      <c r="AI100" s="566"/>
      <c r="AJ100" s="243"/>
      <c r="AK100" s="566"/>
      <c r="AL100" s="566"/>
      <c r="AM100" s="243"/>
      <c r="AN100" s="910"/>
      <c r="AO100" s="910"/>
      <c r="AP100" s="566"/>
      <c r="AQ100" s="566"/>
      <c r="AY100" s="262"/>
    </row>
    <row r="101" spans="1:51" s="911" customFormat="1" ht="17.25" customHeight="1">
      <c r="A101" s="910"/>
      <c r="B101" s="910"/>
      <c r="C101" s="566"/>
      <c r="D101" s="566"/>
      <c r="E101" s="566"/>
      <c r="F101" s="566"/>
      <c r="G101" s="566"/>
      <c r="H101" s="566"/>
      <c r="I101" s="566"/>
      <c r="J101" s="566"/>
      <c r="K101" s="566"/>
      <c r="L101" s="243"/>
      <c r="M101" s="566"/>
      <c r="N101" s="566"/>
      <c r="O101" s="243"/>
      <c r="P101" s="566"/>
      <c r="Q101" s="566"/>
      <c r="R101" s="243"/>
      <c r="S101" s="566"/>
      <c r="T101" s="566"/>
      <c r="U101" s="243"/>
      <c r="V101" s="566"/>
      <c r="W101" s="566"/>
      <c r="X101" s="243"/>
      <c r="Y101" s="566"/>
      <c r="Z101" s="566"/>
      <c r="AA101" s="566"/>
      <c r="AB101" s="566"/>
      <c r="AC101" s="566"/>
      <c r="AD101" s="566"/>
      <c r="AE101" s="566"/>
      <c r="AF101" s="566"/>
      <c r="AG101" s="566"/>
      <c r="AH101" s="566"/>
      <c r="AI101" s="566"/>
      <c r="AJ101" s="243"/>
      <c r="AK101" s="566"/>
      <c r="AL101" s="566"/>
      <c r="AM101" s="243"/>
      <c r="AN101" s="910"/>
      <c r="AO101" s="910"/>
      <c r="AP101" s="566"/>
      <c r="AQ101" s="566"/>
      <c r="AY101" s="262"/>
    </row>
    <row r="102" spans="1:51" s="911" customFormat="1" ht="17.25" customHeight="1">
      <c r="A102" s="910"/>
      <c r="B102" s="910"/>
      <c r="C102" s="566"/>
      <c r="D102" s="566"/>
      <c r="E102" s="566"/>
      <c r="F102" s="566"/>
      <c r="G102" s="566"/>
      <c r="H102" s="566"/>
      <c r="I102" s="566"/>
      <c r="J102" s="566"/>
      <c r="K102" s="566"/>
      <c r="L102" s="243"/>
      <c r="M102" s="566"/>
      <c r="N102" s="566"/>
      <c r="O102" s="243"/>
      <c r="P102" s="566"/>
      <c r="Q102" s="566"/>
      <c r="R102" s="243"/>
      <c r="S102" s="566"/>
      <c r="T102" s="566"/>
      <c r="U102" s="243"/>
      <c r="V102" s="566"/>
      <c r="W102" s="566"/>
      <c r="X102" s="243"/>
      <c r="Y102" s="566"/>
      <c r="Z102" s="566"/>
      <c r="AA102" s="566"/>
      <c r="AB102" s="566"/>
      <c r="AC102" s="566"/>
      <c r="AD102" s="566"/>
      <c r="AE102" s="566"/>
      <c r="AF102" s="566"/>
      <c r="AG102" s="566"/>
      <c r="AH102" s="566"/>
      <c r="AI102" s="566"/>
      <c r="AJ102" s="243"/>
      <c r="AK102" s="566"/>
      <c r="AL102" s="566"/>
      <c r="AM102" s="243"/>
      <c r="AN102" s="910"/>
      <c r="AO102" s="910"/>
      <c r="AP102" s="566"/>
      <c r="AQ102" s="566"/>
      <c r="AY102" s="262"/>
    </row>
    <row r="103" spans="1:51" s="911" customFormat="1" ht="17.25" customHeight="1">
      <c r="A103" s="910"/>
      <c r="B103" s="910"/>
      <c r="C103" s="566"/>
      <c r="D103" s="566"/>
      <c r="E103" s="566"/>
      <c r="F103" s="566"/>
      <c r="G103" s="566"/>
      <c r="H103" s="566"/>
      <c r="I103" s="566"/>
      <c r="J103" s="566"/>
      <c r="K103" s="566"/>
      <c r="L103" s="243"/>
      <c r="M103" s="566"/>
      <c r="N103" s="566"/>
      <c r="O103" s="243"/>
      <c r="P103" s="566"/>
      <c r="Q103" s="566"/>
      <c r="R103" s="243"/>
      <c r="S103" s="566"/>
      <c r="T103" s="566"/>
      <c r="U103" s="243"/>
      <c r="V103" s="566"/>
      <c r="W103" s="566"/>
      <c r="X103" s="243"/>
      <c r="Y103" s="566"/>
      <c r="Z103" s="566"/>
      <c r="AA103" s="566"/>
      <c r="AB103" s="566"/>
      <c r="AC103" s="566"/>
      <c r="AD103" s="566"/>
      <c r="AE103" s="566"/>
      <c r="AF103" s="566"/>
      <c r="AG103" s="566"/>
      <c r="AH103" s="566"/>
      <c r="AI103" s="566"/>
      <c r="AJ103" s="243"/>
      <c r="AK103" s="566"/>
      <c r="AL103" s="566"/>
      <c r="AM103" s="243"/>
      <c r="AN103" s="910"/>
      <c r="AO103" s="910"/>
      <c r="AP103" s="566"/>
      <c r="AQ103" s="566"/>
      <c r="AY103" s="262"/>
    </row>
    <row r="104" spans="1:51" s="911" customFormat="1" ht="17.25" customHeight="1">
      <c r="A104" s="910"/>
      <c r="B104" s="910"/>
      <c r="C104" s="566"/>
      <c r="D104" s="566"/>
      <c r="E104" s="566"/>
      <c r="F104" s="566"/>
      <c r="G104" s="566"/>
      <c r="H104" s="566"/>
      <c r="I104" s="566"/>
      <c r="J104" s="566"/>
      <c r="K104" s="566"/>
      <c r="L104" s="243"/>
      <c r="M104" s="566"/>
      <c r="N104" s="566"/>
      <c r="O104" s="243"/>
      <c r="P104" s="566"/>
      <c r="Q104" s="566"/>
      <c r="R104" s="243"/>
      <c r="S104" s="566"/>
      <c r="T104" s="566"/>
      <c r="U104" s="243"/>
      <c r="V104" s="566"/>
      <c r="W104" s="566"/>
      <c r="X104" s="243"/>
      <c r="Y104" s="566"/>
      <c r="Z104" s="566"/>
      <c r="AA104" s="566"/>
      <c r="AB104" s="566"/>
      <c r="AC104" s="566"/>
      <c r="AD104" s="566"/>
      <c r="AE104" s="566"/>
      <c r="AF104" s="566"/>
      <c r="AG104" s="566"/>
      <c r="AH104" s="566"/>
      <c r="AI104" s="566"/>
      <c r="AJ104" s="243"/>
      <c r="AK104" s="566"/>
      <c r="AL104" s="566"/>
      <c r="AM104" s="243"/>
      <c r="AN104" s="910"/>
      <c r="AO104" s="910"/>
      <c r="AP104" s="566"/>
      <c r="AQ104" s="566"/>
      <c r="AY104" s="262"/>
    </row>
    <row r="105" spans="1:51" s="911" customFormat="1" ht="17.25" customHeight="1">
      <c r="A105" s="910"/>
      <c r="B105" s="910"/>
      <c r="C105" s="566"/>
      <c r="D105" s="566"/>
      <c r="E105" s="566"/>
      <c r="F105" s="566"/>
      <c r="G105" s="566"/>
      <c r="H105" s="566"/>
      <c r="I105" s="566"/>
      <c r="J105" s="566"/>
      <c r="K105" s="566"/>
      <c r="L105" s="243"/>
      <c r="M105" s="566"/>
      <c r="N105" s="566"/>
      <c r="O105" s="243"/>
      <c r="P105" s="566"/>
      <c r="Q105" s="566"/>
      <c r="R105" s="243"/>
      <c r="S105" s="566"/>
      <c r="T105" s="566"/>
      <c r="U105" s="243"/>
      <c r="V105" s="566"/>
      <c r="W105" s="566"/>
      <c r="X105" s="243"/>
      <c r="Y105" s="566"/>
      <c r="Z105" s="566"/>
      <c r="AA105" s="566"/>
      <c r="AB105" s="566"/>
      <c r="AC105" s="566"/>
      <c r="AD105" s="566"/>
      <c r="AE105" s="566"/>
      <c r="AF105" s="566"/>
      <c r="AG105" s="566"/>
      <c r="AH105" s="566"/>
      <c r="AI105" s="566"/>
      <c r="AJ105" s="243"/>
      <c r="AK105" s="566"/>
      <c r="AL105" s="566"/>
      <c r="AM105" s="243"/>
      <c r="AN105" s="910"/>
      <c r="AO105" s="910"/>
      <c r="AP105" s="566"/>
      <c r="AQ105" s="566"/>
      <c r="AY105" s="262"/>
    </row>
    <row r="106" spans="1:51" s="911" customFormat="1" ht="17.25" customHeight="1">
      <c r="A106" s="910"/>
      <c r="B106" s="910"/>
      <c r="C106" s="566"/>
      <c r="D106" s="988"/>
      <c r="E106" s="566"/>
      <c r="F106" s="566"/>
      <c r="G106" s="566"/>
      <c r="H106" s="566"/>
      <c r="I106" s="566"/>
      <c r="J106" s="566"/>
      <c r="K106" s="566"/>
      <c r="L106" s="243"/>
      <c r="M106" s="566"/>
      <c r="N106" s="566"/>
      <c r="O106" s="243"/>
      <c r="P106" s="566"/>
      <c r="Q106" s="566"/>
      <c r="R106" s="243"/>
      <c r="S106" s="566"/>
      <c r="T106" s="566"/>
      <c r="U106" s="243"/>
      <c r="V106" s="566"/>
      <c r="W106" s="566"/>
      <c r="X106" s="243"/>
      <c r="Y106" s="566"/>
      <c r="Z106" s="566"/>
      <c r="AA106" s="566"/>
      <c r="AB106" s="566"/>
      <c r="AC106" s="566"/>
      <c r="AD106" s="566"/>
      <c r="AE106" s="566"/>
      <c r="AF106" s="566"/>
      <c r="AG106" s="566"/>
      <c r="AH106" s="566"/>
      <c r="AI106" s="566"/>
      <c r="AJ106" s="243"/>
      <c r="AK106" s="566"/>
      <c r="AL106" s="566"/>
      <c r="AM106" s="243"/>
      <c r="AN106" s="910"/>
      <c r="AO106" s="910"/>
      <c r="AY106" s="262"/>
    </row>
    <row r="107" spans="1:51" s="911" customFormat="1" ht="17.25" customHeight="1">
      <c r="A107" s="910"/>
      <c r="B107" s="910"/>
      <c r="C107" s="566"/>
      <c r="D107" s="1016" t="s">
        <v>214</v>
      </c>
      <c r="E107" s="566"/>
      <c r="F107" s="566"/>
      <c r="G107" s="566"/>
      <c r="H107" s="467"/>
      <c r="I107" s="467" t="str">
        <f>"(in " &amp;Currency_Label &amp;")"</f>
        <v>(in USD)</v>
      </c>
      <c r="J107" s="566"/>
      <c r="K107" s="566"/>
      <c r="L107" s="991" t="str">
        <f>'Summary 02'!$V$5</f>
        <v>FY 2018</v>
      </c>
      <c r="M107" s="992"/>
      <c r="N107" s="993"/>
      <c r="O107" s="994" t="s">
        <v>47</v>
      </c>
      <c r="P107" s="995"/>
      <c r="Q107" s="996" t="str">
        <f>'Summary 02'!$AA$5</f>
        <v>FY 2019</v>
      </c>
      <c r="R107" s="992"/>
      <c r="S107" s="993"/>
      <c r="T107" s="994" t="s">
        <v>47</v>
      </c>
      <c r="U107" s="995"/>
      <c r="V107" s="365" t="s">
        <v>944</v>
      </c>
      <c r="W107" s="992"/>
      <c r="X107" s="993"/>
      <c r="Y107" s="994"/>
      <c r="Z107" s="997"/>
      <c r="AA107" s="996"/>
      <c r="AB107" s="992"/>
      <c r="AC107" s="993"/>
      <c r="AD107" s="994"/>
      <c r="AE107" s="997"/>
      <c r="AF107" s="996"/>
      <c r="AG107" s="992"/>
      <c r="AH107" s="993"/>
      <c r="AI107" s="994"/>
      <c r="AJ107" s="997"/>
      <c r="AK107" s="831"/>
      <c r="AL107" s="566"/>
      <c r="AM107" s="566"/>
      <c r="AN107" s="910"/>
      <c r="AO107" s="910"/>
      <c r="AY107" s="262"/>
    </row>
    <row r="108" spans="1:51" s="911" customFormat="1" ht="17.25" customHeight="1">
      <c r="A108" s="910"/>
      <c r="B108" s="910"/>
      <c r="C108" s="566"/>
      <c r="D108" s="988" t="s">
        <v>242</v>
      </c>
      <c r="E108" s="566"/>
      <c r="F108" s="566"/>
      <c r="G108" s="566"/>
      <c r="H108" s="566"/>
      <c r="I108" s="566"/>
      <c r="J108" s="566"/>
      <c r="K108" s="566"/>
      <c r="L108" s="989"/>
      <c r="M108" s="998"/>
      <c r="N108" s="978"/>
      <c r="O108" s="999"/>
      <c r="P108" s="1000"/>
      <c r="Q108" s="1001"/>
      <c r="R108" s="1002"/>
      <c r="S108" s="476"/>
      <c r="T108" s="999"/>
      <c r="U108" s="100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Y108" s="262"/>
    </row>
    <row r="109" spans="1:51" s="911" customFormat="1" ht="17.25" customHeight="1">
      <c r="A109" s="910"/>
      <c r="B109" s="910"/>
      <c r="C109" s="566"/>
      <c r="D109" s="566" t="str">
        <f>Product_01</f>
        <v>Desktops</v>
      </c>
      <c r="E109" s="566"/>
      <c r="F109" s="566"/>
      <c r="G109" s="566"/>
      <c r="H109" s="566"/>
      <c r="I109" s="566"/>
      <c r="J109" s="566"/>
      <c r="K109" s="566"/>
      <c r="L109" s="1003">
        <f>AX444</f>
        <v>355300</v>
      </c>
      <c r="M109" s="1004"/>
      <c r="N109" s="1005"/>
      <c r="O109" s="1006">
        <f>IFERROR(L109/L$119,0)</f>
        <v>0.24429596185075031</v>
      </c>
      <c r="P109" s="1007"/>
      <c r="Q109" s="1008">
        <f>AY444</f>
        <v>443300</v>
      </c>
      <c r="R109" s="1004"/>
      <c r="S109" s="1005"/>
      <c r="T109" s="1006">
        <f>IFERROR(Q109/Q$119,0)</f>
        <v>0.19420410457000251</v>
      </c>
      <c r="U109" s="1007"/>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Y109" s="262"/>
    </row>
    <row r="110" spans="1:51" s="911" customFormat="1" ht="17.25" customHeight="1">
      <c r="A110" s="910"/>
      <c r="B110" s="910"/>
      <c r="C110" s="566"/>
      <c r="D110" s="24" t="str">
        <f>Product_02</f>
        <v>Workstations</v>
      </c>
      <c r="E110" s="566"/>
      <c r="F110" s="566"/>
      <c r="G110" s="566"/>
      <c r="H110" s="566"/>
      <c r="I110" s="566"/>
      <c r="J110" s="566"/>
      <c r="K110" s="566"/>
      <c r="L110" s="1003">
        <f>AX445</f>
        <v>202400</v>
      </c>
      <c r="M110" s="1004"/>
      <c r="N110" s="1005"/>
      <c r="O110" s="1006">
        <f>IFERROR(L110/L$119,0)</f>
        <v>0.13916550148773393</v>
      </c>
      <c r="P110" s="1007"/>
      <c r="Q110" s="1008">
        <f>AY445</f>
        <v>326600</v>
      </c>
      <c r="R110" s="1004"/>
      <c r="S110" s="1005"/>
      <c r="T110" s="1006">
        <f>IFERROR(Q110/Q$119,0)</f>
        <v>0.14307931548062897</v>
      </c>
      <c r="U110" s="1007"/>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Y110" s="262"/>
    </row>
    <row r="111" spans="1:51" s="911" customFormat="1" ht="17.25" customHeight="1">
      <c r="A111" s="910"/>
      <c r="B111" s="910"/>
      <c r="C111" s="566"/>
      <c r="D111" s="24" t="str">
        <f>Product_03</f>
        <v>Notebooks</v>
      </c>
      <c r="E111" s="566"/>
      <c r="F111" s="566"/>
      <c r="G111" s="566"/>
      <c r="H111" s="566"/>
      <c r="I111" s="566"/>
      <c r="J111" s="566"/>
      <c r="K111" s="566"/>
      <c r="L111" s="1003">
        <f t="shared" ref="L111:L118" si="9">AX446</f>
        <v>123280</v>
      </c>
      <c r="M111" s="1004"/>
      <c r="N111" s="1005"/>
      <c r="O111" s="1006">
        <f t="shared" ref="O111:O118" si="10">IFERROR(L111/L$119,0)</f>
        <v>8.4764441815256109E-2</v>
      </c>
      <c r="P111" s="1007"/>
      <c r="Q111" s="1008">
        <f t="shared" ref="Q111:Q118" si="11">AY446</f>
        <v>180180</v>
      </c>
      <c r="R111" s="1004"/>
      <c r="S111" s="1005"/>
      <c r="T111" s="1006">
        <f t="shared" ref="T111:T118" si="12">IFERROR(Q111/Q$119,0)</f>
        <v>7.8934571534904255E-2</v>
      </c>
      <c r="U111" s="1007"/>
      <c r="V111" s="910"/>
      <c r="W111" s="910"/>
      <c r="X111" s="910"/>
      <c r="Y111" s="910"/>
      <c r="Z111" s="910"/>
      <c r="AA111" s="910"/>
      <c r="AB111" s="910"/>
      <c r="AC111" s="910"/>
      <c r="AD111" s="910"/>
      <c r="AE111" s="910"/>
      <c r="AF111" s="910"/>
      <c r="AG111" s="910"/>
      <c r="AH111" s="910"/>
      <c r="AI111" s="910"/>
      <c r="AJ111" s="910"/>
      <c r="AK111" s="910"/>
      <c r="AL111" s="910"/>
      <c r="AM111" s="910"/>
      <c r="AN111" s="910"/>
      <c r="AO111" s="910"/>
      <c r="AY111" s="262"/>
    </row>
    <row r="112" spans="1:51" s="911" customFormat="1" ht="17.25" customHeight="1">
      <c r="A112" s="910"/>
      <c r="B112" s="910"/>
      <c r="C112" s="566"/>
      <c r="D112" s="24" t="str">
        <f>Product_04</f>
        <v>Software Products</v>
      </c>
      <c r="E112" s="566"/>
      <c r="F112" s="566"/>
      <c r="G112" s="566"/>
      <c r="H112" s="566"/>
      <c r="I112" s="566"/>
      <c r="J112" s="566"/>
      <c r="K112" s="566"/>
      <c r="L112" s="1003">
        <f t="shared" si="9"/>
        <v>76050</v>
      </c>
      <c r="M112" s="1004"/>
      <c r="N112" s="1005"/>
      <c r="O112" s="1006">
        <f t="shared" si="10"/>
        <v>5.2290199546156942E-2</v>
      </c>
      <c r="P112" s="1007"/>
      <c r="Q112" s="1008">
        <f t="shared" si="11"/>
        <v>100050</v>
      </c>
      <c r="R112" s="1004"/>
      <c r="S112" s="1005"/>
      <c r="T112" s="1006">
        <f t="shared" si="12"/>
        <v>4.3830635376108172E-2</v>
      </c>
      <c r="U112" s="1007"/>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Y112" s="262"/>
    </row>
    <row r="113" spans="1:51" s="911" customFormat="1" ht="17.25" customHeight="1">
      <c r="A113" s="910"/>
      <c r="B113" s="910"/>
      <c r="C113" s="566"/>
      <c r="D113" s="24" t="str">
        <f>Product_05</f>
        <v>Net work infrastructure solutions</v>
      </c>
      <c r="E113" s="566"/>
      <c r="F113" s="566"/>
      <c r="G113" s="566"/>
      <c r="H113" s="566"/>
      <c r="I113" s="566"/>
      <c r="J113" s="566"/>
      <c r="K113" s="566"/>
      <c r="L113" s="1003">
        <f t="shared" si="9"/>
        <v>41000</v>
      </c>
      <c r="M113" s="1004"/>
      <c r="N113" s="1005"/>
      <c r="O113" s="1006">
        <f t="shared" si="10"/>
        <v>2.8190640123503412E-2</v>
      </c>
      <c r="P113" s="1007"/>
      <c r="Q113" s="1008">
        <f t="shared" si="11"/>
        <v>63412.515065984859</v>
      </c>
      <c r="R113" s="1004"/>
      <c r="S113" s="1005"/>
      <c r="T113" s="1006">
        <f t="shared" si="12"/>
        <v>2.7780218152315326E-2</v>
      </c>
      <c r="U113" s="1007"/>
      <c r="V113" s="910"/>
      <c r="W113" s="910"/>
      <c r="X113" s="910"/>
      <c r="Y113" s="910"/>
      <c r="Z113" s="910"/>
      <c r="AA113" s="910"/>
      <c r="AB113" s="910"/>
      <c r="AC113" s="910"/>
      <c r="AD113" s="910"/>
      <c r="AE113" s="910"/>
      <c r="AF113" s="910"/>
      <c r="AG113" s="910"/>
      <c r="AH113" s="910"/>
      <c r="AI113" s="910"/>
      <c r="AJ113" s="910"/>
      <c r="AK113" s="910"/>
      <c r="AL113" s="910"/>
      <c r="AM113" s="910"/>
      <c r="AN113" s="910"/>
      <c r="AO113" s="910"/>
      <c r="AY113" s="262"/>
    </row>
    <row r="114" spans="1:51" s="911" customFormat="1" ht="17.25" customHeight="1">
      <c r="A114" s="910"/>
      <c r="B114" s="910"/>
      <c r="C114" s="566"/>
      <c r="D114" s="24" t="str">
        <f>Product_06</f>
        <v>Repair Services</v>
      </c>
      <c r="E114" s="566"/>
      <c r="F114" s="566"/>
      <c r="G114" s="566"/>
      <c r="H114" s="566"/>
      <c r="I114" s="566"/>
      <c r="J114" s="566"/>
      <c r="K114" s="566"/>
      <c r="L114" s="1003">
        <f t="shared" si="9"/>
        <v>125928</v>
      </c>
      <c r="M114" s="1004"/>
      <c r="N114" s="1005"/>
      <c r="O114" s="1006">
        <f t="shared" si="10"/>
        <v>8.6585144621281404E-2</v>
      </c>
      <c r="P114" s="1007"/>
      <c r="Q114" s="1008">
        <f t="shared" si="11"/>
        <v>155184</v>
      </c>
      <c r="R114" s="1004"/>
      <c r="S114" s="1005"/>
      <c r="T114" s="1006">
        <f t="shared" si="12"/>
        <v>6.7984141131493953E-2</v>
      </c>
      <c r="U114" s="1007"/>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Y114" s="262"/>
    </row>
    <row r="115" spans="1:51" s="911" customFormat="1" ht="17.25" customHeight="1">
      <c r="A115" s="910"/>
      <c r="B115" s="910"/>
      <c r="C115" s="566"/>
      <c r="D115" s="24" t="str">
        <f>Product_07</f>
        <v>Integration Services</v>
      </c>
      <c r="E115" s="566"/>
      <c r="F115" s="566"/>
      <c r="G115" s="566"/>
      <c r="H115" s="566"/>
      <c r="I115" s="566"/>
      <c r="J115" s="566"/>
      <c r="K115" s="566"/>
      <c r="L115" s="1003">
        <f t="shared" si="9"/>
        <v>164000</v>
      </c>
      <c r="M115" s="1004"/>
      <c r="N115" s="1005"/>
      <c r="O115" s="1006">
        <f t="shared" si="10"/>
        <v>0.11276256049401365</v>
      </c>
      <c r="P115" s="1007"/>
      <c r="Q115" s="1008">
        <f t="shared" si="11"/>
        <v>240000</v>
      </c>
      <c r="R115" s="1004"/>
      <c r="S115" s="1005"/>
      <c r="T115" s="1006">
        <f t="shared" si="12"/>
        <v>0.10514095442544688</v>
      </c>
      <c r="U115" s="1007"/>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Y115" s="262"/>
    </row>
    <row r="116" spans="1:51" s="911" customFormat="1" ht="17.25" customHeight="1">
      <c r="A116" s="910"/>
      <c r="B116" s="910"/>
      <c r="C116" s="566"/>
      <c r="D116" s="24" t="str">
        <f>Product_08</f>
        <v>Consulting Services</v>
      </c>
      <c r="E116" s="566"/>
      <c r="F116" s="566"/>
      <c r="G116" s="566"/>
      <c r="H116" s="566"/>
      <c r="I116" s="566"/>
      <c r="J116" s="566"/>
      <c r="K116" s="566"/>
      <c r="L116" s="1003">
        <f t="shared" si="9"/>
        <v>177580.43437320614</v>
      </c>
      <c r="M116" s="1004"/>
      <c r="N116" s="1005"/>
      <c r="O116" s="1006">
        <f t="shared" si="10"/>
        <v>0.12210014922903584</v>
      </c>
      <c r="P116" s="1007"/>
      <c r="Q116" s="1008">
        <f t="shared" si="11"/>
        <v>262918.48855537892</v>
      </c>
      <c r="R116" s="1004"/>
      <c r="S116" s="1005"/>
      <c r="T116" s="1006">
        <f t="shared" si="12"/>
        <v>0.11518125342836864</v>
      </c>
      <c r="U116" s="1007"/>
      <c r="V116" s="910"/>
      <c r="W116" s="910"/>
      <c r="X116" s="910"/>
      <c r="Y116" s="910"/>
      <c r="Z116" s="910"/>
      <c r="AA116" s="910"/>
      <c r="AB116" s="910"/>
      <c r="AC116" s="910"/>
      <c r="AD116" s="910"/>
      <c r="AE116" s="910"/>
      <c r="AF116" s="910"/>
      <c r="AG116" s="910"/>
      <c r="AH116" s="910"/>
      <c r="AI116" s="910"/>
      <c r="AJ116" s="910"/>
      <c r="AK116" s="910"/>
      <c r="AL116" s="910"/>
      <c r="AM116" s="910"/>
      <c r="AN116" s="910"/>
      <c r="AO116" s="910"/>
      <c r="AY116" s="262"/>
    </row>
    <row r="117" spans="1:51" s="911" customFormat="1" ht="17.25" customHeight="1">
      <c r="A117" s="910"/>
      <c r="B117" s="910"/>
      <c r="C117" s="566"/>
      <c r="D117" s="24" t="str">
        <f>Product_09</f>
        <v>Spare Parts</v>
      </c>
      <c r="E117" s="566"/>
      <c r="F117" s="566"/>
      <c r="G117" s="566"/>
      <c r="H117" s="566"/>
      <c r="I117" s="566"/>
      <c r="J117" s="566"/>
      <c r="K117" s="566"/>
      <c r="L117" s="1003">
        <f t="shared" si="9"/>
        <v>88825</v>
      </c>
      <c r="M117" s="1004"/>
      <c r="N117" s="1005"/>
      <c r="O117" s="1006">
        <f t="shared" si="10"/>
        <v>6.1073990462687577E-2</v>
      </c>
      <c r="P117" s="1007"/>
      <c r="Q117" s="1008">
        <f t="shared" si="11"/>
        <v>110825</v>
      </c>
      <c r="R117" s="1004"/>
      <c r="S117" s="1005"/>
      <c r="T117" s="1006">
        <f t="shared" si="12"/>
        <v>4.8551026142500626E-2</v>
      </c>
      <c r="U117" s="1007"/>
      <c r="V117" s="910"/>
      <c r="W117" s="910"/>
      <c r="X117" s="910"/>
      <c r="Y117" s="910"/>
      <c r="Z117" s="910"/>
      <c r="AA117" s="910"/>
      <c r="AB117" s="910"/>
      <c r="AC117" s="910"/>
      <c r="AD117" s="910"/>
      <c r="AE117" s="910"/>
      <c r="AF117" s="910"/>
      <c r="AG117" s="910"/>
      <c r="AH117" s="910"/>
      <c r="AI117" s="910"/>
      <c r="AJ117" s="910"/>
      <c r="AK117" s="910"/>
      <c r="AL117" s="910"/>
      <c r="AM117" s="910"/>
      <c r="AN117" s="910"/>
      <c r="AO117" s="910"/>
      <c r="AY117" s="262"/>
    </row>
    <row r="118" spans="1:51" s="911" customFormat="1" ht="17.25" customHeight="1">
      <c r="A118" s="910"/>
      <c r="B118" s="910"/>
      <c r="C118" s="566"/>
      <c r="D118" s="1009" t="str">
        <f>Product_10</f>
        <v>License Fees</v>
      </c>
      <c r="E118" s="566"/>
      <c r="F118" s="566"/>
      <c r="G118" s="566"/>
      <c r="H118" s="566"/>
      <c r="I118" s="566"/>
      <c r="J118" s="566"/>
      <c r="K118" s="566"/>
      <c r="L118" s="1003">
        <f t="shared" si="9"/>
        <v>100020</v>
      </c>
      <c r="M118" s="1004"/>
      <c r="N118" s="1005"/>
      <c r="O118" s="1006">
        <f t="shared" si="10"/>
        <v>6.877141036958076E-2</v>
      </c>
      <c r="P118" s="1007"/>
      <c r="Q118" s="1008">
        <f t="shared" si="11"/>
        <v>400180</v>
      </c>
      <c r="R118" s="1004"/>
      <c r="S118" s="1005"/>
      <c r="T118" s="1006">
        <f t="shared" si="12"/>
        <v>0.17531377975823056</v>
      </c>
      <c r="U118" s="1007"/>
      <c r="V118" s="910"/>
      <c r="W118" s="910"/>
      <c r="X118" s="910"/>
      <c r="Y118" s="910"/>
      <c r="Z118" s="910"/>
      <c r="AA118" s="910"/>
      <c r="AB118" s="910"/>
      <c r="AC118" s="910"/>
      <c r="AD118" s="910"/>
      <c r="AE118" s="910"/>
      <c r="AF118" s="910"/>
      <c r="AG118" s="910"/>
      <c r="AH118" s="910"/>
      <c r="AI118" s="910"/>
      <c r="AJ118" s="910"/>
      <c r="AK118" s="910"/>
      <c r="AL118" s="910"/>
      <c r="AM118" s="910"/>
      <c r="AN118" s="910"/>
      <c r="AO118" s="910"/>
      <c r="AY118" s="262"/>
    </row>
    <row r="119" spans="1:51" s="911" customFormat="1" ht="17.25" customHeight="1">
      <c r="A119" s="910"/>
      <c r="B119" s="910"/>
      <c r="C119" s="566"/>
      <c r="D119" s="620" t="s">
        <v>860</v>
      </c>
      <c r="E119" s="621"/>
      <c r="F119" s="621"/>
      <c r="G119" s="990"/>
      <c r="H119" s="990"/>
      <c r="I119" s="990"/>
      <c r="J119" s="990"/>
      <c r="K119" s="990"/>
      <c r="L119" s="1010">
        <f>SUM(L109:L118)</f>
        <v>1454383.4343732062</v>
      </c>
      <c r="M119" s="1011"/>
      <c r="N119" s="1012"/>
      <c r="O119" s="1013">
        <f>SUM(O109:O118)</f>
        <v>0.99999999999999989</v>
      </c>
      <c r="P119" s="1014"/>
      <c r="Q119" s="1015">
        <f>SUM(Q109:Q118)</f>
        <v>2282650.003621364</v>
      </c>
      <c r="R119" s="1011"/>
      <c r="S119" s="1012"/>
      <c r="T119" s="1013">
        <f>SUM(T109:T118)</f>
        <v>0.99999999999999989</v>
      </c>
      <c r="U119" s="1014"/>
      <c r="V119" s="910"/>
      <c r="W119" s="910"/>
      <c r="X119" s="910"/>
      <c r="Y119" s="910"/>
      <c r="Z119" s="910"/>
      <c r="AA119" s="910"/>
      <c r="AB119" s="910"/>
      <c r="AC119" s="910"/>
      <c r="AD119" s="910"/>
      <c r="AE119" s="910"/>
      <c r="AF119" s="910"/>
      <c r="AG119" s="910"/>
      <c r="AH119" s="910"/>
      <c r="AI119" s="910"/>
      <c r="AJ119" s="910"/>
      <c r="AK119" s="910"/>
      <c r="AL119" s="910"/>
      <c r="AM119" s="910"/>
      <c r="AN119" s="910"/>
      <c r="AO119" s="910"/>
      <c r="AY119" s="262"/>
    </row>
    <row r="120" spans="1:51" s="911" customFormat="1" ht="17.25" customHeight="1">
      <c r="A120" s="910"/>
      <c r="B120" s="910"/>
      <c r="C120" s="566"/>
      <c r="D120" s="566"/>
      <c r="E120" s="566"/>
      <c r="F120" s="566"/>
      <c r="G120" s="566"/>
      <c r="H120" s="566"/>
      <c r="I120" s="566"/>
      <c r="J120" s="566"/>
      <c r="K120" s="566"/>
      <c r="L120" s="243"/>
      <c r="M120" s="566"/>
      <c r="N120" s="566"/>
      <c r="O120" s="243"/>
      <c r="P120" s="566"/>
      <c r="Q120" s="566"/>
      <c r="R120" s="243"/>
      <c r="S120" s="566"/>
      <c r="T120" s="566"/>
      <c r="U120" s="243"/>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566"/>
      <c r="AQ120" s="566"/>
      <c r="AY120" s="262"/>
    </row>
    <row r="121" spans="1:51" s="911" customFormat="1" ht="17.25" customHeight="1">
      <c r="A121" s="910"/>
      <c r="B121" s="910"/>
      <c r="C121" s="910"/>
      <c r="D121" s="910"/>
      <c r="E121" s="910"/>
      <c r="F121" s="910"/>
      <c r="G121" s="910"/>
      <c r="H121" s="910"/>
      <c r="I121" s="910"/>
      <c r="J121" s="910"/>
      <c r="K121" s="910"/>
      <c r="L121" s="465"/>
      <c r="M121" s="910"/>
      <c r="N121" s="910"/>
      <c r="O121" s="465"/>
      <c r="P121" s="910"/>
      <c r="Q121" s="910"/>
      <c r="R121" s="465"/>
      <c r="S121" s="910"/>
      <c r="T121" s="910"/>
      <c r="U121" s="465"/>
      <c r="V121" s="910"/>
      <c r="W121" s="910"/>
      <c r="X121" s="465"/>
      <c r="Y121" s="910"/>
      <c r="Z121" s="910"/>
      <c r="AA121" s="910"/>
      <c r="AB121" s="910"/>
      <c r="AC121" s="910"/>
      <c r="AD121" s="910"/>
      <c r="AE121" s="910"/>
      <c r="AF121" s="910"/>
      <c r="AG121" s="910"/>
      <c r="AH121" s="910"/>
      <c r="AI121" s="910"/>
      <c r="AJ121" s="465"/>
      <c r="AK121" s="910"/>
      <c r="AL121" s="910"/>
      <c r="AM121" s="465"/>
      <c r="AN121" s="910"/>
      <c r="AO121" s="910"/>
      <c r="AP121" s="566"/>
      <c r="AQ121" s="566"/>
      <c r="AY121" s="262"/>
    </row>
    <row r="122" spans="1:51" s="911" customFormat="1" ht="17.25" customHeight="1">
      <c r="A122" s="910"/>
      <c r="B122" s="910"/>
      <c r="C122" s="910"/>
      <c r="D122" s="910"/>
      <c r="E122" s="910"/>
      <c r="F122" s="910"/>
      <c r="G122" s="910"/>
      <c r="H122" s="910"/>
      <c r="I122" s="910"/>
      <c r="J122" s="910"/>
      <c r="K122" s="910"/>
      <c r="L122" s="465"/>
      <c r="M122" s="910"/>
      <c r="N122" s="910"/>
      <c r="O122" s="465"/>
      <c r="P122" s="910"/>
      <c r="Q122" s="910"/>
      <c r="R122" s="465"/>
      <c r="S122" s="910"/>
      <c r="T122" s="910"/>
      <c r="U122" s="465"/>
      <c r="V122" s="910"/>
      <c r="W122" s="910"/>
      <c r="X122" s="465"/>
      <c r="Y122" s="910"/>
      <c r="Z122" s="910"/>
      <c r="AA122" s="910"/>
      <c r="AB122" s="910"/>
      <c r="AC122" s="910"/>
      <c r="AD122" s="910"/>
      <c r="AE122" s="910"/>
      <c r="AF122" s="910"/>
      <c r="AG122" s="910"/>
      <c r="AH122" s="910"/>
      <c r="AI122" s="910"/>
      <c r="AJ122" s="465"/>
      <c r="AK122" s="910"/>
      <c r="AL122" s="910"/>
      <c r="AM122" s="465"/>
      <c r="AN122" s="910"/>
      <c r="AO122" s="910"/>
      <c r="AP122" s="566"/>
      <c r="AQ122" s="566"/>
      <c r="AY122" s="262"/>
    </row>
    <row r="123" spans="1:51" s="911" customFormat="1" ht="22.5" customHeight="1">
      <c r="A123" s="910"/>
      <c r="B123" s="910"/>
      <c r="C123" s="502" t="s">
        <v>863</v>
      </c>
      <c r="D123" s="566"/>
      <c r="E123" s="566"/>
      <c r="F123" s="566"/>
      <c r="G123" s="566"/>
      <c r="H123" s="566"/>
      <c r="I123" s="566"/>
      <c r="J123" s="566"/>
      <c r="K123" s="566"/>
      <c r="L123" s="243"/>
      <c r="M123" s="566"/>
      <c r="N123" s="566"/>
      <c r="O123" s="467" t="str">
        <f>"   (all currency in " &amp;Currency_Label &amp;")"</f>
        <v xml:space="preserve">   (all currency in USD)</v>
      </c>
      <c r="P123" s="566"/>
      <c r="Q123" s="566"/>
      <c r="R123" s="243"/>
      <c r="S123" s="566"/>
      <c r="T123" s="566"/>
      <c r="U123" s="243"/>
      <c r="V123" s="566"/>
      <c r="W123" s="566"/>
      <c r="X123" s="243"/>
      <c r="Y123" s="566"/>
      <c r="Z123" s="566"/>
      <c r="AA123" s="566"/>
      <c r="AB123" s="566"/>
      <c r="AC123" s="566"/>
      <c r="AD123" s="566"/>
      <c r="AE123" s="566"/>
      <c r="AF123" s="566"/>
      <c r="AG123" s="566"/>
      <c r="AH123" s="566"/>
      <c r="AI123" s="566"/>
      <c r="AJ123" s="243"/>
      <c r="AK123" s="566"/>
      <c r="AL123" s="566"/>
      <c r="AM123" s="243"/>
      <c r="AN123" s="910"/>
      <c r="AO123" s="910"/>
      <c r="AP123" s="566"/>
      <c r="AQ123" s="566"/>
      <c r="AY123" s="262"/>
    </row>
    <row r="124" spans="1:51" s="911" customFormat="1" ht="17.25" customHeight="1">
      <c r="A124" s="910"/>
      <c r="B124" s="910"/>
      <c r="C124" s="467"/>
      <c r="D124" s="566"/>
      <c r="E124" s="566"/>
      <c r="F124" s="566"/>
      <c r="G124" s="566"/>
      <c r="H124" s="566"/>
      <c r="I124" s="566"/>
      <c r="J124" s="566"/>
      <c r="K124" s="566"/>
      <c r="L124" s="243"/>
      <c r="M124" s="566"/>
      <c r="N124" s="566"/>
      <c r="O124" s="243"/>
      <c r="P124" s="566"/>
      <c r="Q124" s="566"/>
      <c r="R124" s="243"/>
      <c r="S124" s="566"/>
      <c r="T124" s="566"/>
      <c r="U124" s="243"/>
      <c r="V124" s="566"/>
      <c r="W124" s="566"/>
      <c r="X124" s="243"/>
      <c r="Y124" s="566"/>
      <c r="Z124" s="566"/>
      <c r="AA124" s="566"/>
      <c r="AB124" s="566"/>
      <c r="AC124" s="566"/>
      <c r="AD124" s="566"/>
      <c r="AE124" s="566"/>
      <c r="AF124" s="566"/>
      <c r="AG124" s="566"/>
      <c r="AH124" s="566"/>
      <c r="AI124" s="566"/>
      <c r="AJ124" s="243"/>
      <c r="AK124" s="566"/>
      <c r="AL124" s="566"/>
      <c r="AM124" s="243"/>
      <c r="AN124" s="910"/>
      <c r="AO124" s="910"/>
      <c r="AP124" s="566"/>
      <c r="AQ124" s="566"/>
      <c r="AY124" s="262"/>
    </row>
    <row r="125" spans="1:51" s="911" customFormat="1" ht="17.25" customHeight="1">
      <c r="A125" s="910"/>
      <c r="B125" s="910"/>
      <c r="C125" s="566"/>
      <c r="D125" s="566"/>
      <c r="E125" s="566"/>
      <c r="F125" s="566"/>
      <c r="G125" s="566"/>
      <c r="H125" s="566"/>
      <c r="I125" s="566"/>
      <c r="J125" s="566"/>
      <c r="K125" s="566"/>
      <c r="L125" s="243"/>
      <c r="M125" s="566"/>
      <c r="N125" s="566"/>
      <c r="O125" s="243"/>
      <c r="P125" s="566"/>
      <c r="Q125" s="566"/>
      <c r="R125" s="243"/>
      <c r="S125" s="566"/>
      <c r="T125" s="566"/>
      <c r="U125" s="243"/>
      <c r="V125" s="566"/>
      <c r="W125" s="566"/>
      <c r="X125" s="243"/>
      <c r="Y125" s="566"/>
      <c r="Z125" s="566"/>
      <c r="AA125" s="566"/>
      <c r="AB125" s="566"/>
      <c r="AC125" s="566"/>
      <c r="AD125" s="566"/>
      <c r="AE125" s="566"/>
      <c r="AF125" s="566"/>
      <c r="AG125" s="566"/>
      <c r="AH125" s="566"/>
      <c r="AI125" s="566"/>
      <c r="AJ125" s="243"/>
      <c r="AK125" s="566"/>
      <c r="AL125" s="566"/>
      <c r="AM125" s="243"/>
      <c r="AN125" s="910"/>
      <c r="AO125" s="910"/>
      <c r="AP125" s="566"/>
      <c r="AQ125" s="566"/>
      <c r="AY125" s="262"/>
    </row>
    <row r="126" spans="1:51" s="911" customFormat="1" ht="17.25" customHeight="1">
      <c r="A126" s="910"/>
      <c r="B126" s="910"/>
      <c r="C126" s="566"/>
      <c r="D126" s="566"/>
      <c r="E126" s="566"/>
      <c r="F126" s="566"/>
      <c r="G126" s="566"/>
      <c r="H126" s="566"/>
      <c r="I126" s="566"/>
      <c r="J126" s="566"/>
      <c r="K126" s="566"/>
      <c r="L126" s="243"/>
      <c r="M126" s="566"/>
      <c r="N126" s="566"/>
      <c r="O126" s="243"/>
      <c r="P126" s="566"/>
      <c r="Q126" s="566"/>
      <c r="R126" s="243"/>
      <c r="S126" s="566"/>
      <c r="T126" s="566"/>
      <c r="U126" s="243"/>
      <c r="V126" s="566"/>
      <c r="W126" s="566"/>
      <c r="X126" s="243"/>
      <c r="Y126" s="566"/>
      <c r="Z126" s="566"/>
      <c r="AA126" s="566"/>
      <c r="AB126" s="566"/>
      <c r="AC126" s="566"/>
      <c r="AD126" s="566"/>
      <c r="AE126" s="566"/>
      <c r="AF126" s="566"/>
      <c r="AG126" s="566"/>
      <c r="AH126" s="566"/>
      <c r="AI126" s="566"/>
      <c r="AJ126" s="243"/>
      <c r="AK126" s="566"/>
      <c r="AL126" s="566"/>
      <c r="AM126" s="243"/>
      <c r="AN126" s="910"/>
      <c r="AO126" s="910"/>
      <c r="AP126" s="566"/>
      <c r="AQ126" s="566"/>
      <c r="AY126" s="262"/>
    </row>
    <row r="127" spans="1:51" s="911" customFormat="1" ht="17.25" customHeight="1">
      <c r="A127" s="910"/>
      <c r="B127" s="910"/>
      <c r="C127" s="566"/>
      <c r="D127" s="566"/>
      <c r="E127" s="566"/>
      <c r="F127" s="566"/>
      <c r="G127" s="566"/>
      <c r="H127" s="566"/>
      <c r="I127" s="566"/>
      <c r="J127" s="566"/>
      <c r="K127" s="566"/>
      <c r="L127" s="243"/>
      <c r="M127" s="566"/>
      <c r="N127" s="566"/>
      <c r="O127" s="243"/>
      <c r="P127" s="566"/>
      <c r="Q127" s="566"/>
      <c r="R127" s="243"/>
      <c r="S127" s="566"/>
      <c r="T127" s="566"/>
      <c r="U127" s="243"/>
      <c r="V127" s="566"/>
      <c r="W127" s="566"/>
      <c r="X127" s="243"/>
      <c r="Y127" s="566"/>
      <c r="Z127" s="566"/>
      <c r="AA127" s="566"/>
      <c r="AB127" s="566"/>
      <c r="AC127" s="566"/>
      <c r="AD127" s="566"/>
      <c r="AE127" s="566"/>
      <c r="AF127" s="566"/>
      <c r="AG127" s="566"/>
      <c r="AH127" s="566"/>
      <c r="AI127" s="566"/>
      <c r="AJ127" s="243"/>
      <c r="AK127" s="566"/>
      <c r="AL127" s="566"/>
      <c r="AM127" s="243"/>
      <c r="AN127" s="910"/>
      <c r="AO127" s="910"/>
      <c r="AP127" s="566"/>
      <c r="AQ127" s="566"/>
      <c r="AY127" s="262"/>
    </row>
    <row r="128" spans="1:51" s="911" customFormat="1" ht="17.25" customHeight="1">
      <c r="A128" s="910"/>
      <c r="B128" s="910"/>
      <c r="C128" s="566"/>
      <c r="D128" s="566"/>
      <c r="E128" s="566"/>
      <c r="F128" s="566"/>
      <c r="G128" s="566"/>
      <c r="H128" s="566"/>
      <c r="I128" s="566"/>
      <c r="J128" s="566"/>
      <c r="K128" s="566"/>
      <c r="L128" s="243"/>
      <c r="M128" s="566"/>
      <c r="N128" s="566"/>
      <c r="O128" s="243"/>
      <c r="P128" s="566"/>
      <c r="Q128" s="566"/>
      <c r="R128" s="243"/>
      <c r="S128" s="566"/>
      <c r="T128" s="566"/>
      <c r="U128" s="243"/>
      <c r="V128" s="566"/>
      <c r="W128" s="566"/>
      <c r="X128" s="243"/>
      <c r="Y128" s="566"/>
      <c r="Z128" s="566"/>
      <c r="AA128" s="566"/>
      <c r="AB128" s="566"/>
      <c r="AC128" s="566"/>
      <c r="AD128" s="566"/>
      <c r="AE128" s="566"/>
      <c r="AF128" s="566"/>
      <c r="AG128" s="566"/>
      <c r="AH128" s="566"/>
      <c r="AI128" s="566"/>
      <c r="AJ128" s="243"/>
      <c r="AK128" s="566"/>
      <c r="AL128" s="566"/>
      <c r="AM128" s="243"/>
      <c r="AN128" s="910"/>
      <c r="AO128" s="910"/>
      <c r="AP128" s="566"/>
      <c r="AQ128" s="566"/>
      <c r="AY128" s="262"/>
    </row>
    <row r="129" spans="1:51" s="911" customFormat="1" ht="17.25" customHeight="1">
      <c r="A129" s="910"/>
      <c r="B129" s="910"/>
      <c r="C129" s="566"/>
      <c r="D129" s="566"/>
      <c r="E129" s="566"/>
      <c r="F129" s="566"/>
      <c r="G129" s="566"/>
      <c r="H129" s="566"/>
      <c r="I129" s="566"/>
      <c r="J129" s="566"/>
      <c r="K129" s="566"/>
      <c r="L129" s="243"/>
      <c r="M129" s="566"/>
      <c r="N129" s="566"/>
      <c r="O129" s="243"/>
      <c r="P129" s="566"/>
      <c r="Q129" s="566"/>
      <c r="R129" s="243"/>
      <c r="S129" s="566"/>
      <c r="T129" s="566"/>
      <c r="U129" s="243"/>
      <c r="V129" s="566"/>
      <c r="W129" s="566"/>
      <c r="X129" s="243"/>
      <c r="Y129" s="566"/>
      <c r="Z129" s="566"/>
      <c r="AA129" s="566"/>
      <c r="AB129" s="566"/>
      <c r="AC129" s="566"/>
      <c r="AD129" s="566"/>
      <c r="AE129" s="566"/>
      <c r="AF129" s="566"/>
      <c r="AG129" s="566"/>
      <c r="AH129" s="566"/>
      <c r="AI129" s="566"/>
      <c r="AJ129" s="243"/>
      <c r="AK129" s="566"/>
      <c r="AL129" s="566"/>
      <c r="AM129" s="243"/>
      <c r="AN129" s="910"/>
      <c r="AO129" s="910"/>
      <c r="AP129" s="566"/>
      <c r="AQ129" s="566"/>
      <c r="AY129" s="262"/>
    </row>
    <row r="130" spans="1:51" s="911" customFormat="1" ht="17.25" customHeight="1">
      <c r="A130" s="910"/>
      <c r="B130" s="910"/>
      <c r="C130" s="566"/>
      <c r="D130" s="566"/>
      <c r="E130" s="566"/>
      <c r="F130" s="566"/>
      <c r="G130" s="566"/>
      <c r="H130" s="566"/>
      <c r="I130" s="566"/>
      <c r="J130" s="566"/>
      <c r="K130" s="566"/>
      <c r="L130" s="243"/>
      <c r="M130" s="566"/>
      <c r="N130" s="566"/>
      <c r="O130" s="243"/>
      <c r="P130" s="566"/>
      <c r="Q130" s="566"/>
      <c r="R130" s="243"/>
      <c r="S130" s="566"/>
      <c r="T130" s="566"/>
      <c r="U130" s="243"/>
      <c r="V130" s="566"/>
      <c r="W130" s="566"/>
      <c r="X130" s="243"/>
      <c r="Y130" s="566"/>
      <c r="Z130" s="566"/>
      <c r="AA130" s="566"/>
      <c r="AB130" s="566"/>
      <c r="AC130" s="566"/>
      <c r="AD130" s="566"/>
      <c r="AE130" s="566"/>
      <c r="AF130" s="566"/>
      <c r="AG130" s="566"/>
      <c r="AH130" s="566"/>
      <c r="AI130" s="566"/>
      <c r="AJ130" s="243"/>
      <c r="AK130" s="566"/>
      <c r="AL130" s="566"/>
      <c r="AM130" s="243"/>
      <c r="AN130" s="910"/>
      <c r="AO130" s="910"/>
      <c r="AP130" s="566"/>
      <c r="AQ130" s="566"/>
      <c r="AY130" s="262"/>
    </row>
    <row r="131" spans="1:51" s="911" customFormat="1" ht="17.25" customHeight="1">
      <c r="A131" s="910"/>
      <c r="B131" s="910"/>
      <c r="C131" s="566"/>
      <c r="D131" s="566"/>
      <c r="E131" s="566"/>
      <c r="F131" s="566"/>
      <c r="G131" s="566"/>
      <c r="H131" s="566"/>
      <c r="I131" s="566"/>
      <c r="J131" s="566"/>
      <c r="K131" s="566"/>
      <c r="L131" s="243"/>
      <c r="M131" s="566"/>
      <c r="N131" s="566"/>
      <c r="O131" s="243"/>
      <c r="P131" s="566"/>
      <c r="Q131" s="566"/>
      <c r="R131" s="243"/>
      <c r="S131" s="566"/>
      <c r="T131" s="566"/>
      <c r="U131" s="243"/>
      <c r="V131" s="566"/>
      <c r="W131" s="566"/>
      <c r="X131" s="243"/>
      <c r="Y131" s="566"/>
      <c r="Z131" s="566"/>
      <c r="AA131" s="566"/>
      <c r="AB131" s="566"/>
      <c r="AC131" s="566"/>
      <c r="AD131" s="566"/>
      <c r="AE131" s="566"/>
      <c r="AF131" s="566"/>
      <c r="AG131" s="566"/>
      <c r="AH131" s="566"/>
      <c r="AI131" s="566"/>
      <c r="AJ131" s="243"/>
      <c r="AK131" s="566"/>
      <c r="AL131" s="566"/>
      <c r="AM131" s="243"/>
      <c r="AN131" s="910"/>
      <c r="AO131" s="910"/>
      <c r="AP131" s="566"/>
      <c r="AQ131" s="566"/>
      <c r="AY131" s="262"/>
    </row>
    <row r="132" spans="1:51" s="911" customFormat="1" ht="17.25" customHeight="1">
      <c r="A132" s="910"/>
      <c r="B132" s="910"/>
      <c r="C132" s="566"/>
      <c r="D132" s="566"/>
      <c r="E132" s="566"/>
      <c r="F132" s="566"/>
      <c r="G132" s="566"/>
      <c r="H132" s="566"/>
      <c r="I132" s="566"/>
      <c r="J132" s="566"/>
      <c r="K132" s="566"/>
      <c r="L132" s="243"/>
      <c r="M132" s="566"/>
      <c r="N132" s="566"/>
      <c r="O132" s="243"/>
      <c r="P132" s="566"/>
      <c r="Q132" s="566"/>
      <c r="R132" s="243"/>
      <c r="S132" s="566"/>
      <c r="T132" s="566"/>
      <c r="U132" s="243"/>
      <c r="V132" s="566"/>
      <c r="W132" s="566"/>
      <c r="X132" s="243"/>
      <c r="Y132" s="566"/>
      <c r="Z132" s="566"/>
      <c r="AA132" s="566"/>
      <c r="AB132" s="566"/>
      <c r="AC132" s="566"/>
      <c r="AD132" s="566"/>
      <c r="AE132" s="566"/>
      <c r="AF132" s="566"/>
      <c r="AG132" s="566"/>
      <c r="AH132" s="566"/>
      <c r="AI132" s="566"/>
      <c r="AJ132" s="243"/>
      <c r="AK132" s="566"/>
      <c r="AL132" s="566"/>
      <c r="AM132" s="243"/>
      <c r="AN132" s="910"/>
      <c r="AO132" s="910"/>
      <c r="AP132" s="566"/>
      <c r="AQ132" s="566"/>
      <c r="AY132" s="262"/>
    </row>
    <row r="133" spans="1:51" s="911" customFormat="1" ht="17.25" customHeight="1">
      <c r="A133" s="910"/>
      <c r="B133" s="910"/>
      <c r="C133" s="566"/>
      <c r="D133" s="566"/>
      <c r="E133" s="566"/>
      <c r="F133" s="566"/>
      <c r="G133" s="566"/>
      <c r="H133" s="566"/>
      <c r="I133" s="566"/>
      <c r="J133" s="566"/>
      <c r="K133" s="566"/>
      <c r="L133" s="243"/>
      <c r="M133" s="566"/>
      <c r="N133" s="566"/>
      <c r="O133" s="243"/>
      <c r="P133" s="566"/>
      <c r="Q133" s="566"/>
      <c r="R133" s="243"/>
      <c r="S133" s="566"/>
      <c r="T133" s="566"/>
      <c r="U133" s="243"/>
      <c r="V133" s="566"/>
      <c r="W133" s="566"/>
      <c r="X133" s="243"/>
      <c r="Y133" s="566"/>
      <c r="Z133" s="566"/>
      <c r="AA133" s="566"/>
      <c r="AB133" s="566"/>
      <c r="AC133" s="566"/>
      <c r="AD133" s="566"/>
      <c r="AE133" s="566"/>
      <c r="AF133" s="566"/>
      <c r="AG133" s="566"/>
      <c r="AH133" s="566"/>
      <c r="AI133" s="566"/>
      <c r="AJ133" s="243"/>
      <c r="AK133" s="566"/>
      <c r="AL133" s="566"/>
      <c r="AM133" s="243"/>
      <c r="AN133" s="910"/>
      <c r="AO133" s="910"/>
      <c r="AP133" s="566"/>
      <c r="AQ133" s="566"/>
      <c r="AY133" s="262"/>
    </row>
    <row r="134" spans="1:51" s="911" customFormat="1" ht="17.25" customHeight="1">
      <c r="A134" s="910"/>
      <c r="B134" s="910"/>
      <c r="C134" s="566"/>
      <c r="D134" s="566"/>
      <c r="E134" s="566"/>
      <c r="F134" s="566"/>
      <c r="G134" s="566"/>
      <c r="H134" s="566"/>
      <c r="I134" s="566"/>
      <c r="J134" s="566"/>
      <c r="K134" s="566"/>
      <c r="L134" s="243"/>
      <c r="M134" s="566"/>
      <c r="N134" s="566"/>
      <c r="O134" s="243"/>
      <c r="P134" s="566"/>
      <c r="Q134" s="566"/>
      <c r="R134" s="243"/>
      <c r="S134" s="566"/>
      <c r="T134" s="566"/>
      <c r="U134" s="243"/>
      <c r="V134" s="566"/>
      <c r="W134" s="566"/>
      <c r="X134" s="243"/>
      <c r="Y134" s="566"/>
      <c r="Z134" s="566"/>
      <c r="AA134" s="566"/>
      <c r="AB134" s="566"/>
      <c r="AC134" s="566"/>
      <c r="AD134" s="566"/>
      <c r="AE134" s="566"/>
      <c r="AF134" s="566"/>
      <c r="AG134" s="566"/>
      <c r="AH134" s="566"/>
      <c r="AI134" s="566"/>
      <c r="AJ134" s="243"/>
      <c r="AK134" s="566"/>
      <c r="AL134" s="566"/>
      <c r="AM134" s="243"/>
      <c r="AN134" s="910"/>
      <c r="AO134" s="910"/>
      <c r="AP134" s="566"/>
      <c r="AQ134" s="566"/>
      <c r="AY134" s="262"/>
    </row>
    <row r="135" spans="1:51" s="911" customFormat="1" ht="17.25" customHeight="1">
      <c r="A135" s="910"/>
      <c r="B135" s="910"/>
      <c r="C135" s="566"/>
      <c r="D135" s="566"/>
      <c r="E135" s="566"/>
      <c r="F135" s="566"/>
      <c r="G135" s="566"/>
      <c r="H135" s="566"/>
      <c r="I135" s="566"/>
      <c r="J135" s="566"/>
      <c r="K135" s="566"/>
      <c r="L135" s="243"/>
      <c r="M135" s="566"/>
      <c r="N135" s="566"/>
      <c r="O135" s="243"/>
      <c r="P135" s="566"/>
      <c r="Q135" s="566"/>
      <c r="R135" s="243"/>
      <c r="S135" s="566"/>
      <c r="T135" s="566"/>
      <c r="U135" s="243"/>
      <c r="V135" s="566"/>
      <c r="W135" s="566"/>
      <c r="X135" s="243"/>
      <c r="Y135" s="566"/>
      <c r="Z135" s="566"/>
      <c r="AA135" s="566"/>
      <c r="AB135" s="566"/>
      <c r="AC135" s="566"/>
      <c r="AD135" s="566"/>
      <c r="AE135" s="566"/>
      <c r="AF135" s="566"/>
      <c r="AG135" s="566"/>
      <c r="AH135" s="566"/>
      <c r="AI135" s="566"/>
      <c r="AJ135" s="243"/>
      <c r="AK135" s="566"/>
      <c r="AL135" s="566"/>
      <c r="AM135" s="243"/>
      <c r="AN135" s="910"/>
      <c r="AO135" s="910"/>
      <c r="AP135" s="566"/>
      <c r="AQ135" s="566"/>
      <c r="AY135" s="262"/>
    </row>
    <row r="136" spans="1:51" s="911" customFormat="1" ht="17.25" customHeight="1">
      <c r="A136" s="910"/>
      <c r="B136" s="910"/>
      <c r="C136" s="566"/>
      <c r="D136" s="566"/>
      <c r="E136" s="566"/>
      <c r="F136" s="566"/>
      <c r="G136" s="566"/>
      <c r="H136" s="566"/>
      <c r="I136" s="566"/>
      <c r="J136" s="566"/>
      <c r="K136" s="566"/>
      <c r="L136" s="243"/>
      <c r="M136" s="566"/>
      <c r="N136" s="566"/>
      <c r="O136" s="243"/>
      <c r="P136" s="566"/>
      <c r="Q136" s="566"/>
      <c r="R136" s="243"/>
      <c r="S136" s="566"/>
      <c r="T136" s="566"/>
      <c r="U136" s="243"/>
      <c r="V136" s="566"/>
      <c r="W136" s="566"/>
      <c r="X136" s="243"/>
      <c r="Y136" s="566"/>
      <c r="Z136" s="566"/>
      <c r="AA136" s="566"/>
      <c r="AB136" s="566"/>
      <c r="AC136" s="566"/>
      <c r="AD136" s="566"/>
      <c r="AE136" s="566"/>
      <c r="AF136" s="566"/>
      <c r="AG136" s="566"/>
      <c r="AH136" s="566"/>
      <c r="AI136" s="566"/>
      <c r="AJ136" s="243"/>
      <c r="AK136" s="566"/>
      <c r="AL136" s="566"/>
      <c r="AM136" s="243"/>
      <c r="AN136" s="910"/>
      <c r="AO136" s="910"/>
      <c r="AP136" s="566"/>
      <c r="AQ136" s="566"/>
      <c r="AY136" s="262"/>
    </row>
    <row r="137" spans="1:51" s="911" customFormat="1" ht="17.25" customHeight="1">
      <c r="A137" s="910"/>
      <c r="B137" s="910"/>
      <c r="C137" s="566"/>
      <c r="D137" s="566"/>
      <c r="E137" s="566"/>
      <c r="F137" s="566"/>
      <c r="G137" s="566"/>
      <c r="H137" s="566"/>
      <c r="I137" s="566"/>
      <c r="J137" s="566"/>
      <c r="K137" s="566"/>
      <c r="L137" s="243"/>
      <c r="M137" s="566"/>
      <c r="N137" s="566"/>
      <c r="O137" s="243"/>
      <c r="P137" s="566"/>
      <c r="Q137" s="566"/>
      <c r="R137" s="243"/>
      <c r="S137" s="566"/>
      <c r="T137" s="566"/>
      <c r="U137" s="243"/>
      <c r="V137" s="566"/>
      <c r="W137" s="566"/>
      <c r="X137" s="243"/>
      <c r="Y137" s="566"/>
      <c r="Z137" s="566"/>
      <c r="AA137" s="566"/>
      <c r="AB137" s="566"/>
      <c r="AC137" s="566"/>
      <c r="AD137" s="566"/>
      <c r="AE137" s="566"/>
      <c r="AF137" s="566"/>
      <c r="AG137" s="566"/>
      <c r="AH137" s="566"/>
      <c r="AI137" s="566"/>
      <c r="AJ137" s="243"/>
      <c r="AK137" s="566"/>
      <c r="AL137" s="566"/>
      <c r="AM137" s="243"/>
      <c r="AN137" s="910"/>
      <c r="AO137" s="910"/>
      <c r="AP137" s="566"/>
      <c r="AQ137" s="566"/>
      <c r="AY137" s="262"/>
    </row>
    <row r="138" spans="1:51" s="911" customFormat="1" ht="17.25" customHeight="1">
      <c r="A138" s="910"/>
      <c r="B138" s="910"/>
      <c r="C138" s="566"/>
      <c r="D138" s="566"/>
      <c r="E138" s="566"/>
      <c r="F138" s="566"/>
      <c r="G138" s="566"/>
      <c r="H138" s="566"/>
      <c r="I138" s="566"/>
      <c r="J138" s="566"/>
      <c r="K138" s="566"/>
      <c r="L138" s="243"/>
      <c r="M138" s="566"/>
      <c r="N138" s="566"/>
      <c r="O138" s="243"/>
      <c r="P138" s="566"/>
      <c r="Q138" s="566"/>
      <c r="R138" s="243"/>
      <c r="S138" s="566"/>
      <c r="T138" s="566"/>
      <c r="U138" s="243"/>
      <c r="V138" s="566"/>
      <c r="W138" s="566"/>
      <c r="X138" s="243"/>
      <c r="Y138" s="566"/>
      <c r="Z138" s="566"/>
      <c r="AA138" s="566"/>
      <c r="AB138" s="566"/>
      <c r="AC138" s="566"/>
      <c r="AD138" s="566"/>
      <c r="AE138" s="566"/>
      <c r="AF138" s="566"/>
      <c r="AG138" s="566"/>
      <c r="AH138" s="566"/>
      <c r="AI138" s="566"/>
      <c r="AJ138" s="243"/>
      <c r="AK138" s="566"/>
      <c r="AL138" s="566"/>
      <c r="AM138" s="243"/>
      <c r="AN138" s="910"/>
      <c r="AO138" s="910"/>
      <c r="AP138" s="566"/>
      <c r="AQ138" s="566"/>
      <c r="AY138" s="262"/>
    </row>
    <row r="139" spans="1:51" s="911" customFormat="1" ht="17.25" customHeight="1">
      <c r="A139" s="910"/>
      <c r="B139" s="910"/>
      <c r="C139" s="566"/>
      <c r="D139" s="566"/>
      <c r="E139" s="566"/>
      <c r="F139" s="566"/>
      <c r="G139" s="566"/>
      <c r="H139" s="566"/>
      <c r="I139" s="566"/>
      <c r="J139" s="566"/>
      <c r="K139" s="566"/>
      <c r="L139" s="243"/>
      <c r="M139" s="566"/>
      <c r="N139" s="566"/>
      <c r="O139" s="243"/>
      <c r="P139" s="566"/>
      <c r="Q139" s="566"/>
      <c r="R139" s="243"/>
      <c r="S139" s="566"/>
      <c r="T139" s="566"/>
      <c r="U139" s="243"/>
      <c r="V139" s="566"/>
      <c r="W139" s="566"/>
      <c r="X139" s="243"/>
      <c r="Y139" s="566"/>
      <c r="Z139" s="566"/>
      <c r="AA139" s="566"/>
      <c r="AB139" s="566"/>
      <c r="AC139" s="566"/>
      <c r="AD139" s="566"/>
      <c r="AE139" s="566"/>
      <c r="AF139" s="566"/>
      <c r="AG139" s="566"/>
      <c r="AH139" s="566"/>
      <c r="AI139" s="566"/>
      <c r="AJ139" s="243"/>
      <c r="AK139" s="566"/>
      <c r="AL139" s="566"/>
      <c r="AM139" s="243"/>
      <c r="AN139" s="910"/>
      <c r="AO139" s="910"/>
      <c r="AP139" s="566"/>
      <c r="AQ139" s="566"/>
      <c r="AY139" s="262"/>
    </row>
    <row r="140" spans="1:51" s="911" customFormat="1" ht="17.25" customHeight="1">
      <c r="A140" s="910"/>
      <c r="B140" s="910"/>
      <c r="C140" s="566"/>
      <c r="D140" s="566"/>
      <c r="E140" s="566"/>
      <c r="F140" s="566"/>
      <c r="G140" s="566"/>
      <c r="H140" s="566"/>
      <c r="I140" s="566"/>
      <c r="J140" s="566"/>
      <c r="K140" s="566"/>
      <c r="L140" s="243"/>
      <c r="M140" s="566"/>
      <c r="N140" s="566"/>
      <c r="O140" s="243"/>
      <c r="P140" s="566"/>
      <c r="Q140" s="566"/>
      <c r="R140" s="243"/>
      <c r="S140" s="566"/>
      <c r="T140" s="566"/>
      <c r="U140" s="243"/>
      <c r="V140" s="566"/>
      <c r="W140" s="566"/>
      <c r="X140" s="243"/>
      <c r="Y140" s="566"/>
      <c r="Z140" s="566"/>
      <c r="AA140" s="566"/>
      <c r="AB140" s="566"/>
      <c r="AC140" s="566"/>
      <c r="AD140" s="566"/>
      <c r="AE140" s="566"/>
      <c r="AF140" s="566"/>
      <c r="AG140" s="566"/>
      <c r="AH140" s="566"/>
      <c r="AI140" s="566"/>
      <c r="AJ140" s="243"/>
      <c r="AK140" s="566"/>
      <c r="AL140" s="566"/>
      <c r="AM140" s="243"/>
      <c r="AN140" s="910"/>
      <c r="AO140" s="910"/>
      <c r="AP140" s="566"/>
      <c r="AQ140" s="566"/>
      <c r="AY140" s="262"/>
    </row>
    <row r="141" spans="1:51" s="911" customFormat="1" ht="17.25" customHeight="1">
      <c r="A141" s="910"/>
      <c r="B141" s="910"/>
      <c r="C141" s="566"/>
      <c r="D141" s="566"/>
      <c r="E141" s="566"/>
      <c r="F141" s="566"/>
      <c r="G141" s="566"/>
      <c r="H141" s="566"/>
      <c r="I141" s="566"/>
      <c r="J141" s="566"/>
      <c r="K141" s="566"/>
      <c r="L141" s="243"/>
      <c r="M141" s="566"/>
      <c r="N141" s="566"/>
      <c r="O141" s="243"/>
      <c r="P141" s="566"/>
      <c r="Q141" s="566"/>
      <c r="R141" s="243"/>
      <c r="S141" s="566"/>
      <c r="T141" s="566"/>
      <c r="U141" s="243"/>
      <c r="V141" s="566"/>
      <c r="W141" s="566"/>
      <c r="X141" s="243"/>
      <c r="Y141" s="566"/>
      <c r="Z141" s="566"/>
      <c r="AA141" s="566"/>
      <c r="AB141" s="566"/>
      <c r="AC141" s="566"/>
      <c r="AD141" s="566"/>
      <c r="AE141" s="566"/>
      <c r="AF141" s="566"/>
      <c r="AG141" s="566"/>
      <c r="AH141" s="566"/>
      <c r="AI141" s="566"/>
      <c r="AJ141" s="243"/>
      <c r="AK141" s="566"/>
      <c r="AL141" s="566"/>
      <c r="AM141" s="243"/>
      <c r="AN141" s="910"/>
      <c r="AO141" s="910"/>
      <c r="AP141" s="566"/>
      <c r="AQ141" s="566"/>
      <c r="AY141" s="262"/>
    </row>
    <row r="142" spans="1:51" s="911" customFormat="1" ht="17.25" customHeight="1">
      <c r="A142" s="910"/>
      <c r="B142" s="910"/>
      <c r="C142" s="566"/>
      <c r="D142" s="566"/>
      <c r="E142" s="566"/>
      <c r="F142" s="566"/>
      <c r="G142" s="566"/>
      <c r="H142" s="566"/>
      <c r="I142" s="566"/>
      <c r="J142" s="566"/>
      <c r="K142" s="566"/>
      <c r="L142" s="243"/>
      <c r="M142" s="566"/>
      <c r="N142" s="566"/>
      <c r="O142" s="243"/>
      <c r="P142" s="566"/>
      <c r="Q142" s="566"/>
      <c r="R142" s="243"/>
      <c r="S142" s="566"/>
      <c r="T142" s="566"/>
      <c r="U142" s="243"/>
      <c r="V142" s="566"/>
      <c r="W142" s="566"/>
      <c r="X142" s="243"/>
      <c r="Y142" s="566"/>
      <c r="Z142" s="566"/>
      <c r="AA142" s="566"/>
      <c r="AB142" s="566"/>
      <c r="AC142" s="566"/>
      <c r="AD142" s="566"/>
      <c r="AE142" s="566"/>
      <c r="AF142" s="566"/>
      <c r="AG142" s="566"/>
      <c r="AH142" s="566"/>
      <c r="AI142" s="566"/>
      <c r="AJ142" s="243"/>
      <c r="AK142" s="566"/>
      <c r="AL142" s="566"/>
      <c r="AM142" s="243"/>
      <c r="AN142" s="910"/>
      <c r="AO142" s="910"/>
      <c r="AP142" s="566"/>
      <c r="AQ142" s="566"/>
      <c r="AY142" s="262"/>
    </row>
    <row r="143" spans="1:51" s="911" customFormat="1" ht="17.25" customHeight="1">
      <c r="A143" s="910"/>
      <c r="B143" s="910"/>
      <c r="C143" s="566"/>
      <c r="D143" s="566"/>
      <c r="E143" s="566"/>
      <c r="F143" s="566"/>
      <c r="G143" s="566"/>
      <c r="H143" s="566"/>
      <c r="I143" s="566"/>
      <c r="J143" s="566"/>
      <c r="K143" s="566"/>
      <c r="L143" s="243"/>
      <c r="M143" s="566"/>
      <c r="N143" s="566"/>
      <c r="O143" s="243"/>
      <c r="P143" s="566"/>
      <c r="Q143" s="566"/>
      <c r="R143" s="243"/>
      <c r="S143" s="566"/>
      <c r="T143" s="566"/>
      <c r="U143" s="243"/>
      <c r="V143" s="566"/>
      <c r="W143" s="566"/>
      <c r="X143" s="243"/>
      <c r="Y143" s="566"/>
      <c r="Z143" s="566"/>
      <c r="AA143" s="566"/>
      <c r="AB143" s="566"/>
      <c r="AC143" s="566"/>
      <c r="AD143" s="566"/>
      <c r="AE143" s="566"/>
      <c r="AF143" s="566"/>
      <c r="AG143" s="566"/>
      <c r="AH143" s="566"/>
      <c r="AI143" s="566"/>
      <c r="AJ143" s="243"/>
      <c r="AK143" s="566"/>
      <c r="AL143" s="566"/>
      <c r="AM143" s="243"/>
      <c r="AN143" s="910"/>
      <c r="AO143" s="910"/>
      <c r="AP143" s="566"/>
      <c r="AQ143" s="566"/>
      <c r="AY143" s="262"/>
    </row>
    <row r="144" spans="1:51" s="911" customFormat="1" ht="17.25" customHeight="1">
      <c r="A144" s="910"/>
      <c r="B144" s="910"/>
      <c r="C144" s="566"/>
      <c r="D144" s="566"/>
      <c r="E144" s="566"/>
      <c r="F144" s="566"/>
      <c r="G144" s="566"/>
      <c r="H144" s="566"/>
      <c r="I144" s="566"/>
      <c r="J144" s="566"/>
      <c r="K144" s="566"/>
      <c r="L144" s="243"/>
      <c r="M144" s="566"/>
      <c r="N144" s="566"/>
      <c r="O144" s="243"/>
      <c r="P144" s="566"/>
      <c r="Q144" s="566"/>
      <c r="R144" s="243"/>
      <c r="S144" s="566"/>
      <c r="T144" s="566"/>
      <c r="U144" s="243"/>
      <c r="V144" s="566"/>
      <c r="W144" s="566"/>
      <c r="X144" s="243"/>
      <c r="Y144" s="566"/>
      <c r="Z144" s="566"/>
      <c r="AA144" s="566"/>
      <c r="AB144" s="566"/>
      <c r="AC144" s="566"/>
      <c r="AD144" s="566"/>
      <c r="AE144" s="566"/>
      <c r="AF144" s="566"/>
      <c r="AG144" s="566"/>
      <c r="AH144" s="566"/>
      <c r="AI144" s="566"/>
      <c r="AJ144" s="243"/>
      <c r="AK144" s="566"/>
      <c r="AL144" s="566"/>
      <c r="AM144" s="243"/>
      <c r="AN144" s="910"/>
      <c r="AO144" s="910"/>
      <c r="AP144" s="566"/>
      <c r="AQ144" s="566"/>
      <c r="AY144" s="262"/>
    </row>
    <row r="145" spans="1:51" s="911" customFormat="1" ht="17.25" customHeight="1">
      <c r="A145" s="910"/>
      <c r="B145" s="910"/>
      <c r="C145" s="566"/>
      <c r="D145" s="566"/>
      <c r="E145" s="566"/>
      <c r="F145" s="566"/>
      <c r="G145" s="566"/>
      <c r="H145" s="566"/>
      <c r="I145" s="566"/>
      <c r="J145" s="566"/>
      <c r="K145" s="566"/>
      <c r="L145" s="243"/>
      <c r="M145" s="566"/>
      <c r="N145" s="566"/>
      <c r="O145" s="243"/>
      <c r="P145" s="566"/>
      <c r="Q145" s="566"/>
      <c r="R145" s="243"/>
      <c r="S145" s="566"/>
      <c r="T145" s="566"/>
      <c r="U145" s="243"/>
      <c r="V145" s="566"/>
      <c r="W145" s="566"/>
      <c r="X145" s="243"/>
      <c r="Y145" s="566"/>
      <c r="Z145" s="566"/>
      <c r="AA145" s="566"/>
      <c r="AB145" s="566"/>
      <c r="AC145" s="566"/>
      <c r="AD145" s="566"/>
      <c r="AE145" s="566"/>
      <c r="AF145" s="566"/>
      <c r="AG145" s="566"/>
      <c r="AH145" s="566"/>
      <c r="AI145" s="566"/>
      <c r="AJ145" s="243"/>
      <c r="AK145" s="566"/>
      <c r="AL145" s="566"/>
      <c r="AM145" s="243"/>
      <c r="AN145" s="910"/>
      <c r="AO145" s="910"/>
      <c r="AP145" s="566"/>
      <c r="AQ145" s="566"/>
      <c r="AY145" s="262"/>
    </row>
    <row r="146" spans="1:51" s="911" customFormat="1" ht="17.25" customHeight="1">
      <c r="A146" s="910"/>
      <c r="B146" s="910"/>
      <c r="C146" s="566"/>
      <c r="D146" s="988"/>
      <c r="E146" s="566"/>
      <c r="F146" s="566"/>
      <c r="G146" s="566"/>
      <c r="H146" s="566"/>
      <c r="I146" s="566"/>
      <c r="J146" s="566"/>
      <c r="K146" s="566"/>
      <c r="L146" s="243"/>
      <c r="M146" s="566"/>
      <c r="N146" s="566"/>
      <c r="O146" s="243"/>
      <c r="P146" s="566"/>
      <c r="Q146" s="566"/>
      <c r="R146" s="243"/>
      <c r="S146" s="566"/>
      <c r="T146" s="566"/>
      <c r="U146" s="243"/>
      <c r="V146" s="566"/>
      <c r="W146" s="566"/>
      <c r="X146" s="243"/>
      <c r="Y146" s="566"/>
      <c r="Z146" s="566"/>
      <c r="AA146" s="566"/>
      <c r="AB146" s="566"/>
      <c r="AC146" s="566"/>
      <c r="AD146" s="566"/>
      <c r="AE146" s="566"/>
      <c r="AF146" s="566"/>
      <c r="AG146" s="566"/>
      <c r="AH146" s="566"/>
      <c r="AI146" s="566"/>
      <c r="AJ146" s="243"/>
      <c r="AK146" s="566"/>
      <c r="AL146" s="566"/>
      <c r="AM146" s="243"/>
      <c r="AN146" s="910"/>
      <c r="AO146" s="910"/>
      <c r="AP146" s="566"/>
      <c r="AQ146" s="566"/>
      <c r="AY146" s="262"/>
    </row>
    <row r="147" spans="1:51" s="911" customFormat="1" ht="17.25" customHeight="1">
      <c r="A147" s="910"/>
      <c r="B147" s="910"/>
      <c r="C147" s="566"/>
      <c r="D147" s="1016" t="s">
        <v>349</v>
      </c>
      <c r="E147" s="566"/>
      <c r="F147" s="566"/>
      <c r="G147" s="566"/>
      <c r="H147" s="467"/>
      <c r="I147" s="467" t="str">
        <f>"(in " &amp;Currency_Label &amp;")"</f>
        <v>(in USD)</v>
      </c>
      <c r="J147" s="566"/>
      <c r="K147" s="566"/>
      <c r="L147" s="991" t="str">
        <f>'Summary 02'!$V$5</f>
        <v>FY 2018</v>
      </c>
      <c r="M147" s="992"/>
      <c r="N147" s="993"/>
      <c r="O147" s="994" t="s">
        <v>47</v>
      </c>
      <c r="P147" s="995"/>
      <c r="Q147" s="996" t="str">
        <f>'Summary 02'!$AA$5</f>
        <v>FY 2019</v>
      </c>
      <c r="R147" s="992"/>
      <c r="S147" s="993"/>
      <c r="T147" s="994" t="s">
        <v>47</v>
      </c>
      <c r="U147" s="995"/>
      <c r="V147" s="365" t="s">
        <v>944</v>
      </c>
      <c r="W147" s="992"/>
      <c r="X147" s="993"/>
      <c r="Y147" s="994"/>
      <c r="Z147" s="997"/>
      <c r="AA147" s="996"/>
      <c r="AB147" s="992"/>
      <c r="AC147" s="993"/>
      <c r="AD147" s="994"/>
      <c r="AE147" s="997"/>
      <c r="AF147" s="996"/>
      <c r="AG147" s="992"/>
      <c r="AH147" s="993"/>
      <c r="AI147" s="994"/>
      <c r="AJ147" s="997"/>
      <c r="AK147" s="831"/>
      <c r="AL147" s="566"/>
      <c r="AM147" s="566"/>
      <c r="AN147" s="910"/>
      <c r="AO147" s="910"/>
      <c r="AP147" s="566"/>
      <c r="AQ147" s="566"/>
      <c r="AY147" s="262"/>
    </row>
    <row r="148" spans="1:51" s="911" customFormat="1" ht="17.25" customHeight="1">
      <c r="A148" s="910"/>
      <c r="B148" s="910"/>
      <c r="C148" s="566"/>
      <c r="D148" s="988" t="s">
        <v>242</v>
      </c>
      <c r="E148" s="566"/>
      <c r="F148" s="566"/>
      <c r="G148" s="566"/>
      <c r="H148" s="566"/>
      <c r="I148" s="566"/>
      <c r="J148" s="566"/>
      <c r="K148" s="566"/>
      <c r="L148" s="989"/>
      <c r="M148" s="998"/>
      <c r="N148" s="978"/>
      <c r="O148" s="999"/>
      <c r="P148" s="1000"/>
      <c r="Q148" s="1001"/>
      <c r="R148" s="1002"/>
      <c r="S148" s="476"/>
      <c r="T148" s="999"/>
      <c r="U148" s="100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566"/>
      <c r="AQ148" s="566"/>
      <c r="AY148" s="262"/>
    </row>
    <row r="149" spans="1:51" s="911" customFormat="1" ht="17.25" customHeight="1">
      <c r="A149" s="910"/>
      <c r="B149" s="910"/>
      <c r="C149" s="566"/>
      <c r="D149" s="566" t="str">
        <f>Product_01</f>
        <v>Desktops</v>
      </c>
      <c r="E149" s="566"/>
      <c r="F149" s="566"/>
      <c r="G149" s="566"/>
      <c r="H149" s="566"/>
      <c r="I149" s="566"/>
      <c r="J149" s="566"/>
      <c r="K149" s="566"/>
      <c r="L149" s="1003">
        <f>AX457</f>
        <v>220043.1639765643</v>
      </c>
      <c r="M149" s="1004"/>
      <c r="N149" s="1005"/>
      <c r="O149" s="1006">
        <f>IFERROR(L149/L$159,0)</f>
        <v>0.30073846824954098</v>
      </c>
      <c r="P149" s="1007"/>
      <c r="Q149" s="1008">
        <f>AY457</f>
        <v>278080.37757531548</v>
      </c>
      <c r="R149" s="1004"/>
      <c r="S149" s="1005"/>
      <c r="T149" s="1006">
        <f>IFERROR(Q149/Q$159,0)</f>
        <v>0.26634524941554227</v>
      </c>
      <c r="U149" s="1007"/>
      <c r="V149" s="910"/>
      <c r="W149" s="910"/>
      <c r="X149" s="910"/>
      <c r="Y149" s="910"/>
      <c r="Z149" s="910"/>
      <c r="AA149" s="910"/>
      <c r="AB149" s="910"/>
      <c r="AC149" s="910"/>
      <c r="AD149" s="910"/>
      <c r="AE149" s="910"/>
      <c r="AF149" s="910"/>
      <c r="AG149" s="910"/>
      <c r="AH149" s="910"/>
      <c r="AI149" s="910"/>
      <c r="AJ149" s="910"/>
      <c r="AK149" s="910"/>
      <c r="AL149" s="910"/>
      <c r="AM149" s="910"/>
      <c r="AN149" s="910"/>
      <c r="AO149" s="910"/>
      <c r="AP149" s="566"/>
      <c r="AQ149" s="566"/>
      <c r="AY149" s="262"/>
    </row>
    <row r="150" spans="1:51" s="911" customFormat="1" ht="17.25" customHeight="1">
      <c r="A150" s="910"/>
      <c r="B150" s="910"/>
      <c r="C150" s="566"/>
      <c r="D150" s="24" t="str">
        <f>Product_02</f>
        <v>Workstations</v>
      </c>
      <c r="E150" s="566"/>
      <c r="F150" s="566"/>
      <c r="G150" s="566"/>
      <c r="H150" s="566"/>
      <c r="I150" s="566"/>
      <c r="J150" s="566"/>
      <c r="K150" s="566"/>
      <c r="L150" s="1003">
        <f t="shared" ref="L150:L158" si="13">AX458</f>
        <v>161023.36014485304</v>
      </c>
      <c r="M150" s="1004"/>
      <c r="N150" s="1005"/>
      <c r="O150" s="1006">
        <f t="shared" ref="O150:O158" si="14">IFERROR(L150/L$159,0)</f>
        <v>0.22007463357286977</v>
      </c>
      <c r="P150" s="1007"/>
      <c r="Q150" s="1008">
        <f t="shared" ref="Q150:Q158" si="15">AY458</f>
        <v>276109.74678084836</v>
      </c>
      <c r="R150" s="1004"/>
      <c r="S150" s="1005"/>
      <c r="T150" s="1006">
        <f t="shared" ref="T150:T158" si="16">IFERROR(Q150/Q$159,0)</f>
        <v>0.26445778020597482</v>
      </c>
      <c r="U150" s="1007"/>
      <c r="V150" s="910"/>
      <c r="W150" s="910"/>
      <c r="X150" s="910"/>
      <c r="Y150" s="910"/>
      <c r="Z150" s="910"/>
      <c r="AA150" s="910"/>
      <c r="AB150" s="910"/>
      <c r="AC150" s="910"/>
      <c r="AD150" s="910"/>
      <c r="AE150" s="910"/>
      <c r="AF150" s="910"/>
      <c r="AG150" s="910"/>
      <c r="AH150" s="910"/>
      <c r="AI150" s="910"/>
      <c r="AJ150" s="910"/>
      <c r="AK150" s="910"/>
      <c r="AL150" s="910"/>
      <c r="AM150" s="910"/>
      <c r="AN150" s="910"/>
      <c r="AO150" s="910"/>
      <c r="AP150" s="566"/>
      <c r="AQ150" s="566"/>
      <c r="AY150" s="262"/>
    </row>
    <row r="151" spans="1:51" s="911" customFormat="1" ht="17.25" customHeight="1">
      <c r="A151" s="910"/>
      <c r="B151" s="910"/>
      <c r="C151" s="566"/>
      <c r="D151" s="24" t="str">
        <f>Product_03</f>
        <v>Notebooks</v>
      </c>
      <c r="E151" s="566"/>
      <c r="F151" s="566"/>
      <c r="G151" s="566"/>
      <c r="H151" s="566"/>
      <c r="I151" s="566"/>
      <c r="J151" s="566"/>
      <c r="K151" s="566"/>
      <c r="L151" s="1003">
        <f t="shared" si="13"/>
        <v>75950.424021487721</v>
      </c>
      <c r="M151" s="1004"/>
      <c r="N151" s="1005"/>
      <c r="O151" s="1006">
        <f t="shared" si="14"/>
        <v>0.10380333462919149</v>
      </c>
      <c r="P151" s="1007"/>
      <c r="Q151" s="1008">
        <f t="shared" si="15"/>
        <v>109675.86240786561</v>
      </c>
      <c r="R151" s="1004"/>
      <c r="S151" s="1005"/>
      <c r="T151" s="1006">
        <f t="shared" si="16"/>
        <v>0.10504748728621084</v>
      </c>
      <c r="U151" s="1007"/>
      <c r="V151" s="910"/>
      <c r="W151" s="910"/>
      <c r="X151" s="910"/>
      <c r="Y151" s="910"/>
      <c r="Z151" s="910"/>
      <c r="AA151" s="910"/>
      <c r="AB151" s="910"/>
      <c r="AC151" s="910"/>
      <c r="AD151" s="910"/>
      <c r="AE151" s="910"/>
      <c r="AF151" s="910"/>
      <c r="AG151" s="910"/>
      <c r="AH151" s="910"/>
      <c r="AI151" s="910"/>
      <c r="AJ151" s="910"/>
      <c r="AK151" s="910"/>
      <c r="AL151" s="910"/>
      <c r="AM151" s="910"/>
      <c r="AN151" s="910"/>
      <c r="AO151" s="910"/>
      <c r="AP151" s="566"/>
      <c r="AQ151" s="566"/>
      <c r="AY151" s="262"/>
    </row>
    <row r="152" spans="1:51" s="911" customFormat="1" ht="17.25" customHeight="1">
      <c r="A152" s="910"/>
      <c r="B152" s="910"/>
      <c r="C152" s="566"/>
      <c r="D152" s="24" t="str">
        <f>Product_04</f>
        <v>Software Products</v>
      </c>
      <c r="E152" s="566"/>
      <c r="F152" s="566"/>
      <c r="G152" s="566"/>
      <c r="H152" s="566"/>
      <c r="I152" s="566"/>
      <c r="J152" s="566"/>
      <c r="K152" s="566"/>
      <c r="L152" s="1003">
        <f t="shared" si="13"/>
        <v>64820.73669360947</v>
      </c>
      <c r="M152" s="1004"/>
      <c r="N152" s="1005"/>
      <c r="O152" s="1006">
        <f t="shared" si="14"/>
        <v>8.8592113982323695E-2</v>
      </c>
      <c r="P152" s="1007"/>
      <c r="Q152" s="1008">
        <f t="shared" si="15"/>
        <v>85638.281677482402</v>
      </c>
      <c r="R152" s="1004"/>
      <c r="S152" s="1005"/>
      <c r="T152" s="1006">
        <f t="shared" si="16"/>
        <v>8.2024304238186727E-2</v>
      </c>
      <c r="U152" s="1007"/>
      <c r="V152" s="910"/>
      <c r="W152" s="910"/>
      <c r="X152" s="910"/>
      <c r="Y152" s="910"/>
      <c r="Z152" s="910"/>
      <c r="AA152" s="910"/>
      <c r="AB152" s="910"/>
      <c r="AC152" s="910"/>
      <c r="AD152" s="910"/>
      <c r="AE152" s="910"/>
      <c r="AF152" s="910"/>
      <c r="AG152" s="910"/>
      <c r="AH152" s="910"/>
      <c r="AI152" s="910"/>
      <c r="AJ152" s="910"/>
      <c r="AK152" s="910"/>
      <c r="AL152" s="910"/>
      <c r="AM152" s="910"/>
      <c r="AN152" s="910"/>
      <c r="AO152" s="910"/>
      <c r="AP152" s="566"/>
      <c r="AQ152" s="566"/>
      <c r="AY152" s="262"/>
    </row>
    <row r="153" spans="1:51" s="911" customFormat="1" ht="17.25" customHeight="1">
      <c r="A153" s="910"/>
      <c r="B153" s="910"/>
      <c r="C153" s="566"/>
      <c r="D153" s="24" t="str">
        <f>Product_05</f>
        <v>Net work infrastructure solutions</v>
      </c>
      <c r="E153" s="566"/>
      <c r="F153" s="566"/>
      <c r="G153" s="566"/>
      <c r="H153" s="566"/>
      <c r="I153" s="566"/>
      <c r="J153" s="566"/>
      <c r="K153" s="566"/>
      <c r="L153" s="1003">
        <f t="shared" si="13"/>
        <v>11030.996840517648</v>
      </c>
      <c r="M153" s="1004"/>
      <c r="N153" s="1005"/>
      <c r="O153" s="1006">
        <f t="shared" si="14"/>
        <v>1.5076337901758802E-2</v>
      </c>
      <c r="P153" s="1007"/>
      <c r="Q153" s="1008">
        <f t="shared" si="15"/>
        <v>18457.833833513156</v>
      </c>
      <c r="R153" s="1004"/>
      <c r="S153" s="1005"/>
      <c r="T153" s="1006">
        <f t="shared" si="16"/>
        <v>1.7678904203609982E-2</v>
      </c>
      <c r="U153" s="1007"/>
      <c r="V153" s="910"/>
      <c r="W153" s="910"/>
      <c r="X153" s="910"/>
      <c r="Y153" s="910"/>
      <c r="Z153" s="910"/>
      <c r="AA153" s="910"/>
      <c r="AB153" s="910"/>
      <c r="AC153" s="910"/>
      <c r="AD153" s="910"/>
      <c r="AE153" s="910"/>
      <c r="AF153" s="910"/>
      <c r="AG153" s="910"/>
      <c r="AH153" s="910"/>
      <c r="AI153" s="910"/>
      <c r="AJ153" s="910"/>
      <c r="AK153" s="910"/>
      <c r="AL153" s="910"/>
      <c r="AM153" s="910"/>
      <c r="AN153" s="910"/>
      <c r="AO153" s="910"/>
      <c r="AP153" s="566"/>
      <c r="AQ153" s="566"/>
      <c r="AY153" s="262"/>
    </row>
    <row r="154" spans="1:51" s="911" customFormat="1" ht="17.25" customHeight="1">
      <c r="A154" s="910"/>
      <c r="B154" s="910"/>
      <c r="C154" s="566"/>
      <c r="D154" s="24" t="str">
        <f>Product_06</f>
        <v>Repair Services</v>
      </c>
      <c r="E154" s="566"/>
      <c r="F154" s="566"/>
      <c r="G154" s="566"/>
      <c r="H154" s="566"/>
      <c r="I154" s="566"/>
      <c r="J154" s="566"/>
      <c r="K154" s="566"/>
      <c r="L154" s="1003">
        <f t="shared" si="13"/>
        <v>100869.01531003042</v>
      </c>
      <c r="M154" s="1004"/>
      <c r="N154" s="1005"/>
      <c r="O154" s="1006">
        <f t="shared" si="14"/>
        <v>0.13786019347280834</v>
      </c>
      <c r="P154" s="1007"/>
      <c r="Q154" s="1008">
        <f t="shared" si="15"/>
        <v>140003.82709015271</v>
      </c>
      <c r="R154" s="1004"/>
      <c r="S154" s="1005"/>
      <c r="T154" s="1006">
        <f t="shared" si="16"/>
        <v>0.13409559700183341</v>
      </c>
      <c r="U154" s="1007"/>
      <c r="V154" s="910"/>
      <c r="W154" s="910"/>
      <c r="X154" s="910"/>
      <c r="Y154" s="910"/>
      <c r="Z154" s="910"/>
      <c r="AA154" s="910"/>
      <c r="AB154" s="910"/>
      <c r="AC154" s="910"/>
      <c r="AD154" s="910"/>
      <c r="AE154" s="910"/>
      <c r="AF154" s="910"/>
      <c r="AG154" s="910"/>
      <c r="AH154" s="910"/>
      <c r="AI154" s="910"/>
      <c r="AJ154" s="910"/>
      <c r="AK154" s="910"/>
      <c r="AL154" s="910"/>
      <c r="AM154" s="910"/>
      <c r="AN154" s="910"/>
      <c r="AO154" s="910"/>
      <c r="AP154" s="566"/>
      <c r="AQ154" s="566"/>
      <c r="AY154" s="262"/>
    </row>
    <row r="155" spans="1:51" s="911" customFormat="1" ht="17.25" customHeight="1">
      <c r="A155" s="910"/>
      <c r="B155" s="910"/>
      <c r="C155" s="566"/>
      <c r="D155" s="24" t="str">
        <f>Product_07</f>
        <v>Integration Services</v>
      </c>
      <c r="E155" s="566"/>
      <c r="F155" s="566"/>
      <c r="G155" s="566"/>
      <c r="H155" s="566"/>
      <c r="I155" s="566"/>
      <c r="J155" s="566"/>
      <c r="K155" s="566"/>
      <c r="L155" s="1003">
        <f t="shared" si="13"/>
        <v>11323.987362070588</v>
      </c>
      <c r="M155" s="1004"/>
      <c r="N155" s="1005"/>
      <c r="O155" s="1006">
        <f t="shared" si="14"/>
        <v>1.5476775338992025E-2</v>
      </c>
      <c r="P155" s="1007"/>
      <c r="Q155" s="1008">
        <f t="shared" si="15"/>
        <v>17417.648534067823</v>
      </c>
      <c r="R155" s="1004"/>
      <c r="S155" s="1005"/>
      <c r="T155" s="1006">
        <f t="shared" si="16"/>
        <v>1.6682615233367514E-2</v>
      </c>
      <c r="U155" s="1007"/>
      <c r="V155" s="910"/>
      <c r="W155" s="910"/>
      <c r="X155" s="910"/>
      <c r="Y155" s="910"/>
      <c r="Z155" s="910"/>
      <c r="AA155" s="910"/>
      <c r="AB155" s="910"/>
      <c r="AC155" s="910"/>
      <c r="AD155" s="910"/>
      <c r="AE155" s="910"/>
      <c r="AF155" s="910"/>
      <c r="AG155" s="910"/>
      <c r="AH155" s="910"/>
      <c r="AI155" s="910"/>
      <c r="AJ155" s="910"/>
      <c r="AK155" s="910"/>
      <c r="AL155" s="910"/>
      <c r="AM155" s="910"/>
      <c r="AN155" s="910"/>
      <c r="AO155" s="910"/>
      <c r="AP155" s="566"/>
      <c r="AQ155" s="566"/>
      <c r="AY155" s="262"/>
    </row>
    <row r="156" spans="1:51" s="911" customFormat="1" ht="17.25" customHeight="1">
      <c r="A156" s="910"/>
      <c r="B156" s="910"/>
      <c r="C156" s="566"/>
      <c r="D156" s="24" t="str">
        <f>Product_08</f>
        <v>Consulting Services</v>
      </c>
      <c r="E156" s="566"/>
      <c r="F156" s="566"/>
      <c r="G156" s="566"/>
      <c r="H156" s="566"/>
      <c r="I156" s="566"/>
      <c r="J156" s="566"/>
      <c r="K156" s="566"/>
      <c r="L156" s="1003">
        <f t="shared" si="13"/>
        <v>16699.560493610355</v>
      </c>
      <c r="M156" s="1004"/>
      <c r="N156" s="1005"/>
      <c r="O156" s="1006">
        <f t="shared" si="14"/>
        <v>2.2823704915567459E-2</v>
      </c>
      <c r="P156" s="1007"/>
      <c r="Q156" s="1008">
        <f t="shared" si="15"/>
        <v>25674.659180911622</v>
      </c>
      <c r="R156" s="1004"/>
      <c r="S156" s="1005"/>
      <c r="T156" s="1006">
        <f t="shared" si="16"/>
        <v>2.4591175985967769E-2</v>
      </c>
      <c r="U156" s="1007"/>
      <c r="V156" s="910"/>
      <c r="W156" s="910"/>
      <c r="X156" s="910"/>
      <c r="Y156" s="910"/>
      <c r="Z156" s="910"/>
      <c r="AA156" s="910"/>
      <c r="AB156" s="910"/>
      <c r="AC156" s="910"/>
      <c r="AD156" s="910"/>
      <c r="AE156" s="910"/>
      <c r="AF156" s="910"/>
      <c r="AG156" s="910"/>
      <c r="AH156" s="910"/>
      <c r="AI156" s="910"/>
      <c r="AJ156" s="910"/>
      <c r="AK156" s="910"/>
      <c r="AL156" s="910"/>
      <c r="AM156" s="910"/>
      <c r="AN156" s="910"/>
      <c r="AO156" s="910"/>
      <c r="AP156" s="566"/>
      <c r="AQ156" s="566"/>
      <c r="AY156" s="262"/>
    </row>
    <row r="157" spans="1:51" s="911" customFormat="1" ht="17.25" customHeight="1">
      <c r="A157" s="910"/>
      <c r="B157" s="910"/>
      <c r="C157" s="566"/>
      <c r="D157" s="24" t="str">
        <f>Product_09</f>
        <v>Spare Parts</v>
      </c>
      <c r="E157" s="566"/>
      <c r="F157" s="566"/>
      <c r="G157" s="566"/>
      <c r="H157" s="566"/>
      <c r="I157" s="566"/>
      <c r="J157" s="566"/>
      <c r="K157" s="566"/>
      <c r="L157" s="1003">
        <f t="shared" si="13"/>
        <v>68304.540994141062</v>
      </c>
      <c r="M157" s="1004"/>
      <c r="N157" s="1005"/>
      <c r="O157" s="1006">
        <f t="shared" si="14"/>
        <v>9.3353516018583368E-2</v>
      </c>
      <c r="P157" s="1007"/>
      <c r="Q157" s="1008">
        <f t="shared" si="15"/>
        <v>85629.261060495541</v>
      </c>
      <c r="R157" s="1004"/>
      <c r="S157" s="1005"/>
      <c r="T157" s="1006">
        <f t="shared" si="16"/>
        <v>8.2015664295655724E-2</v>
      </c>
      <c r="U157" s="1007"/>
      <c r="V157" s="910"/>
      <c r="W157" s="910"/>
      <c r="X157" s="910"/>
      <c r="Y157" s="910"/>
      <c r="Z157" s="910"/>
      <c r="AA157" s="910"/>
      <c r="AB157" s="910"/>
      <c r="AC157" s="910"/>
      <c r="AD157" s="910"/>
      <c r="AE157" s="910"/>
      <c r="AF157" s="910"/>
      <c r="AG157" s="910"/>
      <c r="AH157" s="910"/>
      <c r="AI157" s="910"/>
      <c r="AJ157" s="910"/>
      <c r="AK157" s="910"/>
      <c r="AL157" s="910"/>
      <c r="AM157" s="910"/>
      <c r="AN157" s="910"/>
      <c r="AO157" s="910"/>
      <c r="AP157" s="566"/>
      <c r="AQ157" s="566"/>
      <c r="AY157" s="262"/>
    </row>
    <row r="158" spans="1:51" s="911" customFormat="1" ht="17.25" customHeight="1">
      <c r="A158" s="910"/>
      <c r="B158" s="910"/>
      <c r="C158" s="566"/>
      <c r="D158" s="1009" t="str">
        <f>Product_10</f>
        <v>License Fees</v>
      </c>
      <c r="E158" s="566"/>
      <c r="F158" s="566"/>
      <c r="G158" s="566"/>
      <c r="H158" s="566"/>
      <c r="I158" s="566"/>
      <c r="J158" s="566"/>
      <c r="K158" s="566"/>
      <c r="L158" s="1003">
        <f t="shared" si="13"/>
        <v>1610.362071074916</v>
      </c>
      <c r="M158" s="1004"/>
      <c r="N158" s="1005"/>
      <c r="O158" s="1006">
        <f t="shared" si="14"/>
        <v>2.2009219183642026E-3</v>
      </c>
      <c r="P158" s="1007"/>
      <c r="Q158" s="1008">
        <f t="shared" si="15"/>
        <v>7372.3384268261179</v>
      </c>
      <c r="R158" s="1004"/>
      <c r="S158" s="1005"/>
      <c r="T158" s="1006">
        <f t="shared" si="16"/>
        <v>7.0612221336507986E-3</v>
      </c>
      <c r="U158" s="1007"/>
      <c r="V158" s="910"/>
      <c r="W158" s="910"/>
      <c r="X158" s="910"/>
      <c r="Y158" s="910"/>
      <c r="Z158" s="910"/>
      <c r="AA158" s="910"/>
      <c r="AB158" s="910"/>
      <c r="AC158" s="910"/>
      <c r="AD158" s="910"/>
      <c r="AE158" s="910"/>
      <c r="AF158" s="910"/>
      <c r="AG158" s="910"/>
      <c r="AH158" s="910"/>
      <c r="AI158" s="910"/>
      <c r="AJ158" s="910"/>
      <c r="AK158" s="910"/>
      <c r="AL158" s="910"/>
      <c r="AM158" s="910"/>
      <c r="AN158" s="910"/>
      <c r="AO158" s="910"/>
      <c r="AP158" s="566"/>
      <c r="AQ158" s="566"/>
      <c r="AY158" s="262"/>
    </row>
    <row r="159" spans="1:51" s="911" customFormat="1" ht="17.25" customHeight="1">
      <c r="A159" s="910"/>
      <c r="B159" s="910"/>
      <c r="C159" s="566"/>
      <c r="D159" s="620" t="s">
        <v>860</v>
      </c>
      <c r="E159" s="621"/>
      <c r="F159" s="621"/>
      <c r="G159" s="990"/>
      <c r="H159" s="990"/>
      <c r="I159" s="990"/>
      <c r="J159" s="990"/>
      <c r="K159" s="990"/>
      <c r="L159" s="1010">
        <f>SUM(L149:L158)</f>
        <v>731676.14790795941</v>
      </c>
      <c r="M159" s="1011"/>
      <c r="N159" s="1012"/>
      <c r="O159" s="1013">
        <f>SUM(O149:O158)</f>
        <v>1</v>
      </c>
      <c r="P159" s="1014"/>
      <c r="Q159" s="1015">
        <f>SUM(Q149:Q158)</f>
        <v>1044059.836567479</v>
      </c>
      <c r="R159" s="1011"/>
      <c r="S159" s="1012"/>
      <c r="T159" s="1013">
        <f>SUM(T149:T158)</f>
        <v>0.99999999999999989</v>
      </c>
      <c r="U159" s="1014"/>
      <c r="V159" s="910"/>
      <c r="W159" s="910"/>
      <c r="X159" s="910"/>
      <c r="Y159" s="910"/>
      <c r="Z159" s="910"/>
      <c r="AA159" s="910"/>
      <c r="AB159" s="910"/>
      <c r="AC159" s="910"/>
      <c r="AD159" s="910"/>
      <c r="AE159" s="910"/>
      <c r="AF159" s="910"/>
      <c r="AG159" s="910"/>
      <c r="AH159" s="910"/>
      <c r="AI159" s="910"/>
      <c r="AJ159" s="910"/>
      <c r="AK159" s="910"/>
      <c r="AL159" s="910"/>
      <c r="AM159" s="910"/>
      <c r="AN159" s="910"/>
      <c r="AO159" s="910"/>
      <c r="AP159" s="566"/>
      <c r="AQ159" s="566"/>
      <c r="AY159" s="262"/>
    </row>
    <row r="160" spans="1:51" s="911" customFormat="1" ht="17.25" customHeight="1">
      <c r="A160" s="910"/>
      <c r="B160" s="910"/>
      <c r="C160" s="566"/>
      <c r="D160" s="566"/>
      <c r="E160" s="566"/>
      <c r="F160" s="566"/>
      <c r="G160" s="566"/>
      <c r="H160" s="566"/>
      <c r="I160" s="566"/>
      <c r="J160" s="566"/>
      <c r="K160" s="566"/>
      <c r="L160" s="243"/>
      <c r="M160" s="566"/>
      <c r="N160" s="566"/>
      <c r="O160" s="243"/>
      <c r="P160" s="566"/>
      <c r="Q160" s="566"/>
      <c r="R160" s="243"/>
      <c r="S160" s="566"/>
      <c r="T160" s="566"/>
      <c r="U160" s="243"/>
      <c r="V160" s="910"/>
      <c r="W160" s="910"/>
      <c r="X160" s="910"/>
      <c r="Y160" s="910"/>
      <c r="Z160" s="910"/>
      <c r="AA160" s="910"/>
      <c r="AB160" s="910"/>
      <c r="AC160" s="910"/>
      <c r="AD160" s="910"/>
      <c r="AE160" s="910"/>
      <c r="AF160" s="910"/>
      <c r="AG160" s="910"/>
      <c r="AH160" s="910"/>
      <c r="AI160" s="910"/>
      <c r="AJ160" s="910"/>
      <c r="AK160" s="910"/>
      <c r="AL160" s="910"/>
      <c r="AM160" s="910"/>
      <c r="AN160" s="910"/>
      <c r="AO160" s="910"/>
      <c r="AP160" s="566"/>
      <c r="AQ160" s="566"/>
      <c r="AY160" s="262"/>
    </row>
    <row r="161" spans="1:51" s="911" customFormat="1" ht="17.25" customHeight="1">
      <c r="A161" s="910"/>
      <c r="B161" s="910"/>
      <c r="C161" s="910"/>
      <c r="D161" s="910"/>
      <c r="E161" s="910"/>
      <c r="F161" s="910"/>
      <c r="G161" s="910"/>
      <c r="H161" s="910"/>
      <c r="I161" s="910"/>
      <c r="J161" s="910"/>
      <c r="K161" s="910"/>
      <c r="L161" s="465"/>
      <c r="M161" s="910"/>
      <c r="N161" s="910"/>
      <c r="O161" s="465"/>
      <c r="P161" s="910"/>
      <c r="Q161" s="910"/>
      <c r="R161" s="465"/>
      <c r="S161" s="910"/>
      <c r="T161" s="910"/>
      <c r="U161" s="465"/>
      <c r="V161" s="910"/>
      <c r="W161" s="910"/>
      <c r="X161" s="465"/>
      <c r="Y161" s="910"/>
      <c r="Z161" s="910"/>
      <c r="AA161" s="910"/>
      <c r="AB161" s="910"/>
      <c r="AC161" s="910"/>
      <c r="AD161" s="910"/>
      <c r="AE161" s="910"/>
      <c r="AF161" s="910"/>
      <c r="AG161" s="910"/>
      <c r="AH161" s="910"/>
      <c r="AI161" s="910"/>
      <c r="AJ161" s="465"/>
      <c r="AK161" s="910"/>
      <c r="AL161" s="910"/>
      <c r="AM161" s="465"/>
      <c r="AN161" s="910"/>
      <c r="AO161" s="910"/>
      <c r="AP161" s="566"/>
      <c r="AQ161" s="566"/>
      <c r="AY161" s="262"/>
    </row>
    <row r="162" spans="1:51" s="911" customFormat="1" ht="17.25" customHeight="1">
      <c r="A162" s="910"/>
      <c r="B162" s="910"/>
      <c r="C162" s="910"/>
      <c r="D162" s="910"/>
      <c r="E162" s="910"/>
      <c r="F162" s="910"/>
      <c r="G162" s="910"/>
      <c r="H162" s="910"/>
      <c r="I162" s="910"/>
      <c r="J162" s="910"/>
      <c r="K162" s="910"/>
      <c r="L162" s="465"/>
      <c r="M162" s="910"/>
      <c r="N162" s="910"/>
      <c r="O162" s="465"/>
      <c r="P162" s="910"/>
      <c r="Q162" s="910"/>
      <c r="R162" s="465"/>
      <c r="S162" s="910"/>
      <c r="T162" s="910"/>
      <c r="U162" s="465"/>
      <c r="V162" s="910"/>
      <c r="W162" s="910"/>
      <c r="X162" s="465"/>
      <c r="Y162" s="910"/>
      <c r="Z162" s="910"/>
      <c r="AA162" s="910"/>
      <c r="AB162" s="910"/>
      <c r="AC162" s="910"/>
      <c r="AD162" s="910"/>
      <c r="AE162" s="910"/>
      <c r="AF162" s="910"/>
      <c r="AG162" s="910"/>
      <c r="AH162" s="910"/>
      <c r="AI162" s="910"/>
      <c r="AJ162" s="465"/>
      <c r="AK162" s="910"/>
      <c r="AL162" s="910"/>
      <c r="AM162" s="465"/>
      <c r="AN162" s="910"/>
      <c r="AO162" s="910"/>
      <c r="AP162" s="566"/>
      <c r="AQ162" s="566"/>
      <c r="AY162" s="262"/>
    </row>
    <row r="163" spans="1:51" s="911" customFormat="1" ht="22.5" customHeight="1">
      <c r="A163" s="910"/>
      <c r="B163" s="910"/>
      <c r="C163" s="502" t="s">
        <v>864</v>
      </c>
      <c r="D163" s="566"/>
      <c r="E163" s="566"/>
      <c r="F163" s="566"/>
      <c r="G163" s="566"/>
      <c r="H163" s="566"/>
      <c r="I163" s="566"/>
      <c r="J163" s="566"/>
      <c r="K163" s="467"/>
      <c r="L163" s="243"/>
      <c r="M163" s="566"/>
      <c r="N163" s="566"/>
      <c r="O163" s="467" t="str">
        <f>"   (all currency in " &amp;Currency_Label &amp;")"</f>
        <v xml:space="preserve">   (all currency in USD)</v>
      </c>
      <c r="P163" s="566"/>
      <c r="Q163" s="566"/>
      <c r="R163" s="243"/>
      <c r="S163" s="566"/>
      <c r="T163" s="566"/>
      <c r="U163" s="243"/>
      <c r="V163" s="566"/>
      <c r="W163" s="566"/>
      <c r="X163" s="243"/>
      <c r="Y163" s="566"/>
      <c r="Z163" s="566"/>
      <c r="AA163" s="566"/>
      <c r="AB163" s="566"/>
      <c r="AC163" s="566"/>
      <c r="AD163" s="566"/>
      <c r="AE163" s="566"/>
      <c r="AF163" s="566"/>
      <c r="AG163" s="566"/>
      <c r="AH163" s="566"/>
      <c r="AI163" s="566"/>
      <c r="AJ163" s="243"/>
      <c r="AK163" s="566"/>
      <c r="AL163" s="566"/>
      <c r="AM163" s="243"/>
      <c r="AN163" s="910"/>
      <c r="AO163" s="910"/>
      <c r="AP163" s="566"/>
      <c r="AQ163" s="566"/>
      <c r="AY163" s="262"/>
    </row>
    <row r="164" spans="1:51" s="911" customFormat="1" ht="17.25" customHeight="1">
      <c r="A164" s="910"/>
      <c r="B164" s="910"/>
      <c r="C164" s="467"/>
      <c r="D164" s="566"/>
      <c r="E164" s="566"/>
      <c r="F164" s="566"/>
      <c r="G164" s="566"/>
      <c r="H164" s="566"/>
      <c r="I164" s="566"/>
      <c r="J164" s="566"/>
      <c r="K164" s="566"/>
      <c r="L164" s="243"/>
      <c r="M164" s="566"/>
      <c r="N164" s="566"/>
      <c r="O164" s="243"/>
      <c r="P164" s="566"/>
      <c r="Q164" s="566"/>
      <c r="R164" s="243"/>
      <c r="S164" s="566"/>
      <c r="T164" s="566"/>
      <c r="U164" s="243"/>
      <c r="V164" s="566"/>
      <c r="W164" s="566"/>
      <c r="X164" s="243"/>
      <c r="Y164" s="566"/>
      <c r="Z164" s="566"/>
      <c r="AA164" s="566"/>
      <c r="AB164" s="566"/>
      <c r="AC164" s="566"/>
      <c r="AD164" s="566"/>
      <c r="AE164" s="566"/>
      <c r="AF164" s="566"/>
      <c r="AG164" s="566"/>
      <c r="AH164" s="566"/>
      <c r="AI164" s="566"/>
      <c r="AJ164" s="243"/>
      <c r="AK164" s="566"/>
      <c r="AL164" s="566"/>
      <c r="AM164" s="243"/>
      <c r="AN164" s="910"/>
      <c r="AO164" s="910"/>
      <c r="AP164" s="566"/>
      <c r="AQ164" s="566"/>
      <c r="AY164" s="262"/>
    </row>
    <row r="165" spans="1:51" s="911" customFormat="1" ht="17.25" customHeight="1">
      <c r="A165" s="910"/>
      <c r="B165" s="910"/>
      <c r="C165" s="566"/>
      <c r="D165" s="566"/>
      <c r="E165" s="566"/>
      <c r="F165" s="566"/>
      <c r="G165" s="566"/>
      <c r="H165" s="566"/>
      <c r="I165" s="566"/>
      <c r="J165" s="566"/>
      <c r="K165" s="566"/>
      <c r="L165" s="243"/>
      <c r="M165" s="566"/>
      <c r="N165" s="566"/>
      <c r="O165" s="243"/>
      <c r="P165" s="566"/>
      <c r="Q165" s="566"/>
      <c r="R165" s="243"/>
      <c r="S165" s="566"/>
      <c r="T165" s="566"/>
      <c r="U165" s="243"/>
      <c r="V165" s="566"/>
      <c r="W165" s="566"/>
      <c r="X165" s="243"/>
      <c r="Y165" s="566"/>
      <c r="Z165" s="566"/>
      <c r="AA165" s="566"/>
      <c r="AB165" s="566"/>
      <c r="AC165" s="566"/>
      <c r="AD165" s="566"/>
      <c r="AE165" s="566"/>
      <c r="AF165" s="566"/>
      <c r="AG165" s="566"/>
      <c r="AH165" s="566"/>
      <c r="AI165" s="566"/>
      <c r="AJ165" s="243"/>
      <c r="AK165" s="566"/>
      <c r="AL165" s="566"/>
      <c r="AM165" s="243"/>
      <c r="AN165" s="910"/>
      <c r="AO165" s="910"/>
      <c r="AP165" s="566"/>
      <c r="AQ165" s="566"/>
      <c r="AY165" s="262"/>
    </row>
    <row r="166" spans="1:51" s="911" customFormat="1" ht="17.25" customHeight="1">
      <c r="A166" s="910"/>
      <c r="B166" s="910"/>
      <c r="C166" s="566"/>
      <c r="D166" s="566"/>
      <c r="E166" s="566"/>
      <c r="F166" s="566"/>
      <c r="G166" s="566"/>
      <c r="H166" s="566"/>
      <c r="I166" s="566"/>
      <c r="J166" s="566"/>
      <c r="K166" s="566"/>
      <c r="L166" s="243"/>
      <c r="M166" s="566"/>
      <c r="N166" s="566"/>
      <c r="O166" s="243"/>
      <c r="P166" s="566"/>
      <c r="Q166" s="566"/>
      <c r="R166" s="243"/>
      <c r="S166" s="566"/>
      <c r="T166" s="566"/>
      <c r="U166" s="243"/>
      <c r="V166" s="566"/>
      <c r="W166" s="566"/>
      <c r="X166" s="243"/>
      <c r="Y166" s="566"/>
      <c r="Z166" s="566"/>
      <c r="AA166" s="566"/>
      <c r="AB166" s="566"/>
      <c r="AC166" s="566"/>
      <c r="AD166" s="566"/>
      <c r="AE166" s="566"/>
      <c r="AF166" s="566"/>
      <c r="AG166" s="566"/>
      <c r="AH166" s="566"/>
      <c r="AI166" s="566"/>
      <c r="AJ166" s="243"/>
      <c r="AK166" s="566"/>
      <c r="AL166" s="566"/>
      <c r="AM166" s="243"/>
      <c r="AN166" s="910"/>
      <c r="AO166" s="910"/>
      <c r="AP166" s="566"/>
      <c r="AQ166" s="566"/>
      <c r="AY166" s="262"/>
    </row>
    <row r="167" spans="1:51" s="911" customFormat="1" ht="17.25" customHeight="1">
      <c r="A167" s="910"/>
      <c r="B167" s="910"/>
      <c r="C167" s="566"/>
      <c r="D167" s="566"/>
      <c r="E167" s="566"/>
      <c r="F167" s="566"/>
      <c r="G167" s="566"/>
      <c r="H167" s="566"/>
      <c r="I167" s="566"/>
      <c r="J167" s="566"/>
      <c r="K167" s="566"/>
      <c r="L167" s="243"/>
      <c r="M167" s="566"/>
      <c r="N167" s="566"/>
      <c r="O167" s="243"/>
      <c r="P167" s="566"/>
      <c r="Q167" s="566"/>
      <c r="R167" s="243"/>
      <c r="S167" s="566"/>
      <c r="T167" s="566"/>
      <c r="U167" s="243"/>
      <c r="V167" s="566"/>
      <c r="W167" s="566"/>
      <c r="X167" s="243"/>
      <c r="Y167" s="566"/>
      <c r="Z167" s="566"/>
      <c r="AA167" s="566"/>
      <c r="AB167" s="566"/>
      <c r="AC167" s="566"/>
      <c r="AD167" s="566"/>
      <c r="AE167" s="566"/>
      <c r="AF167" s="566"/>
      <c r="AG167" s="566"/>
      <c r="AH167" s="566"/>
      <c r="AI167" s="566"/>
      <c r="AJ167" s="243"/>
      <c r="AK167" s="566"/>
      <c r="AL167" s="566"/>
      <c r="AM167" s="243"/>
      <c r="AN167" s="910"/>
      <c r="AO167" s="910"/>
      <c r="AP167" s="566"/>
      <c r="AQ167" s="566"/>
      <c r="AY167" s="262"/>
    </row>
    <row r="168" spans="1:51" s="911" customFormat="1" ht="17.25" customHeight="1">
      <c r="A168" s="910"/>
      <c r="B168" s="910"/>
      <c r="C168" s="566"/>
      <c r="D168" s="566"/>
      <c r="E168" s="566"/>
      <c r="F168" s="566"/>
      <c r="G168" s="566"/>
      <c r="H168" s="566"/>
      <c r="I168" s="566"/>
      <c r="J168" s="566"/>
      <c r="K168" s="566"/>
      <c r="L168" s="243"/>
      <c r="M168" s="566"/>
      <c r="N168" s="566"/>
      <c r="O168" s="243"/>
      <c r="P168" s="566"/>
      <c r="Q168" s="566"/>
      <c r="R168" s="243"/>
      <c r="S168" s="566"/>
      <c r="T168" s="566"/>
      <c r="U168" s="243"/>
      <c r="V168" s="566"/>
      <c r="W168" s="566"/>
      <c r="X168" s="243"/>
      <c r="Y168" s="566"/>
      <c r="Z168" s="566"/>
      <c r="AA168" s="566"/>
      <c r="AB168" s="566"/>
      <c r="AC168" s="566"/>
      <c r="AD168" s="566"/>
      <c r="AE168" s="566"/>
      <c r="AF168" s="566"/>
      <c r="AG168" s="566"/>
      <c r="AH168" s="566"/>
      <c r="AI168" s="566"/>
      <c r="AJ168" s="243"/>
      <c r="AK168" s="566"/>
      <c r="AL168" s="566"/>
      <c r="AM168" s="243"/>
      <c r="AN168" s="910"/>
      <c r="AO168" s="910"/>
      <c r="AP168" s="566"/>
      <c r="AQ168" s="566"/>
      <c r="AY168" s="262"/>
    </row>
    <row r="169" spans="1:51" s="911" customFormat="1" ht="17.25" customHeight="1">
      <c r="A169" s="910"/>
      <c r="B169" s="910"/>
      <c r="C169" s="566"/>
      <c r="D169" s="566"/>
      <c r="E169" s="566"/>
      <c r="F169" s="566"/>
      <c r="G169" s="566"/>
      <c r="H169" s="566"/>
      <c r="I169" s="566"/>
      <c r="J169" s="566"/>
      <c r="K169" s="566"/>
      <c r="L169" s="243"/>
      <c r="M169" s="566"/>
      <c r="N169" s="566"/>
      <c r="O169" s="243"/>
      <c r="P169" s="566"/>
      <c r="Q169" s="566"/>
      <c r="R169" s="243"/>
      <c r="S169" s="566"/>
      <c r="T169" s="566"/>
      <c r="U169" s="243"/>
      <c r="V169" s="566"/>
      <c r="W169" s="566"/>
      <c r="X169" s="243"/>
      <c r="Y169" s="566"/>
      <c r="Z169" s="566"/>
      <c r="AA169" s="566"/>
      <c r="AB169" s="566"/>
      <c r="AC169" s="566"/>
      <c r="AD169" s="566"/>
      <c r="AE169" s="566"/>
      <c r="AF169" s="566"/>
      <c r="AG169" s="566"/>
      <c r="AH169" s="566"/>
      <c r="AI169" s="566"/>
      <c r="AJ169" s="243"/>
      <c r="AK169" s="566"/>
      <c r="AL169" s="566"/>
      <c r="AM169" s="243"/>
      <c r="AN169" s="910"/>
      <c r="AO169" s="910"/>
      <c r="AP169" s="566"/>
      <c r="AQ169" s="566"/>
      <c r="AY169" s="262"/>
    </row>
    <row r="170" spans="1:51" s="911" customFormat="1" ht="17.25" customHeight="1">
      <c r="A170" s="910"/>
      <c r="B170" s="910"/>
      <c r="C170" s="566"/>
      <c r="D170" s="566"/>
      <c r="E170" s="566"/>
      <c r="F170" s="566"/>
      <c r="G170" s="566"/>
      <c r="H170" s="566"/>
      <c r="I170" s="566"/>
      <c r="J170" s="566"/>
      <c r="K170" s="566"/>
      <c r="L170" s="243"/>
      <c r="M170" s="566"/>
      <c r="N170" s="566"/>
      <c r="O170" s="243"/>
      <c r="P170" s="566"/>
      <c r="Q170" s="566"/>
      <c r="R170" s="243"/>
      <c r="S170" s="566"/>
      <c r="T170" s="566"/>
      <c r="U170" s="243"/>
      <c r="V170" s="566"/>
      <c r="W170" s="566"/>
      <c r="X170" s="243"/>
      <c r="Y170" s="566"/>
      <c r="Z170" s="566"/>
      <c r="AA170" s="566"/>
      <c r="AB170" s="566"/>
      <c r="AC170" s="566"/>
      <c r="AD170" s="566"/>
      <c r="AE170" s="566"/>
      <c r="AF170" s="566"/>
      <c r="AG170" s="566"/>
      <c r="AH170" s="566"/>
      <c r="AI170" s="566"/>
      <c r="AJ170" s="243"/>
      <c r="AK170" s="566"/>
      <c r="AL170" s="566"/>
      <c r="AM170" s="243"/>
      <c r="AN170" s="910"/>
      <c r="AO170" s="910"/>
      <c r="AP170" s="566"/>
      <c r="AQ170" s="566"/>
      <c r="AY170" s="262"/>
    </row>
    <row r="171" spans="1:51" s="911" customFormat="1" ht="17.25" customHeight="1">
      <c r="A171" s="910"/>
      <c r="B171" s="910"/>
      <c r="C171" s="566"/>
      <c r="D171" s="566"/>
      <c r="E171" s="566"/>
      <c r="F171" s="566"/>
      <c r="G171" s="566"/>
      <c r="H171" s="566"/>
      <c r="I171" s="566"/>
      <c r="J171" s="566"/>
      <c r="K171" s="566"/>
      <c r="L171" s="243"/>
      <c r="M171" s="566"/>
      <c r="N171" s="566"/>
      <c r="O171" s="243"/>
      <c r="P171" s="566"/>
      <c r="Q171" s="566"/>
      <c r="R171" s="243"/>
      <c r="S171" s="566"/>
      <c r="T171" s="566"/>
      <c r="U171" s="243"/>
      <c r="V171" s="566"/>
      <c r="W171" s="566"/>
      <c r="X171" s="243"/>
      <c r="Y171" s="566"/>
      <c r="Z171" s="566"/>
      <c r="AA171" s="566"/>
      <c r="AB171" s="566"/>
      <c r="AC171" s="566"/>
      <c r="AD171" s="566"/>
      <c r="AE171" s="566"/>
      <c r="AF171" s="566"/>
      <c r="AG171" s="566"/>
      <c r="AH171" s="566"/>
      <c r="AI171" s="566"/>
      <c r="AJ171" s="243"/>
      <c r="AK171" s="566"/>
      <c r="AL171" s="566"/>
      <c r="AM171" s="243"/>
      <c r="AN171" s="910"/>
      <c r="AO171" s="910"/>
      <c r="AP171" s="566"/>
      <c r="AQ171" s="566"/>
      <c r="AY171" s="262"/>
    </row>
    <row r="172" spans="1:51" s="911" customFormat="1" ht="17.25" customHeight="1">
      <c r="A172" s="910"/>
      <c r="B172" s="910"/>
      <c r="C172" s="566"/>
      <c r="D172" s="566"/>
      <c r="E172" s="566"/>
      <c r="F172" s="566"/>
      <c r="G172" s="566"/>
      <c r="H172" s="566"/>
      <c r="I172" s="566"/>
      <c r="J172" s="566"/>
      <c r="K172" s="566"/>
      <c r="L172" s="243"/>
      <c r="M172" s="566"/>
      <c r="N172" s="566"/>
      <c r="O172" s="243"/>
      <c r="P172" s="566"/>
      <c r="Q172" s="566"/>
      <c r="R172" s="243"/>
      <c r="S172" s="566"/>
      <c r="T172" s="566"/>
      <c r="U172" s="243"/>
      <c r="V172" s="566"/>
      <c r="W172" s="566"/>
      <c r="X172" s="243"/>
      <c r="Y172" s="566"/>
      <c r="Z172" s="566"/>
      <c r="AA172" s="566"/>
      <c r="AB172" s="566"/>
      <c r="AC172" s="566"/>
      <c r="AD172" s="566"/>
      <c r="AE172" s="566"/>
      <c r="AF172" s="566"/>
      <c r="AG172" s="566"/>
      <c r="AH172" s="566"/>
      <c r="AI172" s="566"/>
      <c r="AJ172" s="243"/>
      <c r="AK172" s="566"/>
      <c r="AL172" s="566"/>
      <c r="AM172" s="243"/>
      <c r="AN172" s="910"/>
      <c r="AO172" s="910"/>
      <c r="AP172" s="566"/>
      <c r="AQ172" s="566"/>
      <c r="AY172" s="262"/>
    </row>
    <row r="173" spans="1:51" s="911" customFormat="1" ht="17.25" customHeight="1">
      <c r="A173" s="910"/>
      <c r="B173" s="910"/>
      <c r="C173" s="566"/>
      <c r="D173" s="566"/>
      <c r="E173" s="566"/>
      <c r="F173" s="566"/>
      <c r="G173" s="566"/>
      <c r="H173" s="566"/>
      <c r="I173" s="566"/>
      <c r="J173" s="566"/>
      <c r="K173" s="566"/>
      <c r="L173" s="243"/>
      <c r="M173" s="566"/>
      <c r="N173" s="566"/>
      <c r="O173" s="243"/>
      <c r="P173" s="566"/>
      <c r="Q173" s="566"/>
      <c r="R173" s="243"/>
      <c r="S173" s="566"/>
      <c r="T173" s="566"/>
      <c r="U173" s="243"/>
      <c r="V173" s="566"/>
      <c r="W173" s="566"/>
      <c r="X173" s="243"/>
      <c r="Y173" s="566"/>
      <c r="Z173" s="566"/>
      <c r="AA173" s="566"/>
      <c r="AB173" s="566"/>
      <c r="AC173" s="566"/>
      <c r="AD173" s="566"/>
      <c r="AE173" s="566"/>
      <c r="AF173" s="566"/>
      <c r="AG173" s="566"/>
      <c r="AH173" s="566"/>
      <c r="AI173" s="566"/>
      <c r="AJ173" s="243"/>
      <c r="AK173" s="566"/>
      <c r="AL173" s="566"/>
      <c r="AM173" s="243"/>
      <c r="AN173" s="910"/>
      <c r="AO173" s="910"/>
      <c r="AP173" s="566"/>
      <c r="AQ173" s="566"/>
      <c r="AY173" s="262"/>
    </row>
    <row r="174" spans="1:51" s="911" customFormat="1" ht="17.25" customHeight="1">
      <c r="A174" s="910"/>
      <c r="B174" s="910"/>
      <c r="C174" s="566"/>
      <c r="D174" s="566"/>
      <c r="E174" s="566"/>
      <c r="F174" s="566"/>
      <c r="G174" s="566"/>
      <c r="H174" s="566"/>
      <c r="I174" s="566"/>
      <c r="J174" s="566"/>
      <c r="K174" s="566"/>
      <c r="L174" s="243"/>
      <c r="M174" s="566"/>
      <c r="N174" s="566"/>
      <c r="O174" s="243"/>
      <c r="P174" s="566"/>
      <c r="Q174" s="566"/>
      <c r="R174" s="243"/>
      <c r="S174" s="566"/>
      <c r="T174" s="566"/>
      <c r="U174" s="243"/>
      <c r="V174" s="566"/>
      <c r="W174" s="566"/>
      <c r="X174" s="243"/>
      <c r="Y174" s="566"/>
      <c r="Z174" s="566"/>
      <c r="AA174" s="566"/>
      <c r="AB174" s="566"/>
      <c r="AC174" s="566"/>
      <c r="AD174" s="566"/>
      <c r="AE174" s="566"/>
      <c r="AF174" s="566"/>
      <c r="AG174" s="566"/>
      <c r="AH174" s="566"/>
      <c r="AI174" s="566"/>
      <c r="AJ174" s="243"/>
      <c r="AK174" s="566"/>
      <c r="AL174" s="566"/>
      <c r="AM174" s="243"/>
      <c r="AN174" s="910"/>
      <c r="AO174" s="910"/>
      <c r="AP174" s="566"/>
      <c r="AQ174" s="566"/>
      <c r="AY174" s="262"/>
    </row>
    <row r="175" spans="1:51" s="911" customFormat="1" ht="17.25" customHeight="1">
      <c r="A175" s="910"/>
      <c r="B175" s="910"/>
      <c r="C175" s="566"/>
      <c r="D175" s="566"/>
      <c r="E175" s="566"/>
      <c r="F175" s="566"/>
      <c r="G175" s="566"/>
      <c r="H175" s="566"/>
      <c r="I175" s="566"/>
      <c r="J175" s="566"/>
      <c r="K175" s="566"/>
      <c r="L175" s="243"/>
      <c r="M175" s="566"/>
      <c r="N175" s="566"/>
      <c r="O175" s="243"/>
      <c r="P175" s="566"/>
      <c r="Q175" s="566"/>
      <c r="R175" s="243"/>
      <c r="S175" s="566"/>
      <c r="T175" s="566"/>
      <c r="U175" s="243"/>
      <c r="V175" s="566"/>
      <c r="W175" s="566"/>
      <c r="X175" s="243"/>
      <c r="Y175" s="566"/>
      <c r="Z175" s="566"/>
      <c r="AA175" s="566"/>
      <c r="AB175" s="566"/>
      <c r="AC175" s="566"/>
      <c r="AD175" s="566"/>
      <c r="AE175" s="566"/>
      <c r="AF175" s="566"/>
      <c r="AG175" s="566"/>
      <c r="AH175" s="566"/>
      <c r="AI175" s="566"/>
      <c r="AJ175" s="243"/>
      <c r="AK175" s="566"/>
      <c r="AL175" s="566"/>
      <c r="AM175" s="243"/>
      <c r="AN175" s="910"/>
      <c r="AO175" s="910"/>
      <c r="AP175" s="566"/>
      <c r="AQ175" s="566"/>
      <c r="AY175" s="262"/>
    </row>
    <row r="176" spans="1:51" s="911" customFormat="1" ht="17.25" customHeight="1">
      <c r="A176" s="910"/>
      <c r="B176" s="910"/>
      <c r="C176" s="566"/>
      <c r="D176" s="566"/>
      <c r="E176" s="566"/>
      <c r="F176" s="566"/>
      <c r="G176" s="566"/>
      <c r="H176" s="566"/>
      <c r="I176" s="566"/>
      <c r="J176" s="566"/>
      <c r="K176" s="566"/>
      <c r="L176" s="243"/>
      <c r="M176" s="566"/>
      <c r="N176" s="566"/>
      <c r="O176" s="243"/>
      <c r="P176" s="566"/>
      <c r="Q176" s="566"/>
      <c r="R176" s="243"/>
      <c r="S176" s="566"/>
      <c r="T176" s="566"/>
      <c r="U176" s="243"/>
      <c r="V176" s="566"/>
      <c r="W176" s="566"/>
      <c r="X176" s="243"/>
      <c r="Y176" s="566"/>
      <c r="Z176" s="566"/>
      <c r="AA176" s="566"/>
      <c r="AB176" s="566"/>
      <c r="AC176" s="566"/>
      <c r="AD176" s="566"/>
      <c r="AE176" s="566"/>
      <c r="AF176" s="566"/>
      <c r="AG176" s="566"/>
      <c r="AH176" s="566"/>
      <c r="AI176" s="566"/>
      <c r="AJ176" s="243"/>
      <c r="AK176" s="566"/>
      <c r="AL176" s="566"/>
      <c r="AM176" s="243"/>
      <c r="AN176" s="910"/>
      <c r="AO176" s="910"/>
      <c r="AP176" s="566"/>
      <c r="AQ176" s="566"/>
      <c r="AY176" s="262"/>
    </row>
    <row r="177" spans="1:51" s="911" customFormat="1" ht="17.25" customHeight="1">
      <c r="A177" s="910"/>
      <c r="B177" s="910"/>
      <c r="C177" s="566"/>
      <c r="D177" s="566"/>
      <c r="E177" s="566"/>
      <c r="F177" s="566"/>
      <c r="G177" s="566"/>
      <c r="H177" s="566"/>
      <c r="I177" s="566"/>
      <c r="J177" s="566"/>
      <c r="K177" s="566"/>
      <c r="L177" s="243"/>
      <c r="M177" s="566"/>
      <c r="N177" s="566"/>
      <c r="O177" s="243"/>
      <c r="P177" s="566"/>
      <c r="Q177" s="566"/>
      <c r="R177" s="243"/>
      <c r="S177" s="566"/>
      <c r="T177" s="566"/>
      <c r="U177" s="243"/>
      <c r="V177" s="566"/>
      <c r="W177" s="566"/>
      <c r="X177" s="243"/>
      <c r="Y177" s="566"/>
      <c r="Z177" s="566"/>
      <c r="AA177" s="566"/>
      <c r="AB177" s="566"/>
      <c r="AC177" s="566"/>
      <c r="AD177" s="566"/>
      <c r="AE177" s="566"/>
      <c r="AF177" s="566"/>
      <c r="AG177" s="566"/>
      <c r="AH177" s="566"/>
      <c r="AI177" s="566"/>
      <c r="AJ177" s="243"/>
      <c r="AK177" s="566"/>
      <c r="AL177" s="566"/>
      <c r="AM177" s="243"/>
      <c r="AN177" s="910"/>
      <c r="AO177" s="910"/>
      <c r="AP177" s="566"/>
      <c r="AQ177" s="566"/>
      <c r="AY177" s="262"/>
    </row>
    <row r="178" spans="1:51" s="911" customFormat="1" ht="17.25" customHeight="1">
      <c r="A178" s="910"/>
      <c r="B178" s="910"/>
      <c r="C178" s="566"/>
      <c r="D178" s="566"/>
      <c r="E178" s="566"/>
      <c r="F178" s="566"/>
      <c r="G178" s="566"/>
      <c r="H178" s="566"/>
      <c r="I178" s="566"/>
      <c r="J178" s="566"/>
      <c r="K178" s="566"/>
      <c r="L178" s="243"/>
      <c r="M178" s="566"/>
      <c r="N178" s="566"/>
      <c r="O178" s="243"/>
      <c r="P178" s="566"/>
      <c r="Q178" s="566"/>
      <c r="R178" s="243"/>
      <c r="S178" s="566"/>
      <c r="T178" s="566"/>
      <c r="U178" s="243"/>
      <c r="V178" s="566"/>
      <c r="W178" s="566"/>
      <c r="X178" s="243"/>
      <c r="Y178" s="566"/>
      <c r="Z178" s="566"/>
      <c r="AA178" s="566"/>
      <c r="AB178" s="566"/>
      <c r="AC178" s="566"/>
      <c r="AD178" s="566"/>
      <c r="AE178" s="566"/>
      <c r="AF178" s="566"/>
      <c r="AG178" s="566"/>
      <c r="AH178" s="566"/>
      <c r="AI178" s="566"/>
      <c r="AJ178" s="243"/>
      <c r="AK178" s="566"/>
      <c r="AL178" s="566"/>
      <c r="AM178" s="243"/>
      <c r="AN178" s="910"/>
      <c r="AO178" s="910"/>
      <c r="AP178" s="566"/>
      <c r="AQ178" s="566"/>
      <c r="AY178" s="262"/>
    </row>
    <row r="179" spans="1:51" s="911" customFormat="1" ht="17.25" customHeight="1">
      <c r="A179" s="910"/>
      <c r="B179" s="910"/>
      <c r="C179" s="566"/>
      <c r="D179" s="566"/>
      <c r="E179" s="566"/>
      <c r="F179" s="566"/>
      <c r="G179" s="566"/>
      <c r="H179" s="566"/>
      <c r="I179" s="566"/>
      <c r="J179" s="566"/>
      <c r="K179" s="566"/>
      <c r="L179" s="243"/>
      <c r="M179" s="566"/>
      <c r="N179" s="566"/>
      <c r="O179" s="243"/>
      <c r="P179" s="566"/>
      <c r="Q179" s="566"/>
      <c r="R179" s="243"/>
      <c r="S179" s="566"/>
      <c r="T179" s="566"/>
      <c r="U179" s="243"/>
      <c r="V179" s="566"/>
      <c r="W179" s="566"/>
      <c r="X179" s="243"/>
      <c r="Y179" s="566"/>
      <c r="Z179" s="566"/>
      <c r="AA179" s="566"/>
      <c r="AB179" s="566"/>
      <c r="AC179" s="566"/>
      <c r="AD179" s="566"/>
      <c r="AE179" s="566"/>
      <c r="AF179" s="566"/>
      <c r="AG179" s="566"/>
      <c r="AH179" s="566"/>
      <c r="AI179" s="566"/>
      <c r="AJ179" s="243"/>
      <c r="AK179" s="566"/>
      <c r="AL179" s="566"/>
      <c r="AM179" s="243"/>
      <c r="AN179" s="910"/>
      <c r="AO179" s="910"/>
      <c r="AP179" s="566"/>
      <c r="AQ179" s="566"/>
      <c r="AY179" s="262"/>
    </row>
    <row r="180" spans="1:51" s="911" customFormat="1" ht="17.25" customHeight="1">
      <c r="A180" s="910"/>
      <c r="B180" s="910"/>
      <c r="C180" s="566"/>
      <c r="D180" s="566"/>
      <c r="E180" s="566"/>
      <c r="F180" s="566"/>
      <c r="G180" s="566"/>
      <c r="H180" s="566"/>
      <c r="I180" s="566"/>
      <c r="J180" s="566"/>
      <c r="K180" s="566"/>
      <c r="L180" s="243"/>
      <c r="M180" s="566"/>
      <c r="N180" s="566"/>
      <c r="O180" s="243"/>
      <c r="P180" s="566"/>
      <c r="Q180" s="566"/>
      <c r="R180" s="243"/>
      <c r="S180" s="566"/>
      <c r="T180" s="566"/>
      <c r="U180" s="243"/>
      <c r="V180" s="566"/>
      <c r="W180" s="566"/>
      <c r="X180" s="243"/>
      <c r="Y180" s="566"/>
      <c r="Z180" s="566"/>
      <c r="AA180" s="566"/>
      <c r="AB180" s="566"/>
      <c r="AC180" s="566"/>
      <c r="AD180" s="566"/>
      <c r="AE180" s="566"/>
      <c r="AF180" s="566"/>
      <c r="AG180" s="566"/>
      <c r="AH180" s="566"/>
      <c r="AI180" s="566"/>
      <c r="AJ180" s="243"/>
      <c r="AK180" s="566"/>
      <c r="AL180" s="566"/>
      <c r="AM180" s="243"/>
      <c r="AN180" s="910"/>
      <c r="AO180" s="910"/>
      <c r="AP180" s="566"/>
      <c r="AQ180" s="566"/>
      <c r="AY180" s="262"/>
    </row>
    <row r="181" spans="1:51" s="911" customFormat="1" ht="17.25" customHeight="1">
      <c r="A181" s="910"/>
      <c r="B181" s="910"/>
      <c r="C181" s="566"/>
      <c r="D181" s="566"/>
      <c r="E181" s="566"/>
      <c r="F181" s="566"/>
      <c r="G181" s="566"/>
      <c r="H181" s="566"/>
      <c r="I181" s="566"/>
      <c r="J181" s="566"/>
      <c r="K181" s="566"/>
      <c r="L181" s="243"/>
      <c r="M181" s="566"/>
      <c r="N181" s="566"/>
      <c r="O181" s="243"/>
      <c r="P181" s="566"/>
      <c r="Q181" s="566"/>
      <c r="R181" s="243"/>
      <c r="S181" s="566"/>
      <c r="T181" s="566"/>
      <c r="U181" s="243"/>
      <c r="V181" s="566"/>
      <c r="W181" s="566"/>
      <c r="X181" s="243"/>
      <c r="Y181" s="566"/>
      <c r="Z181" s="566"/>
      <c r="AA181" s="566"/>
      <c r="AB181" s="566"/>
      <c r="AC181" s="566"/>
      <c r="AD181" s="566"/>
      <c r="AE181" s="566"/>
      <c r="AF181" s="566"/>
      <c r="AG181" s="566"/>
      <c r="AH181" s="566"/>
      <c r="AI181" s="566"/>
      <c r="AJ181" s="243"/>
      <c r="AK181" s="566"/>
      <c r="AL181" s="566"/>
      <c r="AM181" s="243"/>
      <c r="AN181" s="910"/>
      <c r="AO181" s="910"/>
      <c r="AP181" s="566"/>
      <c r="AQ181" s="566"/>
      <c r="AY181" s="262"/>
    </row>
    <row r="182" spans="1:51" s="911" customFormat="1" ht="17.25" customHeight="1">
      <c r="A182" s="910"/>
      <c r="B182" s="910"/>
      <c r="C182" s="566"/>
      <c r="D182" s="566"/>
      <c r="E182" s="566"/>
      <c r="F182" s="566"/>
      <c r="G182" s="566"/>
      <c r="H182" s="566"/>
      <c r="I182" s="566"/>
      <c r="J182" s="566"/>
      <c r="K182" s="566"/>
      <c r="L182" s="243"/>
      <c r="M182" s="566"/>
      <c r="N182" s="566"/>
      <c r="O182" s="243"/>
      <c r="P182" s="566"/>
      <c r="Q182" s="566"/>
      <c r="R182" s="243"/>
      <c r="S182" s="566"/>
      <c r="T182" s="566"/>
      <c r="U182" s="243"/>
      <c r="V182" s="566"/>
      <c r="W182" s="566"/>
      <c r="X182" s="243"/>
      <c r="Y182" s="566"/>
      <c r="Z182" s="566"/>
      <c r="AA182" s="566"/>
      <c r="AB182" s="566"/>
      <c r="AC182" s="566"/>
      <c r="AD182" s="566"/>
      <c r="AE182" s="566"/>
      <c r="AF182" s="566"/>
      <c r="AG182" s="566"/>
      <c r="AH182" s="566"/>
      <c r="AI182" s="566"/>
      <c r="AJ182" s="243"/>
      <c r="AK182" s="566"/>
      <c r="AL182" s="566"/>
      <c r="AM182" s="243"/>
      <c r="AN182" s="910"/>
      <c r="AO182" s="910"/>
      <c r="AP182" s="566"/>
      <c r="AQ182" s="566"/>
      <c r="AY182" s="262"/>
    </row>
    <row r="183" spans="1:51" s="911" customFormat="1" ht="17.25" customHeight="1">
      <c r="A183" s="910"/>
      <c r="B183" s="910"/>
      <c r="C183" s="566"/>
      <c r="D183" s="566"/>
      <c r="E183" s="566"/>
      <c r="F183" s="566"/>
      <c r="G183" s="566"/>
      <c r="H183" s="566"/>
      <c r="I183" s="566"/>
      <c r="J183" s="566"/>
      <c r="K183" s="566"/>
      <c r="L183" s="243"/>
      <c r="M183" s="566"/>
      <c r="N183" s="566"/>
      <c r="O183" s="243"/>
      <c r="P183" s="566"/>
      <c r="Q183" s="566"/>
      <c r="R183" s="243"/>
      <c r="S183" s="566"/>
      <c r="T183" s="566"/>
      <c r="U183" s="243"/>
      <c r="V183" s="566"/>
      <c r="W183" s="566"/>
      <c r="X183" s="243"/>
      <c r="Y183" s="566"/>
      <c r="Z183" s="566"/>
      <c r="AA183" s="566"/>
      <c r="AB183" s="566"/>
      <c r="AC183" s="566"/>
      <c r="AD183" s="566"/>
      <c r="AE183" s="566"/>
      <c r="AF183" s="566"/>
      <c r="AG183" s="566"/>
      <c r="AH183" s="566"/>
      <c r="AI183" s="566"/>
      <c r="AJ183" s="243"/>
      <c r="AK183" s="566"/>
      <c r="AL183" s="566"/>
      <c r="AM183" s="243"/>
      <c r="AN183" s="910"/>
      <c r="AO183" s="910"/>
      <c r="AP183" s="566"/>
      <c r="AQ183" s="566"/>
      <c r="AY183" s="262"/>
    </row>
    <row r="184" spans="1:51" s="911" customFormat="1" ht="17.25" customHeight="1">
      <c r="A184" s="910"/>
      <c r="B184" s="910"/>
      <c r="C184" s="566"/>
      <c r="D184" s="566"/>
      <c r="E184" s="566"/>
      <c r="F184" s="566"/>
      <c r="G184" s="566"/>
      <c r="H184" s="566"/>
      <c r="I184" s="566"/>
      <c r="J184" s="566"/>
      <c r="K184" s="566"/>
      <c r="L184" s="243"/>
      <c r="M184" s="566"/>
      <c r="N184" s="566"/>
      <c r="O184" s="243"/>
      <c r="P184" s="566"/>
      <c r="Q184" s="566"/>
      <c r="R184" s="243"/>
      <c r="S184" s="566"/>
      <c r="T184" s="566"/>
      <c r="U184" s="243"/>
      <c r="V184" s="566"/>
      <c r="W184" s="566"/>
      <c r="X184" s="243"/>
      <c r="Y184" s="566"/>
      <c r="Z184" s="566"/>
      <c r="AA184" s="566"/>
      <c r="AB184" s="566"/>
      <c r="AC184" s="566"/>
      <c r="AD184" s="566"/>
      <c r="AE184" s="566"/>
      <c r="AF184" s="566"/>
      <c r="AG184" s="566"/>
      <c r="AH184" s="566"/>
      <c r="AI184" s="566"/>
      <c r="AJ184" s="243"/>
      <c r="AK184" s="566"/>
      <c r="AL184" s="566"/>
      <c r="AM184" s="243"/>
      <c r="AN184" s="910"/>
      <c r="AO184" s="910"/>
      <c r="AP184" s="566"/>
      <c r="AQ184" s="566"/>
      <c r="AY184" s="262"/>
    </row>
    <row r="185" spans="1:51" s="911" customFormat="1" ht="17.25" customHeight="1">
      <c r="A185" s="910"/>
      <c r="B185" s="910"/>
      <c r="C185" s="566"/>
      <c r="D185" s="566"/>
      <c r="E185" s="566"/>
      <c r="F185" s="566"/>
      <c r="G185" s="566"/>
      <c r="H185" s="566"/>
      <c r="I185" s="566"/>
      <c r="J185" s="566"/>
      <c r="K185" s="566"/>
      <c r="L185" s="243"/>
      <c r="M185" s="566"/>
      <c r="N185" s="566"/>
      <c r="O185" s="243"/>
      <c r="P185" s="566"/>
      <c r="Q185" s="566"/>
      <c r="R185" s="243"/>
      <c r="S185" s="566"/>
      <c r="T185" s="566"/>
      <c r="U185" s="243"/>
      <c r="V185" s="566"/>
      <c r="W185" s="566"/>
      <c r="X185" s="243"/>
      <c r="Y185" s="566"/>
      <c r="Z185" s="566"/>
      <c r="AA185" s="566"/>
      <c r="AB185" s="566"/>
      <c r="AC185" s="566"/>
      <c r="AD185" s="566"/>
      <c r="AE185" s="566"/>
      <c r="AF185" s="566"/>
      <c r="AG185" s="566"/>
      <c r="AH185" s="566"/>
      <c r="AI185" s="566"/>
      <c r="AJ185" s="243"/>
      <c r="AK185" s="566"/>
      <c r="AL185" s="566"/>
      <c r="AM185" s="243"/>
      <c r="AN185" s="910"/>
      <c r="AO185" s="910"/>
      <c r="AP185" s="566"/>
      <c r="AQ185" s="566"/>
      <c r="AY185" s="262"/>
    </row>
    <row r="186" spans="1:51" s="911" customFormat="1" ht="17.25" customHeight="1">
      <c r="A186" s="910"/>
      <c r="B186" s="910"/>
      <c r="C186" s="566"/>
      <c r="D186" s="988"/>
      <c r="E186" s="566"/>
      <c r="F186" s="566"/>
      <c r="G186" s="566"/>
      <c r="H186" s="566"/>
      <c r="I186" s="566"/>
      <c r="J186" s="566"/>
      <c r="K186" s="566"/>
      <c r="L186" s="243"/>
      <c r="M186" s="566"/>
      <c r="N186" s="566"/>
      <c r="O186" s="243"/>
      <c r="P186" s="566"/>
      <c r="Q186" s="566"/>
      <c r="R186" s="243"/>
      <c r="S186" s="566"/>
      <c r="T186" s="566"/>
      <c r="U186" s="243"/>
      <c r="V186" s="566"/>
      <c r="W186" s="566"/>
      <c r="X186" s="243"/>
      <c r="Y186" s="566"/>
      <c r="Z186" s="566"/>
      <c r="AA186" s="566"/>
      <c r="AB186" s="566"/>
      <c r="AC186" s="566"/>
      <c r="AD186" s="566"/>
      <c r="AE186" s="566"/>
      <c r="AF186" s="566"/>
      <c r="AG186" s="566"/>
      <c r="AH186" s="566"/>
      <c r="AI186" s="566"/>
      <c r="AJ186" s="243"/>
      <c r="AK186" s="566"/>
      <c r="AL186" s="566"/>
      <c r="AM186" s="243"/>
      <c r="AN186" s="910"/>
      <c r="AO186" s="910"/>
      <c r="AP186" s="566"/>
      <c r="AQ186" s="566"/>
      <c r="AY186" s="262"/>
    </row>
    <row r="187" spans="1:51" s="911" customFormat="1" ht="17.25" customHeight="1">
      <c r="A187" s="910"/>
      <c r="B187" s="910"/>
      <c r="C187" s="566"/>
      <c r="D187" s="1016" t="s">
        <v>862</v>
      </c>
      <c r="E187" s="566"/>
      <c r="F187" s="566"/>
      <c r="G187" s="566"/>
      <c r="H187" s="467"/>
      <c r="I187" s="467" t="str">
        <f>"(in " &amp;Currency_Label &amp;")"</f>
        <v>(in USD)</v>
      </c>
      <c r="J187" s="566"/>
      <c r="K187" s="566"/>
      <c r="L187" s="991" t="str">
        <f>'Summary 02'!$V$5</f>
        <v>FY 2018</v>
      </c>
      <c r="M187" s="992"/>
      <c r="N187" s="993"/>
      <c r="O187" s="994" t="s">
        <v>47</v>
      </c>
      <c r="P187" s="995"/>
      <c r="Q187" s="996" t="str">
        <f>'Summary 02'!$AA$5</f>
        <v>FY 2019</v>
      </c>
      <c r="R187" s="992"/>
      <c r="S187" s="993"/>
      <c r="T187" s="994" t="s">
        <v>47</v>
      </c>
      <c r="U187" s="995"/>
      <c r="V187" s="365" t="s">
        <v>944</v>
      </c>
      <c r="W187" s="992"/>
      <c r="X187" s="993"/>
      <c r="Y187" s="994"/>
      <c r="Z187" s="997"/>
      <c r="AA187" s="996"/>
      <c r="AB187" s="992"/>
      <c r="AC187" s="993"/>
      <c r="AD187" s="994"/>
      <c r="AE187" s="997"/>
      <c r="AF187" s="996"/>
      <c r="AG187" s="992"/>
      <c r="AH187" s="993"/>
      <c r="AI187" s="994"/>
      <c r="AJ187" s="997"/>
      <c r="AK187" s="831"/>
      <c r="AL187" s="566"/>
      <c r="AM187" s="566"/>
      <c r="AN187" s="910"/>
      <c r="AO187" s="910"/>
      <c r="AP187" s="566"/>
      <c r="AQ187" s="566"/>
      <c r="AY187" s="262"/>
    </row>
    <row r="188" spans="1:51" s="911" customFormat="1" ht="17.25" customHeight="1">
      <c r="A188" s="910"/>
      <c r="B188" s="910"/>
      <c r="C188" s="566"/>
      <c r="D188" s="988" t="s">
        <v>242</v>
      </c>
      <c r="E188" s="566"/>
      <c r="F188" s="566"/>
      <c r="G188" s="566"/>
      <c r="H188" s="566"/>
      <c r="I188" s="566"/>
      <c r="J188" s="566"/>
      <c r="K188" s="566"/>
      <c r="L188" s="989"/>
      <c r="M188" s="998"/>
      <c r="N188" s="978"/>
      <c r="O188" s="999"/>
      <c r="P188" s="1000"/>
      <c r="Q188" s="1001"/>
      <c r="R188" s="1002"/>
      <c r="S188" s="476"/>
      <c r="T188" s="999"/>
      <c r="U188" s="1000"/>
      <c r="V188" s="910"/>
      <c r="W188" s="910"/>
      <c r="X188" s="910"/>
      <c r="Y188" s="910"/>
      <c r="Z188" s="910"/>
      <c r="AA188" s="910"/>
      <c r="AB188" s="910"/>
      <c r="AC188" s="910"/>
      <c r="AD188" s="910"/>
      <c r="AE188" s="910"/>
      <c r="AF188" s="910"/>
      <c r="AG188" s="910"/>
      <c r="AH188" s="910"/>
      <c r="AI188" s="910"/>
      <c r="AJ188" s="910"/>
      <c r="AK188" s="910"/>
      <c r="AL188" s="910"/>
      <c r="AM188" s="910"/>
      <c r="AN188" s="910"/>
      <c r="AO188" s="910"/>
      <c r="AP188" s="566"/>
      <c r="AQ188" s="566"/>
      <c r="AY188" s="262"/>
    </row>
    <row r="189" spans="1:51" s="911" customFormat="1" ht="17.25" customHeight="1">
      <c r="A189" s="910"/>
      <c r="B189" s="910"/>
      <c r="C189" s="566"/>
      <c r="D189" s="566" t="str">
        <f>Product_01</f>
        <v>Desktops</v>
      </c>
      <c r="E189" s="566"/>
      <c r="F189" s="566"/>
      <c r="G189" s="566"/>
      <c r="H189" s="566"/>
      <c r="I189" s="566"/>
      <c r="J189" s="566"/>
      <c r="K189" s="566"/>
      <c r="L189" s="1003">
        <f>AX470</f>
        <v>135256.8360234357</v>
      </c>
      <c r="M189" s="1004"/>
      <c r="N189" s="1005"/>
      <c r="O189" s="1006">
        <f>IFERROR(L189/L$199,0)</f>
        <v>0.18715299894785259</v>
      </c>
      <c r="P189" s="1007"/>
      <c r="Q189" s="1008">
        <f>AY470</f>
        <v>165219.62242468452</v>
      </c>
      <c r="R189" s="1004"/>
      <c r="S189" s="1005"/>
      <c r="T189" s="1006">
        <f>IFERROR(Q189/Q$199,0)</f>
        <v>0.13339329410120906</v>
      </c>
      <c r="U189" s="1007"/>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566"/>
      <c r="AQ189" s="566"/>
      <c r="AY189" s="262"/>
    </row>
    <row r="190" spans="1:51" s="911" customFormat="1" ht="17.25" customHeight="1">
      <c r="A190" s="910"/>
      <c r="B190" s="910"/>
      <c r="C190" s="566"/>
      <c r="D190" s="24" t="str">
        <f>Product_02</f>
        <v>Workstations</v>
      </c>
      <c r="E190" s="566"/>
      <c r="F190" s="566"/>
      <c r="G190" s="566"/>
      <c r="H190" s="566"/>
      <c r="I190" s="566"/>
      <c r="J190" s="566"/>
      <c r="K190" s="566"/>
      <c r="L190" s="1003">
        <f t="shared" ref="L190:L198" si="17">AX471</f>
        <v>41376.639855146961</v>
      </c>
      <c r="M190" s="1004"/>
      <c r="N190" s="1005"/>
      <c r="O190" s="1006">
        <f t="shared" ref="O190:O198" si="18">IFERROR(L190/L$199,0)</f>
        <v>5.725227990646068E-2</v>
      </c>
      <c r="P190" s="1007"/>
      <c r="Q190" s="1008">
        <f t="shared" ref="Q190:Q198" si="19">AY471</f>
        <v>50490.253219151637</v>
      </c>
      <c r="R190" s="1004"/>
      <c r="S190" s="1005"/>
      <c r="T190" s="1006">
        <f t="shared" ref="T190:T198" si="20">IFERROR(Q190/Q$199,0)</f>
        <v>4.076429359943002E-2</v>
      </c>
      <c r="U190" s="1007"/>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566"/>
      <c r="AQ190" s="566"/>
      <c r="AY190" s="262"/>
    </row>
    <row r="191" spans="1:51" s="911" customFormat="1" ht="17.25" customHeight="1">
      <c r="A191" s="910"/>
      <c r="B191" s="910"/>
      <c r="C191" s="566"/>
      <c r="D191" s="24" t="str">
        <f>Product_03</f>
        <v>Notebooks</v>
      </c>
      <c r="E191" s="566"/>
      <c r="F191" s="566"/>
      <c r="G191" s="566"/>
      <c r="H191" s="566"/>
      <c r="I191" s="566"/>
      <c r="J191" s="566"/>
      <c r="K191" s="566"/>
      <c r="L191" s="1003">
        <f t="shared" si="17"/>
        <v>47329.575978512279</v>
      </c>
      <c r="M191" s="1004"/>
      <c r="N191" s="1005"/>
      <c r="O191" s="1006">
        <f t="shared" si="18"/>
        <v>6.5489274655027643E-2</v>
      </c>
      <c r="P191" s="1007"/>
      <c r="Q191" s="1008">
        <f t="shared" si="19"/>
        <v>70504.137592134386</v>
      </c>
      <c r="R191" s="1004"/>
      <c r="S191" s="1005"/>
      <c r="T191" s="1006">
        <f t="shared" si="20"/>
        <v>5.6922894648708366E-2</v>
      </c>
      <c r="U191" s="1007"/>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566"/>
      <c r="AQ191" s="566"/>
      <c r="AY191" s="262"/>
    </row>
    <row r="192" spans="1:51" s="911" customFormat="1" ht="17.25" customHeight="1">
      <c r="A192" s="910"/>
      <c r="B192" s="910"/>
      <c r="C192" s="566"/>
      <c r="D192" s="24" t="str">
        <f>Product_04</f>
        <v>Software Products</v>
      </c>
      <c r="E192" s="566"/>
      <c r="F192" s="566"/>
      <c r="G192" s="566"/>
      <c r="H192" s="566"/>
      <c r="I192" s="566"/>
      <c r="J192" s="566"/>
      <c r="K192" s="566"/>
      <c r="L192" s="1003">
        <f t="shared" si="17"/>
        <v>11229.26330639053</v>
      </c>
      <c r="M192" s="1004"/>
      <c r="N192" s="1005"/>
      <c r="O192" s="1006">
        <f t="shared" si="18"/>
        <v>1.5537775136200348E-2</v>
      </c>
      <c r="P192" s="1007"/>
      <c r="Q192" s="1008">
        <f t="shared" si="19"/>
        <v>14411.718322517598</v>
      </c>
      <c r="R192" s="1004"/>
      <c r="S192" s="1005"/>
      <c r="T192" s="1006">
        <f t="shared" si="20"/>
        <v>1.1635582701901601E-2</v>
      </c>
      <c r="U192" s="1007"/>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566"/>
      <c r="AQ192" s="566"/>
      <c r="AY192" s="262"/>
    </row>
    <row r="193" spans="1:51" s="911" customFormat="1" ht="17.25" customHeight="1">
      <c r="A193" s="910"/>
      <c r="B193" s="910"/>
      <c r="C193" s="566"/>
      <c r="D193" s="24" t="str">
        <f>Product_05</f>
        <v>Net work infrastructure solutions</v>
      </c>
      <c r="E193" s="566"/>
      <c r="F193" s="566"/>
      <c r="G193" s="566"/>
      <c r="H193" s="566"/>
      <c r="I193" s="566"/>
      <c r="J193" s="566"/>
      <c r="K193" s="566"/>
      <c r="L193" s="1003">
        <f t="shared" si="17"/>
        <v>29969.003159482352</v>
      </c>
      <c r="M193" s="1004"/>
      <c r="N193" s="1005"/>
      <c r="O193" s="1006">
        <f t="shared" si="18"/>
        <v>4.1467691997489634E-2</v>
      </c>
      <c r="P193" s="1007"/>
      <c r="Q193" s="1008">
        <f t="shared" si="19"/>
        <v>44954.681232471703</v>
      </c>
      <c r="R193" s="1004"/>
      <c r="S193" s="1005"/>
      <c r="T193" s="1006">
        <f t="shared" si="20"/>
        <v>3.6295041272127224E-2</v>
      </c>
      <c r="U193" s="1007"/>
      <c r="V193" s="910"/>
      <c r="W193" s="910"/>
      <c r="X193" s="910"/>
      <c r="Y193" s="910"/>
      <c r="Z193" s="910"/>
      <c r="AA193" s="910"/>
      <c r="AB193" s="910"/>
      <c r="AC193" s="910"/>
      <c r="AD193" s="910"/>
      <c r="AE193" s="910"/>
      <c r="AF193" s="910"/>
      <c r="AG193" s="910"/>
      <c r="AH193" s="910"/>
      <c r="AI193" s="910"/>
      <c r="AJ193" s="910"/>
      <c r="AK193" s="910"/>
      <c r="AL193" s="910"/>
      <c r="AM193" s="910"/>
      <c r="AN193" s="910"/>
      <c r="AO193" s="910"/>
      <c r="AP193" s="566"/>
      <c r="AQ193" s="566"/>
      <c r="AY193" s="262"/>
    </row>
    <row r="194" spans="1:51" s="911" customFormat="1" ht="17.25" customHeight="1">
      <c r="A194" s="910"/>
      <c r="B194" s="910"/>
      <c r="C194" s="566"/>
      <c r="D194" s="24" t="str">
        <f>Product_06</f>
        <v>Repair Services</v>
      </c>
      <c r="E194" s="566"/>
      <c r="F194" s="566"/>
      <c r="G194" s="566"/>
      <c r="H194" s="566"/>
      <c r="I194" s="566"/>
      <c r="J194" s="566"/>
      <c r="K194" s="566"/>
      <c r="L194" s="1003">
        <f t="shared" si="17"/>
        <v>25058.984689969584</v>
      </c>
      <c r="M194" s="1004"/>
      <c r="N194" s="1005"/>
      <c r="O194" s="1006">
        <f t="shared" si="18"/>
        <v>3.4673767871544234E-2</v>
      </c>
      <c r="P194" s="1007"/>
      <c r="Q194" s="1008">
        <f t="shared" si="19"/>
        <v>15180.172909847286</v>
      </c>
      <c r="R194" s="1004"/>
      <c r="S194" s="1005"/>
      <c r="T194" s="1006">
        <f t="shared" si="20"/>
        <v>1.2256009545074059E-2</v>
      </c>
      <c r="U194" s="1007"/>
      <c r="V194" s="910"/>
      <c r="W194" s="910"/>
      <c r="X194" s="910"/>
      <c r="Y194" s="910"/>
      <c r="Z194" s="910"/>
      <c r="AA194" s="910"/>
      <c r="AB194" s="910"/>
      <c r="AC194" s="910"/>
      <c r="AD194" s="910"/>
      <c r="AE194" s="910"/>
      <c r="AF194" s="910"/>
      <c r="AG194" s="910"/>
      <c r="AH194" s="910"/>
      <c r="AI194" s="910"/>
      <c r="AJ194" s="910"/>
      <c r="AK194" s="910"/>
      <c r="AL194" s="910"/>
      <c r="AM194" s="910"/>
      <c r="AN194" s="910"/>
      <c r="AO194" s="910"/>
      <c r="AP194" s="566"/>
      <c r="AQ194" s="566"/>
      <c r="AY194" s="262"/>
    </row>
    <row r="195" spans="1:51" s="911" customFormat="1" ht="17.25" customHeight="1">
      <c r="A195" s="910"/>
      <c r="B195" s="910"/>
      <c r="C195" s="566"/>
      <c r="D195" s="24" t="str">
        <f>Product_07</f>
        <v>Integration Services</v>
      </c>
      <c r="E195" s="566"/>
      <c r="F195" s="566"/>
      <c r="G195" s="566"/>
      <c r="H195" s="566"/>
      <c r="I195" s="566"/>
      <c r="J195" s="566"/>
      <c r="K195" s="566"/>
      <c r="L195" s="1003">
        <f t="shared" si="17"/>
        <v>152676.01263792941</v>
      </c>
      <c r="M195" s="1004"/>
      <c r="N195" s="1005"/>
      <c r="O195" s="1006">
        <f t="shared" si="18"/>
        <v>0.21125567086042002</v>
      </c>
      <c r="P195" s="1007"/>
      <c r="Q195" s="1008">
        <f t="shared" si="19"/>
        <v>222582.35146593218</v>
      </c>
      <c r="R195" s="1004"/>
      <c r="S195" s="1005"/>
      <c r="T195" s="1006">
        <f t="shared" si="20"/>
        <v>0.17970621549125276</v>
      </c>
      <c r="U195" s="1007"/>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566"/>
      <c r="AQ195" s="566"/>
      <c r="AY195" s="262"/>
    </row>
    <row r="196" spans="1:51" s="911" customFormat="1" ht="17.25" customHeight="1">
      <c r="A196" s="910"/>
      <c r="B196" s="910"/>
      <c r="C196" s="566"/>
      <c r="D196" s="24" t="str">
        <f>Product_08</f>
        <v>Consulting Services</v>
      </c>
      <c r="E196" s="566"/>
      <c r="F196" s="566"/>
      <c r="G196" s="566"/>
      <c r="H196" s="566"/>
      <c r="I196" s="566"/>
      <c r="J196" s="566"/>
      <c r="K196" s="566"/>
      <c r="L196" s="1003">
        <f t="shared" si="17"/>
        <v>160880.87387959578</v>
      </c>
      <c r="M196" s="1004"/>
      <c r="N196" s="1005"/>
      <c r="O196" s="1006">
        <f t="shared" si="18"/>
        <v>0.22260862301037862</v>
      </c>
      <c r="P196" s="1007"/>
      <c r="Q196" s="1008">
        <f t="shared" si="19"/>
        <v>237243.82937446731</v>
      </c>
      <c r="R196" s="1004"/>
      <c r="S196" s="1005"/>
      <c r="T196" s="1006">
        <f t="shared" si="20"/>
        <v>0.19154344648058716</v>
      </c>
      <c r="U196" s="1007"/>
      <c r="V196" s="910"/>
      <c r="W196" s="910"/>
      <c r="X196" s="910"/>
      <c r="Y196" s="910"/>
      <c r="Z196" s="910"/>
      <c r="AA196" s="910"/>
      <c r="AB196" s="910"/>
      <c r="AC196" s="910"/>
      <c r="AD196" s="910"/>
      <c r="AE196" s="910"/>
      <c r="AF196" s="910"/>
      <c r="AG196" s="910"/>
      <c r="AH196" s="910"/>
      <c r="AI196" s="910"/>
      <c r="AJ196" s="910"/>
      <c r="AK196" s="910"/>
      <c r="AL196" s="910"/>
      <c r="AM196" s="910"/>
      <c r="AN196" s="910"/>
      <c r="AO196" s="910"/>
      <c r="AP196" s="566"/>
      <c r="AQ196" s="566"/>
      <c r="AY196" s="262"/>
    </row>
    <row r="197" spans="1:51" s="911" customFormat="1" ht="17.25" customHeight="1">
      <c r="A197" s="910"/>
      <c r="B197" s="910"/>
      <c r="C197" s="566"/>
      <c r="D197" s="24" t="str">
        <f>Product_09</f>
        <v>Spare Parts</v>
      </c>
      <c r="E197" s="566"/>
      <c r="F197" s="566"/>
      <c r="G197" s="566"/>
      <c r="H197" s="566"/>
      <c r="I197" s="566"/>
      <c r="J197" s="566"/>
      <c r="K197" s="566"/>
      <c r="L197" s="1003">
        <f t="shared" si="17"/>
        <v>20520.459005858938</v>
      </c>
      <c r="M197" s="1004"/>
      <c r="N197" s="1005"/>
      <c r="O197" s="1006">
        <f t="shared" si="18"/>
        <v>2.8393873135310811E-2</v>
      </c>
      <c r="P197" s="1007"/>
      <c r="Q197" s="1008">
        <f t="shared" si="19"/>
        <v>25195.738939504459</v>
      </c>
      <c r="R197" s="1004"/>
      <c r="S197" s="1005"/>
      <c r="T197" s="1006">
        <f t="shared" si="20"/>
        <v>2.0342272698188085E-2</v>
      </c>
      <c r="U197" s="1007"/>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566"/>
      <c r="AQ197" s="566"/>
      <c r="AY197" s="262"/>
    </row>
    <row r="198" spans="1:51" s="911" customFormat="1" ht="17.25" customHeight="1">
      <c r="A198" s="910"/>
      <c r="B198" s="910"/>
      <c r="C198" s="566"/>
      <c r="D198" s="1009" t="str">
        <f>Product_10</f>
        <v>License Fees</v>
      </c>
      <c r="E198" s="566"/>
      <c r="F198" s="566"/>
      <c r="G198" s="566"/>
      <c r="H198" s="566"/>
      <c r="I198" s="566"/>
      <c r="J198" s="566"/>
      <c r="K198" s="566"/>
      <c r="L198" s="1003">
        <f t="shared" si="17"/>
        <v>98409.637928925091</v>
      </c>
      <c r="M198" s="1004"/>
      <c r="N198" s="1005"/>
      <c r="O198" s="1006">
        <f t="shared" si="18"/>
        <v>0.13616804447931549</v>
      </c>
      <c r="P198" s="1007"/>
      <c r="Q198" s="1008">
        <f t="shared" si="19"/>
        <v>392807.66157317389</v>
      </c>
      <c r="R198" s="1004"/>
      <c r="S198" s="1005"/>
      <c r="T198" s="1006">
        <f t="shared" si="20"/>
        <v>0.31714094946152177</v>
      </c>
      <c r="U198" s="1007"/>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566"/>
      <c r="AQ198" s="566"/>
      <c r="AY198" s="262"/>
    </row>
    <row r="199" spans="1:51" s="911" customFormat="1" ht="17.25" customHeight="1">
      <c r="A199" s="910"/>
      <c r="B199" s="910"/>
      <c r="C199" s="566"/>
      <c r="D199" s="620" t="s">
        <v>860</v>
      </c>
      <c r="E199" s="621"/>
      <c r="F199" s="621"/>
      <c r="G199" s="990"/>
      <c r="H199" s="990"/>
      <c r="I199" s="990"/>
      <c r="J199" s="990"/>
      <c r="K199" s="990"/>
      <c r="L199" s="1010">
        <f>SUM(L189:L198)</f>
        <v>722707.28646524658</v>
      </c>
      <c r="M199" s="1011"/>
      <c r="N199" s="1012"/>
      <c r="O199" s="1013">
        <f>SUM(O189:O198)</f>
        <v>1.0000000000000002</v>
      </c>
      <c r="P199" s="1014"/>
      <c r="Q199" s="1015">
        <f>SUM(Q189:Q198)</f>
        <v>1238590.1670538848</v>
      </c>
      <c r="R199" s="1011"/>
      <c r="S199" s="1012"/>
      <c r="T199" s="1013">
        <f>SUM(T189:T198)</f>
        <v>1.0000000000000002</v>
      </c>
      <c r="U199" s="1014"/>
      <c r="V199" s="910"/>
      <c r="W199" s="910"/>
      <c r="X199" s="910"/>
      <c r="Y199" s="910"/>
      <c r="Z199" s="910"/>
      <c r="AA199" s="910"/>
      <c r="AB199" s="910"/>
      <c r="AC199" s="910"/>
      <c r="AD199" s="910"/>
      <c r="AE199" s="910"/>
      <c r="AF199" s="910"/>
      <c r="AG199" s="910"/>
      <c r="AH199" s="910"/>
      <c r="AI199" s="910"/>
      <c r="AJ199" s="910"/>
      <c r="AK199" s="910"/>
      <c r="AL199" s="910"/>
      <c r="AM199" s="910"/>
      <c r="AN199" s="910"/>
      <c r="AO199" s="910"/>
      <c r="AP199" s="566"/>
      <c r="AQ199" s="566"/>
      <c r="AY199" s="262"/>
    </row>
    <row r="200" spans="1:51" s="911" customFormat="1" ht="17.25" customHeight="1">
      <c r="A200" s="910"/>
      <c r="B200" s="910"/>
      <c r="C200" s="566"/>
      <c r="D200" s="566"/>
      <c r="E200" s="566"/>
      <c r="F200" s="566"/>
      <c r="G200" s="566"/>
      <c r="H200" s="566"/>
      <c r="I200" s="566"/>
      <c r="J200" s="566"/>
      <c r="K200" s="566"/>
      <c r="L200" s="243"/>
      <c r="M200" s="566"/>
      <c r="N200" s="566"/>
      <c r="O200" s="243"/>
      <c r="P200" s="566"/>
      <c r="Q200" s="566"/>
      <c r="R200" s="243"/>
      <c r="S200" s="566"/>
      <c r="T200" s="566"/>
      <c r="U200" s="243"/>
      <c r="V200" s="910"/>
      <c r="W200" s="910"/>
      <c r="X200" s="910"/>
      <c r="Y200" s="910"/>
      <c r="Z200" s="910"/>
      <c r="AA200" s="910"/>
      <c r="AB200" s="910"/>
      <c r="AC200" s="910"/>
      <c r="AD200" s="910"/>
      <c r="AE200" s="910"/>
      <c r="AF200" s="910"/>
      <c r="AG200" s="910"/>
      <c r="AH200" s="910"/>
      <c r="AI200" s="910"/>
      <c r="AJ200" s="910"/>
      <c r="AK200" s="910"/>
      <c r="AL200" s="910"/>
      <c r="AM200" s="910"/>
      <c r="AN200" s="910"/>
      <c r="AO200" s="910"/>
      <c r="AP200" s="566"/>
      <c r="AQ200" s="566"/>
      <c r="AY200" s="262"/>
    </row>
    <row r="201" spans="1:51" s="911" customFormat="1" ht="17.25" customHeight="1">
      <c r="A201" s="910"/>
      <c r="B201" s="910"/>
      <c r="C201" s="910"/>
      <c r="D201" s="910"/>
      <c r="E201" s="910"/>
      <c r="F201" s="910"/>
      <c r="G201" s="910"/>
      <c r="H201" s="910"/>
      <c r="I201" s="910"/>
      <c r="J201" s="910"/>
      <c r="K201" s="910"/>
      <c r="L201" s="465"/>
      <c r="M201" s="910"/>
      <c r="N201" s="910"/>
      <c r="O201" s="465"/>
      <c r="P201" s="910"/>
      <c r="Q201" s="910"/>
      <c r="R201" s="465"/>
      <c r="S201" s="910"/>
      <c r="T201" s="910"/>
      <c r="U201" s="465"/>
      <c r="V201" s="910"/>
      <c r="W201" s="910"/>
      <c r="X201" s="465"/>
      <c r="Y201" s="910"/>
      <c r="Z201" s="910"/>
      <c r="AA201" s="910"/>
      <c r="AB201" s="910"/>
      <c r="AC201" s="910"/>
      <c r="AD201" s="910"/>
      <c r="AE201" s="910"/>
      <c r="AF201" s="910"/>
      <c r="AG201" s="910"/>
      <c r="AH201" s="910"/>
      <c r="AI201" s="910"/>
      <c r="AJ201" s="465"/>
      <c r="AK201" s="910"/>
      <c r="AL201" s="910"/>
      <c r="AM201" s="465"/>
      <c r="AN201" s="910"/>
      <c r="AO201" s="910"/>
      <c r="AP201" s="566"/>
      <c r="AQ201" s="566"/>
      <c r="AY201" s="262"/>
    </row>
    <row r="202" spans="1:51" ht="17.25" customHeight="1">
      <c r="A202" s="910"/>
      <c r="B202" s="910"/>
      <c r="C202" s="191"/>
      <c r="D202" s="191"/>
      <c r="E202" s="191"/>
      <c r="F202" s="191"/>
      <c r="G202" s="191"/>
      <c r="H202" s="191"/>
      <c r="I202" s="191"/>
      <c r="J202" s="191"/>
      <c r="K202" s="191"/>
      <c r="L202" s="465"/>
      <c r="M202" s="191"/>
      <c r="N202" s="191"/>
      <c r="O202" s="465"/>
      <c r="P202" s="191"/>
      <c r="Q202" s="191"/>
      <c r="R202" s="465"/>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2"/>
      <c r="AQ202" s="192"/>
      <c r="AR202" s="126"/>
      <c r="AS202" s="830"/>
    </row>
    <row r="203" spans="1:51" s="911" customFormat="1" ht="25.5" customHeight="1">
      <c r="A203" s="910"/>
      <c r="B203" s="910"/>
      <c r="C203" s="502" t="str">
        <f>CHOOSE(language,"Turnover, Gross Profit and Net Profit","Revenue, Gross Profit and Net Profit")</f>
        <v>Revenue, Gross Profit and Net Profit</v>
      </c>
      <c r="D203" s="566"/>
      <c r="E203" s="566"/>
      <c r="F203" s="566"/>
      <c r="G203" s="566"/>
      <c r="H203" s="566"/>
      <c r="I203" s="566"/>
      <c r="J203" s="566"/>
      <c r="K203" s="566"/>
      <c r="L203" s="243"/>
      <c r="M203" s="566"/>
      <c r="N203" s="467" t="str">
        <f>"  (in "&amp;currency &amp;" '000)"</f>
        <v xml:space="preserve">  (in USD '000)</v>
      </c>
      <c r="O203" s="243"/>
      <c r="P203" s="566"/>
      <c r="Q203" s="566"/>
      <c r="R203" s="243"/>
      <c r="S203" s="566"/>
      <c r="T203" s="566"/>
      <c r="U203" s="566"/>
      <c r="V203" s="566"/>
      <c r="W203" s="566"/>
      <c r="X203" s="566"/>
      <c r="Y203" s="566"/>
      <c r="Z203" s="566"/>
      <c r="AA203" s="566"/>
      <c r="AB203" s="566"/>
      <c r="AC203" s="566"/>
      <c r="AD203" s="566"/>
      <c r="AE203" s="566"/>
      <c r="AF203" s="566"/>
      <c r="AG203" s="566"/>
      <c r="AH203" s="566"/>
      <c r="AI203" s="566"/>
      <c r="AJ203" s="566"/>
      <c r="AK203" s="910"/>
      <c r="AL203" s="910"/>
      <c r="AM203" s="910"/>
      <c r="AN203" s="910"/>
      <c r="AO203" s="910"/>
      <c r="AP203" s="566"/>
      <c r="AQ203" s="566"/>
      <c r="AR203" s="831"/>
    </row>
    <row r="204" spans="1:51" s="911" customFormat="1" ht="17.25" customHeight="1">
      <c r="A204" s="910"/>
      <c r="B204" s="910"/>
      <c r="C204" s="566"/>
      <c r="D204" s="566"/>
      <c r="E204" s="566"/>
      <c r="F204" s="566"/>
      <c r="G204" s="566"/>
      <c r="H204" s="566"/>
      <c r="I204" s="566"/>
      <c r="J204" s="566"/>
      <c r="K204" s="566"/>
      <c r="L204" s="243"/>
      <c r="M204" s="566"/>
      <c r="N204" s="566"/>
      <c r="O204" s="243"/>
      <c r="P204" s="566"/>
      <c r="Q204" s="566"/>
      <c r="R204" s="243"/>
      <c r="S204" s="566"/>
      <c r="T204" s="566"/>
      <c r="U204" s="566"/>
      <c r="V204" s="566"/>
      <c r="W204" s="566"/>
      <c r="X204" s="566"/>
      <c r="Y204" s="566"/>
      <c r="Z204" s="566"/>
      <c r="AA204" s="566"/>
      <c r="AB204" s="566"/>
      <c r="AC204" s="566"/>
      <c r="AD204" s="566"/>
      <c r="AE204" s="566"/>
      <c r="AF204" s="566"/>
      <c r="AG204" s="566"/>
      <c r="AH204" s="566"/>
      <c r="AI204" s="566"/>
      <c r="AJ204" s="566"/>
      <c r="AK204" s="910"/>
      <c r="AL204" s="910"/>
      <c r="AM204" s="910"/>
      <c r="AN204" s="910"/>
      <c r="AO204" s="910"/>
      <c r="AP204" s="566"/>
      <c r="AQ204" s="566"/>
      <c r="AR204" s="831"/>
    </row>
    <row r="205" spans="1:51" s="911" customFormat="1" ht="17.25" customHeight="1">
      <c r="A205" s="910"/>
      <c r="B205" s="910"/>
      <c r="C205" s="566"/>
      <c r="D205" s="566"/>
      <c r="E205" s="566"/>
      <c r="F205" s="566"/>
      <c r="G205" s="566"/>
      <c r="H205" s="566"/>
      <c r="I205" s="566"/>
      <c r="J205" s="566"/>
      <c r="K205" s="566"/>
      <c r="L205" s="243"/>
      <c r="M205" s="566"/>
      <c r="N205" s="566"/>
      <c r="O205" s="243"/>
      <c r="P205" s="566"/>
      <c r="Q205" s="566"/>
      <c r="R205" s="243"/>
      <c r="S205" s="566"/>
      <c r="T205" s="566"/>
      <c r="U205" s="566"/>
      <c r="V205" s="566"/>
      <c r="W205" s="566"/>
      <c r="X205" s="566"/>
      <c r="Y205" s="566"/>
      <c r="Z205" s="566"/>
      <c r="AA205" s="566"/>
      <c r="AB205" s="566"/>
      <c r="AC205" s="566"/>
      <c r="AD205" s="566"/>
      <c r="AE205" s="566"/>
      <c r="AF205" s="566"/>
      <c r="AG205" s="566"/>
      <c r="AH205" s="566"/>
      <c r="AI205" s="566"/>
      <c r="AJ205" s="566"/>
      <c r="AK205" s="910"/>
      <c r="AL205" s="910"/>
      <c r="AM205" s="910"/>
      <c r="AN205" s="910"/>
      <c r="AO205" s="910"/>
      <c r="AP205" s="566"/>
      <c r="AQ205" s="566"/>
      <c r="AR205" s="831"/>
    </row>
    <row r="206" spans="1:51" s="911" customFormat="1" ht="17.25" customHeight="1">
      <c r="A206" s="910"/>
      <c r="B206" s="910"/>
      <c r="C206" s="566"/>
      <c r="D206" s="566"/>
      <c r="E206" s="566"/>
      <c r="F206" s="566"/>
      <c r="G206" s="566"/>
      <c r="H206" s="566"/>
      <c r="I206" s="566"/>
      <c r="J206" s="566"/>
      <c r="K206" s="566"/>
      <c r="L206" s="243"/>
      <c r="M206" s="566"/>
      <c r="N206" s="566"/>
      <c r="O206" s="243"/>
      <c r="P206" s="566"/>
      <c r="Q206" s="566"/>
      <c r="R206" s="243"/>
      <c r="S206" s="566"/>
      <c r="T206" s="566"/>
      <c r="U206" s="566"/>
      <c r="V206" s="566"/>
      <c r="W206" s="566"/>
      <c r="X206" s="566"/>
      <c r="Y206" s="566"/>
      <c r="Z206" s="566"/>
      <c r="AA206" s="566"/>
      <c r="AB206" s="566"/>
      <c r="AC206" s="566"/>
      <c r="AD206" s="566"/>
      <c r="AE206" s="566"/>
      <c r="AF206" s="566"/>
      <c r="AG206" s="566"/>
      <c r="AH206" s="566"/>
      <c r="AI206" s="566"/>
      <c r="AJ206" s="566"/>
      <c r="AK206" s="910"/>
      <c r="AL206" s="910"/>
      <c r="AM206" s="910"/>
      <c r="AN206" s="910"/>
      <c r="AO206" s="910"/>
      <c r="AP206" s="566"/>
      <c r="AQ206" s="566"/>
      <c r="AR206" s="831"/>
    </row>
    <row r="207" spans="1:51" s="911" customFormat="1" ht="17.25" customHeight="1">
      <c r="A207" s="910"/>
      <c r="B207" s="910"/>
      <c r="C207" s="566"/>
      <c r="D207" s="566"/>
      <c r="E207" s="566"/>
      <c r="F207" s="566"/>
      <c r="G207" s="566"/>
      <c r="H207" s="566"/>
      <c r="I207" s="566"/>
      <c r="J207" s="566"/>
      <c r="K207" s="566"/>
      <c r="L207" s="243"/>
      <c r="M207" s="566"/>
      <c r="N207" s="566"/>
      <c r="O207" s="243"/>
      <c r="P207" s="566"/>
      <c r="Q207" s="566"/>
      <c r="R207" s="243"/>
      <c r="S207" s="566"/>
      <c r="T207" s="566"/>
      <c r="U207" s="566"/>
      <c r="V207" s="566"/>
      <c r="W207" s="566"/>
      <c r="X207" s="566"/>
      <c r="Y207" s="566"/>
      <c r="Z207" s="566"/>
      <c r="AA207" s="566"/>
      <c r="AB207" s="566"/>
      <c r="AC207" s="566"/>
      <c r="AD207" s="566"/>
      <c r="AE207" s="566"/>
      <c r="AF207" s="566"/>
      <c r="AG207" s="566"/>
      <c r="AH207" s="566"/>
      <c r="AI207" s="566"/>
      <c r="AJ207" s="566"/>
      <c r="AK207" s="910"/>
      <c r="AL207" s="910"/>
      <c r="AM207" s="910"/>
      <c r="AN207" s="910"/>
      <c r="AO207" s="910"/>
      <c r="AP207" s="566"/>
      <c r="AQ207" s="566"/>
      <c r="AR207" s="831"/>
    </row>
    <row r="208" spans="1:51" s="911" customFormat="1" ht="17.25" customHeight="1">
      <c r="A208" s="910"/>
      <c r="B208" s="910"/>
      <c r="C208" s="566"/>
      <c r="D208" s="566"/>
      <c r="E208" s="566"/>
      <c r="F208" s="566"/>
      <c r="G208" s="566"/>
      <c r="H208" s="566"/>
      <c r="I208" s="566"/>
      <c r="J208" s="566"/>
      <c r="K208" s="566"/>
      <c r="L208" s="243"/>
      <c r="M208" s="566"/>
      <c r="N208" s="566"/>
      <c r="O208" s="243"/>
      <c r="P208" s="566"/>
      <c r="Q208" s="566"/>
      <c r="R208" s="243"/>
      <c r="S208" s="566"/>
      <c r="T208" s="566"/>
      <c r="U208" s="566"/>
      <c r="V208" s="566"/>
      <c r="W208" s="566"/>
      <c r="X208" s="566"/>
      <c r="Y208" s="566"/>
      <c r="Z208" s="566"/>
      <c r="AA208" s="566"/>
      <c r="AB208" s="566"/>
      <c r="AC208" s="566"/>
      <c r="AD208" s="566"/>
      <c r="AE208" s="566"/>
      <c r="AF208" s="566"/>
      <c r="AG208" s="566"/>
      <c r="AH208" s="566"/>
      <c r="AI208" s="566"/>
      <c r="AJ208" s="566"/>
      <c r="AK208" s="910"/>
      <c r="AL208" s="910"/>
      <c r="AM208" s="910"/>
      <c r="AN208" s="910"/>
      <c r="AO208" s="910"/>
      <c r="AP208" s="566"/>
      <c r="AQ208" s="566"/>
      <c r="AR208" s="831"/>
    </row>
    <row r="209" spans="1:44" s="911" customFormat="1" ht="17.25" customHeight="1">
      <c r="A209" s="910"/>
      <c r="B209" s="910"/>
      <c r="C209" s="566"/>
      <c r="D209" s="566"/>
      <c r="E209" s="566"/>
      <c r="F209" s="566"/>
      <c r="G209" s="566"/>
      <c r="H209" s="566"/>
      <c r="I209" s="566"/>
      <c r="J209" s="566"/>
      <c r="K209" s="566"/>
      <c r="L209" s="243"/>
      <c r="M209" s="566"/>
      <c r="N209" s="566"/>
      <c r="O209" s="243"/>
      <c r="P209" s="566"/>
      <c r="Q209" s="566"/>
      <c r="R209" s="243"/>
      <c r="S209" s="566"/>
      <c r="T209" s="566"/>
      <c r="U209" s="566"/>
      <c r="V209" s="566"/>
      <c r="W209" s="566"/>
      <c r="X209" s="566"/>
      <c r="Y209" s="566"/>
      <c r="Z209" s="566"/>
      <c r="AA209" s="566"/>
      <c r="AB209" s="566"/>
      <c r="AC209" s="566"/>
      <c r="AD209" s="566"/>
      <c r="AE209" s="566"/>
      <c r="AF209" s="566"/>
      <c r="AG209" s="566"/>
      <c r="AH209" s="566"/>
      <c r="AI209" s="566"/>
      <c r="AJ209" s="566"/>
      <c r="AK209" s="910"/>
      <c r="AL209" s="910"/>
      <c r="AM209" s="910"/>
      <c r="AN209" s="910"/>
      <c r="AO209" s="910"/>
      <c r="AP209" s="566"/>
      <c r="AQ209" s="566"/>
      <c r="AR209" s="831"/>
    </row>
    <row r="210" spans="1:44" s="911" customFormat="1" ht="17.25" customHeight="1">
      <c r="A210" s="910"/>
      <c r="B210" s="910"/>
      <c r="C210" s="566"/>
      <c r="D210" s="566"/>
      <c r="E210" s="566"/>
      <c r="F210" s="566"/>
      <c r="G210" s="566"/>
      <c r="H210" s="566"/>
      <c r="I210" s="566"/>
      <c r="J210" s="566"/>
      <c r="K210" s="566"/>
      <c r="L210" s="243"/>
      <c r="M210" s="566"/>
      <c r="N210" s="566"/>
      <c r="O210" s="243"/>
      <c r="P210" s="566"/>
      <c r="Q210" s="566"/>
      <c r="R210" s="243"/>
      <c r="S210" s="566"/>
      <c r="T210" s="566"/>
      <c r="U210" s="566"/>
      <c r="V210" s="566"/>
      <c r="W210" s="566"/>
      <c r="X210" s="566"/>
      <c r="Y210" s="566"/>
      <c r="Z210" s="566"/>
      <c r="AA210" s="566"/>
      <c r="AB210" s="566"/>
      <c r="AC210" s="566"/>
      <c r="AD210" s="566"/>
      <c r="AE210" s="566"/>
      <c r="AF210" s="566"/>
      <c r="AG210" s="566"/>
      <c r="AH210" s="566"/>
      <c r="AI210" s="566"/>
      <c r="AJ210" s="566"/>
      <c r="AK210" s="910"/>
      <c r="AL210" s="910"/>
      <c r="AM210" s="910"/>
      <c r="AN210" s="910"/>
      <c r="AO210" s="910"/>
      <c r="AP210" s="566"/>
      <c r="AQ210" s="566"/>
      <c r="AR210" s="831"/>
    </row>
    <row r="211" spans="1:44" s="911" customFormat="1" ht="17.25" customHeight="1">
      <c r="A211" s="910"/>
      <c r="B211" s="910"/>
      <c r="C211" s="566"/>
      <c r="D211" s="566"/>
      <c r="E211" s="566"/>
      <c r="F211" s="566"/>
      <c r="G211" s="566"/>
      <c r="H211" s="566"/>
      <c r="I211" s="566"/>
      <c r="J211" s="566"/>
      <c r="K211" s="566"/>
      <c r="L211" s="243"/>
      <c r="M211" s="566"/>
      <c r="N211" s="566"/>
      <c r="O211" s="243"/>
      <c r="P211" s="566"/>
      <c r="Q211" s="566"/>
      <c r="R211" s="243"/>
      <c r="S211" s="566"/>
      <c r="T211" s="566"/>
      <c r="U211" s="566"/>
      <c r="V211" s="566"/>
      <c r="W211" s="566"/>
      <c r="X211" s="566"/>
      <c r="Y211" s="566"/>
      <c r="Z211" s="566"/>
      <c r="AA211" s="566"/>
      <c r="AB211" s="566"/>
      <c r="AC211" s="566"/>
      <c r="AD211" s="566"/>
      <c r="AE211" s="566"/>
      <c r="AF211" s="566"/>
      <c r="AG211" s="566"/>
      <c r="AH211" s="566"/>
      <c r="AI211" s="566"/>
      <c r="AJ211" s="566"/>
      <c r="AK211" s="910"/>
      <c r="AL211" s="910"/>
      <c r="AM211" s="910"/>
      <c r="AN211" s="910"/>
      <c r="AO211" s="910"/>
      <c r="AP211" s="566"/>
      <c r="AQ211" s="566"/>
      <c r="AR211" s="831"/>
    </row>
    <row r="212" spans="1:44" s="911" customFormat="1" ht="17.25" customHeight="1">
      <c r="A212" s="910"/>
      <c r="B212" s="910"/>
      <c r="C212" s="566"/>
      <c r="D212" s="566"/>
      <c r="E212" s="566"/>
      <c r="F212" s="566"/>
      <c r="G212" s="566"/>
      <c r="H212" s="566"/>
      <c r="I212" s="566"/>
      <c r="J212" s="566"/>
      <c r="K212" s="566"/>
      <c r="L212" s="243"/>
      <c r="M212" s="566"/>
      <c r="N212" s="566"/>
      <c r="O212" s="243"/>
      <c r="P212" s="566"/>
      <c r="Q212" s="566"/>
      <c r="R212" s="243"/>
      <c r="S212" s="566"/>
      <c r="T212" s="566"/>
      <c r="U212" s="566"/>
      <c r="V212" s="566"/>
      <c r="W212" s="566"/>
      <c r="X212" s="566"/>
      <c r="Y212" s="566"/>
      <c r="Z212" s="566"/>
      <c r="AA212" s="566"/>
      <c r="AB212" s="566"/>
      <c r="AC212" s="566"/>
      <c r="AD212" s="566"/>
      <c r="AE212" s="566"/>
      <c r="AF212" s="566"/>
      <c r="AG212" s="566"/>
      <c r="AH212" s="566"/>
      <c r="AI212" s="566"/>
      <c r="AJ212" s="566"/>
      <c r="AK212" s="910"/>
      <c r="AL212" s="910"/>
      <c r="AM212" s="910"/>
      <c r="AN212" s="910"/>
      <c r="AO212" s="910"/>
      <c r="AP212" s="566"/>
      <c r="AQ212" s="566"/>
      <c r="AR212" s="831"/>
    </row>
    <row r="213" spans="1:44" s="911" customFormat="1" ht="17.25" customHeight="1">
      <c r="A213" s="910"/>
      <c r="B213" s="910"/>
      <c r="C213" s="566"/>
      <c r="D213" s="566"/>
      <c r="E213" s="566"/>
      <c r="F213" s="566"/>
      <c r="G213" s="566"/>
      <c r="H213" s="566"/>
      <c r="I213" s="566"/>
      <c r="J213" s="566"/>
      <c r="K213" s="566"/>
      <c r="L213" s="243"/>
      <c r="M213" s="566"/>
      <c r="N213" s="566"/>
      <c r="O213" s="243"/>
      <c r="P213" s="566"/>
      <c r="Q213" s="566"/>
      <c r="R213" s="243"/>
      <c r="S213" s="566"/>
      <c r="T213" s="566"/>
      <c r="U213" s="566"/>
      <c r="V213" s="566"/>
      <c r="W213" s="566"/>
      <c r="X213" s="566"/>
      <c r="Y213" s="566"/>
      <c r="Z213" s="566"/>
      <c r="AA213" s="566"/>
      <c r="AB213" s="566"/>
      <c r="AC213" s="566"/>
      <c r="AD213" s="566"/>
      <c r="AE213" s="566"/>
      <c r="AF213" s="566"/>
      <c r="AG213" s="566"/>
      <c r="AH213" s="566"/>
      <c r="AI213" s="566"/>
      <c r="AJ213" s="566"/>
      <c r="AK213" s="910"/>
      <c r="AL213" s="910"/>
      <c r="AM213" s="910"/>
      <c r="AN213" s="910"/>
      <c r="AO213" s="910"/>
      <c r="AP213" s="566"/>
      <c r="AQ213" s="566"/>
      <c r="AR213" s="831"/>
    </row>
    <row r="214" spans="1:44" s="911" customFormat="1" ht="17.25" customHeight="1">
      <c r="A214" s="910"/>
      <c r="B214" s="910"/>
      <c r="C214" s="566"/>
      <c r="D214" s="566"/>
      <c r="E214" s="566"/>
      <c r="F214" s="566"/>
      <c r="G214" s="566"/>
      <c r="H214" s="566"/>
      <c r="I214" s="566"/>
      <c r="J214" s="566"/>
      <c r="K214" s="566"/>
      <c r="L214" s="243"/>
      <c r="M214" s="566"/>
      <c r="N214" s="566"/>
      <c r="O214" s="243"/>
      <c r="P214" s="566"/>
      <c r="Q214" s="566"/>
      <c r="R214" s="243"/>
      <c r="S214" s="566"/>
      <c r="T214" s="566"/>
      <c r="U214" s="566"/>
      <c r="V214" s="566"/>
      <c r="W214" s="566"/>
      <c r="X214" s="566"/>
      <c r="Y214" s="566"/>
      <c r="Z214" s="566"/>
      <c r="AA214" s="566"/>
      <c r="AB214" s="566"/>
      <c r="AC214" s="566"/>
      <c r="AD214" s="566"/>
      <c r="AE214" s="566"/>
      <c r="AF214" s="566"/>
      <c r="AG214" s="566"/>
      <c r="AH214" s="566"/>
      <c r="AI214" s="566"/>
      <c r="AJ214" s="566"/>
      <c r="AK214" s="910"/>
      <c r="AL214" s="910"/>
      <c r="AM214" s="910"/>
      <c r="AN214" s="910"/>
      <c r="AO214" s="910"/>
      <c r="AP214" s="566"/>
      <c r="AQ214" s="566"/>
      <c r="AR214" s="831"/>
    </row>
    <row r="215" spans="1:44" s="911" customFormat="1" ht="17.25" customHeight="1">
      <c r="A215" s="910"/>
      <c r="B215" s="910"/>
      <c r="C215" s="566"/>
      <c r="D215" s="566"/>
      <c r="E215" s="566"/>
      <c r="F215" s="566"/>
      <c r="G215" s="566"/>
      <c r="H215" s="566"/>
      <c r="I215" s="566"/>
      <c r="J215" s="566"/>
      <c r="K215" s="566"/>
      <c r="L215" s="243"/>
      <c r="M215" s="566"/>
      <c r="N215" s="566"/>
      <c r="O215" s="243"/>
      <c r="P215" s="566"/>
      <c r="Q215" s="566"/>
      <c r="R215" s="243"/>
      <c r="S215" s="566"/>
      <c r="T215" s="566"/>
      <c r="U215" s="566"/>
      <c r="V215" s="566"/>
      <c r="W215" s="566"/>
      <c r="X215" s="566"/>
      <c r="Y215" s="566"/>
      <c r="Z215" s="566"/>
      <c r="AA215" s="566"/>
      <c r="AB215" s="566"/>
      <c r="AC215" s="566"/>
      <c r="AD215" s="566"/>
      <c r="AE215" s="566"/>
      <c r="AF215" s="566"/>
      <c r="AG215" s="566"/>
      <c r="AH215" s="566"/>
      <c r="AI215" s="566"/>
      <c r="AJ215" s="566"/>
      <c r="AK215" s="910"/>
      <c r="AL215" s="910"/>
      <c r="AM215" s="910"/>
      <c r="AN215" s="910"/>
      <c r="AO215" s="910"/>
      <c r="AP215" s="566"/>
      <c r="AQ215" s="566"/>
      <c r="AR215" s="831"/>
    </row>
    <row r="216" spans="1:44" s="911" customFormat="1" ht="17.25" customHeight="1">
      <c r="A216" s="910"/>
      <c r="B216" s="910"/>
      <c r="C216" s="566"/>
      <c r="D216" s="566"/>
      <c r="E216" s="566"/>
      <c r="F216" s="566"/>
      <c r="G216" s="566"/>
      <c r="H216" s="566"/>
      <c r="I216" s="566"/>
      <c r="J216" s="566"/>
      <c r="K216" s="566"/>
      <c r="L216" s="243"/>
      <c r="M216" s="566"/>
      <c r="N216" s="566"/>
      <c r="O216" s="243"/>
      <c r="P216" s="566"/>
      <c r="Q216" s="566"/>
      <c r="R216" s="243"/>
      <c r="S216" s="566"/>
      <c r="T216" s="566"/>
      <c r="U216" s="566"/>
      <c r="V216" s="566"/>
      <c r="W216" s="566"/>
      <c r="X216" s="566"/>
      <c r="Y216" s="566"/>
      <c r="Z216" s="566"/>
      <c r="AA216" s="566"/>
      <c r="AB216" s="566"/>
      <c r="AC216" s="566"/>
      <c r="AD216" s="566"/>
      <c r="AE216" s="566"/>
      <c r="AF216" s="566"/>
      <c r="AG216" s="566"/>
      <c r="AH216" s="566"/>
      <c r="AI216" s="566"/>
      <c r="AJ216" s="566"/>
      <c r="AK216" s="910"/>
      <c r="AL216" s="910"/>
      <c r="AM216" s="910"/>
      <c r="AN216" s="910"/>
      <c r="AO216" s="910"/>
      <c r="AP216" s="566"/>
      <c r="AQ216" s="566"/>
      <c r="AR216" s="831"/>
    </row>
    <row r="217" spans="1:44" s="911" customFormat="1" ht="17.25" customHeight="1">
      <c r="A217" s="910"/>
      <c r="B217" s="910"/>
      <c r="C217" s="566"/>
      <c r="D217" s="566"/>
      <c r="E217" s="566"/>
      <c r="F217" s="566"/>
      <c r="G217" s="566"/>
      <c r="H217" s="566"/>
      <c r="I217" s="566"/>
      <c r="J217" s="566"/>
      <c r="K217" s="566"/>
      <c r="L217" s="243"/>
      <c r="M217" s="566"/>
      <c r="N217" s="566"/>
      <c r="O217" s="243"/>
      <c r="P217" s="566"/>
      <c r="Q217" s="566"/>
      <c r="R217" s="243"/>
      <c r="S217" s="566"/>
      <c r="T217" s="566"/>
      <c r="U217" s="566"/>
      <c r="V217" s="566"/>
      <c r="W217" s="566"/>
      <c r="X217" s="566"/>
      <c r="Y217" s="566"/>
      <c r="Z217" s="566"/>
      <c r="AA217" s="566"/>
      <c r="AB217" s="566"/>
      <c r="AC217" s="566"/>
      <c r="AD217" s="566"/>
      <c r="AE217" s="566"/>
      <c r="AF217" s="566"/>
      <c r="AG217" s="566"/>
      <c r="AH217" s="566"/>
      <c r="AI217" s="566"/>
      <c r="AJ217" s="566"/>
      <c r="AK217" s="910"/>
      <c r="AL217" s="910"/>
      <c r="AM217" s="910"/>
      <c r="AN217" s="910"/>
      <c r="AO217" s="910"/>
      <c r="AP217" s="566"/>
      <c r="AQ217" s="566"/>
      <c r="AR217" s="831"/>
    </row>
    <row r="218" spans="1:44" s="911" customFormat="1" ht="17.25" customHeight="1">
      <c r="A218" s="910"/>
      <c r="B218" s="910"/>
      <c r="C218" s="566"/>
      <c r="D218" s="566"/>
      <c r="E218" s="566"/>
      <c r="F218" s="566"/>
      <c r="G218" s="566"/>
      <c r="H218" s="566"/>
      <c r="I218" s="566"/>
      <c r="J218" s="566"/>
      <c r="K218" s="566"/>
      <c r="L218" s="243"/>
      <c r="M218" s="566"/>
      <c r="N218" s="566"/>
      <c r="O218" s="243"/>
      <c r="P218" s="566"/>
      <c r="Q218" s="566"/>
      <c r="R218" s="243"/>
      <c r="S218" s="566"/>
      <c r="T218" s="566"/>
      <c r="U218" s="566"/>
      <c r="V218" s="566"/>
      <c r="W218" s="566"/>
      <c r="X218" s="566"/>
      <c r="Y218" s="566"/>
      <c r="Z218" s="566"/>
      <c r="AA218" s="566"/>
      <c r="AB218" s="566"/>
      <c r="AC218" s="566"/>
      <c r="AD218" s="566"/>
      <c r="AE218" s="566"/>
      <c r="AF218" s="566"/>
      <c r="AG218" s="566"/>
      <c r="AH218" s="566"/>
      <c r="AI218" s="566"/>
      <c r="AJ218" s="566"/>
      <c r="AK218" s="910"/>
      <c r="AL218" s="910"/>
      <c r="AM218" s="910"/>
      <c r="AN218" s="910"/>
      <c r="AO218" s="910"/>
      <c r="AP218" s="566"/>
      <c r="AQ218" s="566"/>
      <c r="AR218" s="831"/>
    </row>
    <row r="219" spans="1:44" s="911" customFormat="1" ht="17.25" customHeight="1">
      <c r="A219" s="910"/>
      <c r="B219" s="910"/>
      <c r="C219" s="566"/>
      <c r="D219" s="566"/>
      <c r="E219" s="566"/>
      <c r="F219" s="566"/>
      <c r="G219" s="566"/>
      <c r="H219" s="566"/>
      <c r="I219" s="566"/>
      <c r="J219" s="566"/>
      <c r="K219" s="566"/>
      <c r="L219" s="243"/>
      <c r="M219" s="566"/>
      <c r="N219" s="566"/>
      <c r="O219" s="243"/>
      <c r="P219" s="566"/>
      <c r="Q219" s="566"/>
      <c r="R219" s="243"/>
      <c r="S219" s="566"/>
      <c r="T219" s="566"/>
      <c r="U219" s="566"/>
      <c r="V219" s="566"/>
      <c r="W219" s="566"/>
      <c r="X219" s="566"/>
      <c r="Y219" s="566"/>
      <c r="Z219" s="566"/>
      <c r="AA219" s="566"/>
      <c r="AB219" s="566"/>
      <c r="AC219" s="566"/>
      <c r="AD219" s="566"/>
      <c r="AE219" s="566"/>
      <c r="AF219" s="566"/>
      <c r="AG219" s="566"/>
      <c r="AH219" s="566"/>
      <c r="AI219" s="566"/>
      <c r="AJ219" s="566"/>
      <c r="AK219" s="910"/>
      <c r="AL219" s="910"/>
      <c r="AM219" s="910"/>
      <c r="AN219" s="910"/>
      <c r="AO219" s="910"/>
      <c r="AP219" s="566"/>
      <c r="AQ219" s="566"/>
      <c r="AR219" s="831"/>
    </row>
    <row r="220" spans="1:44" s="911" customFormat="1" ht="17.25" customHeight="1">
      <c r="A220" s="910"/>
      <c r="B220" s="910"/>
      <c r="C220" s="566"/>
      <c r="D220" s="566"/>
      <c r="E220" s="566"/>
      <c r="F220" s="566"/>
      <c r="G220" s="566"/>
      <c r="H220" s="566"/>
      <c r="I220" s="566"/>
      <c r="J220" s="566"/>
      <c r="K220" s="566"/>
      <c r="L220" s="243"/>
      <c r="M220" s="566"/>
      <c r="N220" s="566"/>
      <c r="O220" s="243"/>
      <c r="P220" s="566"/>
      <c r="Q220" s="566"/>
      <c r="R220" s="243"/>
      <c r="S220" s="566"/>
      <c r="T220" s="566"/>
      <c r="U220" s="566"/>
      <c r="V220" s="566"/>
      <c r="W220" s="566"/>
      <c r="X220" s="566"/>
      <c r="Y220" s="566"/>
      <c r="Z220" s="566"/>
      <c r="AA220" s="566"/>
      <c r="AB220" s="566"/>
      <c r="AC220" s="566"/>
      <c r="AD220" s="566"/>
      <c r="AE220" s="566"/>
      <c r="AF220" s="566"/>
      <c r="AG220" s="566"/>
      <c r="AH220" s="566"/>
      <c r="AI220" s="566"/>
      <c r="AJ220" s="566"/>
      <c r="AK220" s="910"/>
      <c r="AL220" s="910"/>
      <c r="AM220" s="910"/>
      <c r="AN220" s="910"/>
      <c r="AO220" s="910"/>
      <c r="AP220" s="566"/>
      <c r="AQ220" s="566"/>
      <c r="AR220" s="831"/>
    </row>
    <row r="221" spans="1:44" s="911" customFormat="1" ht="17.25" customHeight="1">
      <c r="A221" s="910"/>
      <c r="B221" s="910"/>
      <c r="C221" s="566"/>
      <c r="D221" s="566"/>
      <c r="E221" s="566"/>
      <c r="F221" s="566"/>
      <c r="G221" s="566"/>
      <c r="H221" s="566"/>
      <c r="I221" s="566"/>
      <c r="J221" s="566"/>
      <c r="K221" s="566"/>
      <c r="L221" s="243"/>
      <c r="M221" s="566"/>
      <c r="N221" s="566"/>
      <c r="O221" s="243"/>
      <c r="P221" s="566"/>
      <c r="Q221" s="566"/>
      <c r="R221" s="243"/>
      <c r="S221" s="566"/>
      <c r="T221" s="566"/>
      <c r="U221" s="566"/>
      <c r="V221" s="566"/>
      <c r="W221" s="566"/>
      <c r="X221" s="566"/>
      <c r="Y221" s="566"/>
      <c r="Z221" s="566"/>
      <c r="AA221" s="566"/>
      <c r="AB221" s="566"/>
      <c r="AC221" s="566"/>
      <c r="AD221" s="566"/>
      <c r="AE221" s="566"/>
      <c r="AF221" s="566"/>
      <c r="AG221" s="566"/>
      <c r="AH221" s="566"/>
      <c r="AI221" s="566"/>
      <c r="AJ221" s="566"/>
      <c r="AK221" s="910"/>
      <c r="AL221" s="910"/>
      <c r="AM221" s="910"/>
      <c r="AN221" s="910"/>
      <c r="AO221" s="910"/>
      <c r="AP221" s="566"/>
      <c r="AQ221" s="566"/>
      <c r="AR221" s="831"/>
    </row>
    <row r="222" spans="1:44" s="911" customFormat="1" ht="17.25" customHeight="1">
      <c r="A222" s="910"/>
      <c r="B222" s="910"/>
      <c r="C222" s="566"/>
      <c r="D222" s="566"/>
      <c r="E222" s="566"/>
      <c r="F222" s="566"/>
      <c r="G222" s="566"/>
      <c r="H222" s="566"/>
      <c r="I222" s="566"/>
      <c r="J222" s="566"/>
      <c r="K222" s="566"/>
      <c r="L222" s="243"/>
      <c r="M222" s="566"/>
      <c r="N222" s="566"/>
      <c r="O222" s="243"/>
      <c r="P222" s="566"/>
      <c r="Q222" s="566"/>
      <c r="R222" s="243"/>
      <c r="S222" s="566"/>
      <c r="T222" s="566"/>
      <c r="U222" s="566"/>
      <c r="V222" s="566"/>
      <c r="W222" s="566"/>
      <c r="X222" s="566"/>
      <c r="Y222" s="566"/>
      <c r="Z222" s="566"/>
      <c r="AA222" s="566"/>
      <c r="AB222" s="566"/>
      <c r="AC222" s="566"/>
      <c r="AD222" s="566"/>
      <c r="AE222" s="566"/>
      <c r="AF222" s="566"/>
      <c r="AG222" s="566"/>
      <c r="AH222" s="566"/>
      <c r="AI222" s="566"/>
      <c r="AJ222" s="566"/>
      <c r="AK222" s="910"/>
      <c r="AL222" s="910"/>
      <c r="AM222" s="910"/>
      <c r="AN222" s="910"/>
      <c r="AO222" s="910"/>
      <c r="AP222" s="566"/>
      <c r="AQ222" s="566"/>
      <c r="AR222" s="831"/>
    </row>
    <row r="223" spans="1:44" s="911" customFormat="1" ht="17.25" customHeight="1">
      <c r="A223" s="910"/>
      <c r="B223" s="910"/>
      <c r="C223" s="566"/>
      <c r="D223" s="566"/>
      <c r="E223" s="566"/>
      <c r="F223" s="566"/>
      <c r="G223" s="566"/>
      <c r="H223" s="566"/>
      <c r="I223" s="566"/>
      <c r="J223" s="566"/>
      <c r="K223" s="566"/>
      <c r="L223" s="243"/>
      <c r="M223" s="566"/>
      <c r="N223" s="566"/>
      <c r="O223" s="243"/>
      <c r="P223" s="566"/>
      <c r="Q223" s="566"/>
      <c r="R223" s="243"/>
      <c r="S223" s="566"/>
      <c r="T223" s="566"/>
      <c r="U223" s="566"/>
      <c r="V223" s="566"/>
      <c r="W223" s="566"/>
      <c r="X223" s="566"/>
      <c r="Y223" s="566"/>
      <c r="Z223" s="566"/>
      <c r="AA223" s="566"/>
      <c r="AB223" s="566"/>
      <c r="AC223" s="566"/>
      <c r="AD223" s="566"/>
      <c r="AE223" s="566"/>
      <c r="AF223" s="566"/>
      <c r="AG223" s="566"/>
      <c r="AH223" s="566"/>
      <c r="AI223" s="566"/>
      <c r="AJ223" s="566"/>
      <c r="AK223" s="910"/>
      <c r="AL223" s="910"/>
      <c r="AM223" s="910"/>
      <c r="AN223" s="910"/>
      <c r="AO223" s="910"/>
      <c r="AP223" s="566"/>
      <c r="AQ223" s="566"/>
      <c r="AR223" s="831"/>
    </row>
    <row r="224" spans="1:44" s="911" customFormat="1" ht="9" customHeight="1">
      <c r="A224" s="910"/>
      <c r="B224" s="910"/>
      <c r="C224" s="566"/>
      <c r="D224" s="566"/>
      <c r="E224" s="566"/>
      <c r="F224" s="566"/>
      <c r="G224" s="566"/>
      <c r="H224" s="566"/>
      <c r="I224" s="566"/>
      <c r="J224" s="566"/>
      <c r="K224" s="566"/>
      <c r="L224" s="243"/>
      <c r="M224" s="566"/>
      <c r="N224" s="566"/>
      <c r="O224" s="243"/>
      <c r="P224" s="566"/>
      <c r="Q224" s="566"/>
      <c r="R224" s="243"/>
      <c r="S224" s="566"/>
      <c r="T224" s="566"/>
      <c r="U224" s="566"/>
      <c r="V224" s="566"/>
      <c r="W224" s="566"/>
      <c r="X224" s="566"/>
      <c r="Y224" s="566"/>
      <c r="Z224" s="566"/>
      <c r="AA224" s="566"/>
      <c r="AB224" s="566"/>
      <c r="AC224" s="566"/>
      <c r="AD224" s="566"/>
      <c r="AE224" s="566"/>
      <c r="AF224" s="566"/>
      <c r="AG224" s="566"/>
      <c r="AH224" s="566"/>
      <c r="AI224" s="566"/>
      <c r="AJ224" s="566"/>
      <c r="AK224" s="910"/>
      <c r="AL224" s="910"/>
      <c r="AM224" s="910"/>
      <c r="AN224" s="910"/>
      <c r="AO224" s="910"/>
      <c r="AP224" s="566"/>
      <c r="AQ224" s="566"/>
      <c r="AR224" s="831"/>
    </row>
    <row r="225" spans="1:49" s="911" customFormat="1" ht="17.25" customHeight="1">
      <c r="A225" s="910"/>
      <c r="B225" s="910"/>
      <c r="C225" s="910"/>
      <c r="D225" s="910"/>
      <c r="E225" s="910"/>
      <c r="F225" s="910"/>
      <c r="G225" s="910"/>
      <c r="H225" s="910"/>
      <c r="I225" s="910"/>
      <c r="J225" s="910"/>
      <c r="K225" s="910"/>
      <c r="L225" s="465"/>
      <c r="M225" s="910"/>
      <c r="N225" s="910"/>
      <c r="O225" s="465"/>
      <c r="P225" s="910"/>
      <c r="Q225" s="910"/>
      <c r="R225" s="465"/>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566"/>
      <c r="AQ225" s="566"/>
      <c r="AR225" s="831"/>
    </row>
    <row r="226" spans="1:49" s="911" customFormat="1" ht="17.25" customHeight="1">
      <c r="A226" s="910"/>
      <c r="B226" s="910"/>
      <c r="C226" s="910"/>
      <c r="D226" s="910"/>
      <c r="E226" s="910"/>
      <c r="F226" s="910"/>
      <c r="G226" s="910"/>
      <c r="H226" s="910"/>
      <c r="I226" s="910"/>
      <c r="J226" s="910"/>
      <c r="K226" s="910"/>
      <c r="L226" s="465"/>
      <c r="M226" s="910"/>
      <c r="N226" s="910"/>
      <c r="O226" s="465"/>
      <c r="P226" s="910"/>
      <c r="Q226" s="910"/>
      <c r="R226" s="465"/>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566"/>
      <c r="AQ226" s="566"/>
      <c r="AR226" s="831"/>
    </row>
    <row r="227" spans="1:49" ht="10.5" customHeight="1">
      <c r="A227" s="910"/>
      <c r="B227" s="191"/>
      <c r="C227" s="192"/>
      <c r="D227" s="192"/>
      <c r="E227" s="192"/>
      <c r="F227" s="192"/>
      <c r="G227" s="192"/>
      <c r="H227" s="192"/>
      <c r="I227" s="192"/>
      <c r="J227" s="192"/>
      <c r="K227" s="192"/>
      <c r="L227" s="243"/>
      <c r="M227" s="192"/>
      <c r="N227" s="192"/>
      <c r="O227" s="243"/>
      <c r="P227" s="192"/>
      <c r="Q227" s="192"/>
      <c r="R227" s="243"/>
      <c r="S227" s="192"/>
      <c r="T227" s="910"/>
      <c r="U227" s="566"/>
      <c r="V227" s="566"/>
      <c r="W227" s="566"/>
      <c r="X227" s="566"/>
      <c r="Y227" s="566"/>
      <c r="Z227" s="566"/>
      <c r="AA227" s="566"/>
      <c r="AB227" s="566"/>
      <c r="AC227" s="566"/>
      <c r="AD227" s="566"/>
      <c r="AE227" s="566"/>
      <c r="AF227" s="566"/>
      <c r="AG227" s="566"/>
      <c r="AH227" s="566"/>
      <c r="AI227" s="566"/>
      <c r="AJ227" s="566"/>
      <c r="AK227" s="566"/>
      <c r="AL227" s="566"/>
      <c r="AM227" s="566"/>
      <c r="AN227" s="566"/>
      <c r="AO227" s="910"/>
      <c r="AP227" s="192"/>
      <c r="AQ227" s="192"/>
      <c r="AR227" s="126"/>
      <c r="AS227" s="830"/>
    </row>
    <row r="228" spans="1:49" s="911" customFormat="1" ht="19.5" customHeight="1">
      <c r="A228" s="910"/>
      <c r="B228" s="910"/>
      <c r="C228" s="194" t="s">
        <v>754</v>
      </c>
      <c r="D228" s="566"/>
      <c r="E228" s="566"/>
      <c r="F228" s="566"/>
      <c r="G228" s="566"/>
      <c r="H228" s="566"/>
      <c r="I228" s="566"/>
      <c r="J228" s="566"/>
      <c r="K228" s="566"/>
      <c r="L228" s="243"/>
      <c r="M228" s="566"/>
      <c r="N228" s="566"/>
      <c r="O228" s="243"/>
      <c r="P228" s="566"/>
      <c r="Q228" s="566"/>
      <c r="R228" s="243"/>
      <c r="S228" s="566"/>
      <c r="T228" s="910"/>
      <c r="U228" s="566"/>
      <c r="V228" s="566"/>
      <c r="W228" s="566"/>
      <c r="X228" s="566"/>
      <c r="Y228" s="566"/>
      <c r="Z228" s="566"/>
      <c r="AA228" s="566"/>
      <c r="AB228" s="566"/>
      <c r="AC228" s="566"/>
      <c r="AD228" s="566"/>
      <c r="AE228" s="566"/>
      <c r="AF228" s="566"/>
      <c r="AG228" s="566"/>
      <c r="AH228" s="566"/>
      <c r="AI228" s="566"/>
      <c r="AJ228" s="566"/>
      <c r="AK228" s="566"/>
      <c r="AL228" s="566"/>
      <c r="AM228" s="566"/>
      <c r="AN228" s="566"/>
      <c r="AO228" s="910"/>
      <c r="AP228" s="566"/>
      <c r="AQ228" s="566"/>
      <c r="AR228" s="831"/>
    </row>
    <row r="229" spans="1:49" s="911" customFormat="1" ht="10.5" customHeight="1">
      <c r="A229" s="910"/>
      <c r="B229" s="910"/>
      <c r="C229" s="566"/>
      <c r="D229" s="566"/>
      <c r="E229" s="566"/>
      <c r="F229" s="566"/>
      <c r="G229" s="566"/>
      <c r="H229" s="566"/>
      <c r="I229" s="566"/>
      <c r="J229" s="566"/>
      <c r="K229" s="566"/>
      <c r="L229" s="243"/>
      <c r="M229" s="566"/>
      <c r="N229" s="566"/>
      <c r="O229" s="243"/>
      <c r="P229" s="566"/>
      <c r="Q229" s="566"/>
      <c r="R229" s="243"/>
      <c r="S229" s="566"/>
      <c r="T229" s="910"/>
      <c r="U229" s="566"/>
      <c r="V229" s="566"/>
      <c r="W229" s="566"/>
      <c r="X229" s="566"/>
      <c r="Y229" s="566"/>
      <c r="Z229" s="566"/>
      <c r="AA229" s="566"/>
      <c r="AB229" s="566"/>
      <c r="AC229" s="566"/>
      <c r="AD229" s="566"/>
      <c r="AE229" s="566"/>
      <c r="AF229" s="566"/>
      <c r="AG229" s="566"/>
      <c r="AH229" s="566"/>
      <c r="AI229" s="566"/>
      <c r="AJ229" s="566"/>
      <c r="AK229" s="566"/>
      <c r="AL229" s="566"/>
      <c r="AM229" s="566"/>
      <c r="AN229" s="566"/>
      <c r="AO229" s="910"/>
      <c r="AP229" s="566"/>
      <c r="AQ229" s="566"/>
      <c r="AR229" s="831"/>
    </row>
    <row r="230" spans="1:49" ht="17.25" customHeight="1">
      <c r="A230" s="910"/>
      <c r="B230" s="191"/>
      <c r="C230" s="194" t="s">
        <v>281</v>
      </c>
      <c r="D230" s="458"/>
      <c r="E230" s="458"/>
      <c r="F230" s="458"/>
      <c r="G230" s="458"/>
      <c r="H230" s="458"/>
      <c r="I230" s="458"/>
      <c r="J230" s="366" t="str">
        <f>'Summary 02'!$V$5</f>
        <v>FY 2018</v>
      </c>
      <c r="K230" s="367"/>
      <c r="L230" s="366" t="str">
        <f>'Summary 02'!$AA$5</f>
        <v>FY 2019</v>
      </c>
      <c r="M230" s="367"/>
      <c r="N230" s="566"/>
      <c r="O230" s="566"/>
      <c r="P230" s="566"/>
      <c r="Q230" s="566"/>
      <c r="R230" s="566"/>
      <c r="S230" s="566"/>
      <c r="T230" s="910"/>
      <c r="U230" s="831"/>
      <c r="V230" s="831"/>
      <c r="W230" s="831"/>
      <c r="X230" s="831"/>
      <c r="Y230" s="831"/>
      <c r="Z230" s="831"/>
      <c r="AA230" s="831"/>
      <c r="AB230" s="831"/>
      <c r="AC230" s="831"/>
      <c r="AD230" s="831"/>
      <c r="AE230" s="831"/>
      <c r="AF230" s="831"/>
      <c r="AG230" s="831"/>
      <c r="AH230" s="831"/>
      <c r="AI230" s="831"/>
      <c r="AJ230" s="566"/>
      <c r="AK230" s="566"/>
      <c r="AL230" s="566"/>
      <c r="AM230" s="566"/>
      <c r="AN230" s="566"/>
      <c r="AO230" s="910"/>
      <c r="AP230" s="192"/>
      <c r="AQ230" s="192"/>
      <c r="AS230" s="830"/>
    </row>
    <row r="231" spans="1:49" ht="17.25" customHeight="1">
      <c r="A231" s="910"/>
      <c r="B231" s="191"/>
      <c r="C231" s="458" t="s">
        <v>844</v>
      </c>
      <c r="D231" s="458"/>
      <c r="E231" s="458"/>
      <c r="F231" s="458"/>
      <c r="G231" s="458"/>
      <c r="H231" s="458"/>
      <c r="I231" s="458"/>
      <c r="J231" s="503">
        <f>SUMPRODUCT((Timing!$J$5:$AG$5='Summary 02'!V$8)*('Human Resources'!$J$44:$AG$44))</f>
        <v>11</v>
      </c>
      <c r="K231" s="504"/>
      <c r="L231" s="503">
        <f>SUMPRODUCT((Timing!$J$5:$AG$5='Summary 02'!AA8)*('Human Resources'!$J$44:$AG$44))</f>
        <v>14</v>
      </c>
      <c r="M231" s="504"/>
      <c r="N231" s="566"/>
      <c r="O231" s="566"/>
      <c r="P231" s="566"/>
      <c r="Q231" s="566"/>
      <c r="R231" s="566"/>
      <c r="S231" s="566"/>
      <c r="T231" s="910"/>
      <c r="U231" s="566"/>
      <c r="V231" s="566"/>
      <c r="W231" s="566"/>
      <c r="X231" s="566"/>
      <c r="Y231" s="566"/>
      <c r="Z231" s="566"/>
      <c r="AA231" s="566"/>
      <c r="AB231" s="566"/>
      <c r="AC231" s="566"/>
      <c r="AD231" s="566"/>
      <c r="AE231" s="566"/>
      <c r="AF231" s="566"/>
      <c r="AG231" s="566"/>
      <c r="AH231" s="566"/>
      <c r="AI231" s="566"/>
      <c r="AJ231" s="566"/>
      <c r="AK231" s="566"/>
      <c r="AL231" s="566"/>
      <c r="AM231" s="566"/>
      <c r="AN231" s="566"/>
      <c r="AO231" s="910"/>
      <c r="AP231" s="192"/>
      <c r="AQ231" s="192"/>
      <c r="AS231" s="830"/>
    </row>
    <row r="232" spans="1:49" ht="17.25" customHeight="1">
      <c r="A232" s="910"/>
      <c r="B232" s="191"/>
      <c r="C232" s="458" t="s">
        <v>750</v>
      </c>
      <c r="D232" s="458"/>
      <c r="E232" s="458"/>
      <c r="F232" s="200"/>
      <c r="G232" s="200"/>
      <c r="H232" s="200"/>
      <c r="I232" s="458"/>
      <c r="J232" s="505">
        <f>IF(J231=0,"",J231)</f>
        <v>11</v>
      </c>
      <c r="K232" s="506"/>
      <c r="L232" s="505">
        <f>IF(L231=0,"",L231-J231)</f>
        <v>3</v>
      </c>
      <c r="M232" s="506"/>
      <c r="N232" s="566"/>
      <c r="O232" s="566"/>
      <c r="P232" s="566"/>
      <c r="Q232" s="566"/>
      <c r="R232" s="566"/>
      <c r="S232" s="566"/>
      <c r="T232" s="910"/>
      <c r="U232" s="566"/>
      <c r="V232" s="566"/>
      <c r="W232" s="566"/>
      <c r="X232" s="566"/>
      <c r="Y232" s="566"/>
      <c r="Z232" s="566"/>
      <c r="AA232" s="566"/>
      <c r="AB232" s="566"/>
      <c r="AC232" s="566"/>
      <c r="AD232" s="566"/>
      <c r="AE232" s="566"/>
      <c r="AF232" s="566"/>
      <c r="AG232" s="566"/>
      <c r="AH232" s="566"/>
      <c r="AI232" s="566"/>
      <c r="AJ232" s="566"/>
      <c r="AK232" s="566"/>
      <c r="AL232" s="566"/>
      <c r="AM232" s="566"/>
      <c r="AN232" s="566"/>
      <c r="AO232" s="910"/>
      <c r="AP232" s="192"/>
      <c r="AQ232" s="192"/>
      <c r="AR232" s="126"/>
      <c r="AS232" s="830"/>
    </row>
    <row r="233" spans="1:49" ht="17.25" customHeight="1">
      <c r="A233" s="910"/>
      <c r="B233" s="191"/>
      <c r="C233" s="192"/>
      <c r="D233" s="192"/>
      <c r="E233" s="192"/>
      <c r="F233" s="192"/>
      <c r="G233" s="192"/>
      <c r="H233" s="192"/>
      <c r="I233" s="192"/>
      <c r="J233" s="192"/>
      <c r="K233" s="192"/>
      <c r="L233" s="192"/>
      <c r="M233" s="192"/>
      <c r="N233" s="566"/>
      <c r="O233" s="566"/>
      <c r="P233" s="566"/>
      <c r="Q233" s="566"/>
      <c r="R233" s="566"/>
      <c r="S233" s="566"/>
      <c r="T233" s="910"/>
      <c r="U233" s="566"/>
      <c r="V233" s="566"/>
      <c r="W233" s="566"/>
      <c r="X233" s="566"/>
      <c r="Y233" s="566"/>
      <c r="Z233" s="566"/>
      <c r="AA233" s="566"/>
      <c r="AB233" s="566"/>
      <c r="AC233" s="566"/>
      <c r="AD233" s="566"/>
      <c r="AE233" s="566"/>
      <c r="AF233" s="566"/>
      <c r="AG233" s="566"/>
      <c r="AH233" s="566"/>
      <c r="AI233" s="566"/>
      <c r="AJ233" s="566"/>
      <c r="AK233" s="566"/>
      <c r="AL233" s="566"/>
      <c r="AM233" s="566"/>
      <c r="AN233" s="566"/>
      <c r="AO233" s="910"/>
      <c r="AP233" s="192"/>
      <c r="AQ233" s="192"/>
      <c r="AR233" s="126"/>
      <c r="AS233" s="830"/>
    </row>
    <row r="234" spans="1:49" ht="17.25" customHeight="1">
      <c r="A234" s="910"/>
      <c r="B234" s="191"/>
      <c r="N234" s="911"/>
      <c r="O234" s="911"/>
      <c r="P234" s="911"/>
      <c r="Q234" s="911"/>
      <c r="R234" s="911"/>
      <c r="T234" s="910"/>
      <c r="U234" s="566"/>
      <c r="V234" s="566"/>
      <c r="W234" s="566"/>
      <c r="X234" s="566"/>
      <c r="Y234" s="566"/>
      <c r="Z234" s="566"/>
      <c r="AA234" s="566"/>
      <c r="AB234" s="566"/>
      <c r="AC234" s="566"/>
      <c r="AD234" s="566"/>
      <c r="AE234" s="566"/>
      <c r="AF234" s="566"/>
      <c r="AG234" s="566"/>
      <c r="AH234" s="566"/>
      <c r="AI234" s="566"/>
      <c r="AJ234" s="566"/>
      <c r="AK234" s="566"/>
      <c r="AL234" s="566"/>
      <c r="AM234" s="566"/>
      <c r="AN234" s="566"/>
      <c r="AO234" s="910"/>
      <c r="AP234" s="192"/>
      <c r="AQ234" s="192"/>
      <c r="AR234" s="126"/>
      <c r="AS234" s="830"/>
    </row>
    <row r="235" spans="1:49" ht="17.25" customHeight="1">
      <c r="A235" s="910"/>
      <c r="B235" s="191"/>
      <c r="C235" s="194" t="s">
        <v>753</v>
      </c>
      <c r="D235" s="566"/>
      <c r="E235" s="566"/>
      <c r="F235" s="566"/>
      <c r="G235" s="566"/>
      <c r="H235" s="566"/>
      <c r="I235" s="566"/>
      <c r="J235" s="566"/>
      <c r="K235" s="566"/>
      <c r="L235" s="566"/>
      <c r="M235" s="566"/>
      <c r="N235" s="566"/>
      <c r="O235" s="566"/>
      <c r="P235" s="566"/>
      <c r="Q235" s="566"/>
      <c r="R235" s="566"/>
      <c r="S235" s="566"/>
      <c r="T235" s="910"/>
      <c r="U235" s="566"/>
      <c r="V235" s="566"/>
      <c r="W235" s="566"/>
      <c r="X235" s="566"/>
      <c r="Y235" s="566"/>
      <c r="Z235" s="566"/>
      <c r="AA235" s="566"/>
      <c r="AB235" s="566"/>
      <c r="AC235" s="566"/>
      <c r="AD235" s="566"/>
      <c r="AE235" s="566"/>
      <c r="AF235" s="566"/>
      <c r="AG235" s="566"/>
      <c r="AH235" s="566"/>
      <c r="AI235" s="566"/>
      <c r="AJ235" s="566"/>
      <c r="AK235" s="566"/>
      <c r="AL235" s="566"/>
      <c r="AM235" s="566"/>
      <c r="AN235" s="566"/>
      <c r="AO235" s="910"/>
      <c r="AP235" s="192"/>
      <c r="AQ235" s="192"/>
      <c r="AR235" s="126"/>
      <c r="AS235" s="830"/>
      <c r="AW235" s="911"/>
    </row>
    <row r="236" spans="1:49" ht="17.25" customHeight="1">
      <c r="A236" s="910"/>
      <c r="B236" s="191"/>
      <c r="C236" s="566" t="str">
        <f>" incl. salaries &amp; wages, benefits and other staff costs (in " &amp;Currency_Label &amp;")"</f>
        <v xml:space="preserve"> incl. salaries &amp; wages, benefits and other staff costs (in USD)</v>
      </c>
      <c r="D236" s="566"/>
      <c r="E236" s="566"/>
      <c r="F236" s="566"/>
      <c r="G236" s="566"/>
      <c r="H236" s="566"/>
      <c r="I236" s="566"/>
      <c r="J236" s="513"/>
      <c r="K236" s="566"/>
      <c r="L236" s="566"/>
      <c r="M236" s="566"/>
      <c r="N236" s="566"/>
      <c r="O236" s="566"/>
      <c r="P236" s="566"/>
      <c r="Q236" s="566"/>
      <c r="R236" s="566"/>
      <c r="S236" s="566"/>
      <c r="T236" s="910"/>
      <c r="U236" s="566"/>
      <c r="V236" s="566"/>
      <c r="W236" s="566"/>
      <c r="X236" s="566"/>
      <c r="Y236" s="566"/>
      <c r="Z236" s="566"/>
      <c r="AA236" s="566"/>
      <c r="AB236" s="566"/>
      <c r="AC236" s="566"/>
      <c r="AD236" s="566"/>
      <c r="AE236" s="566"/>
      <c r="AF236" s="566"/>
      <c r="AG236" s="566"/>
      <c r="AH236" s="566"/>
      <c r="AI236" s="566"/>
      <c r="AJ236" s="566"/>
      <c r="AK236" s="566"/>
      <c r="AL236" s="566"/>
      <c r="AM236" s="566"/>
      <c r="AN236" s="566"/>
      <c r="AO236" s="910"/>
      <c r="AP236" s="192"/>
      <c r="AQ236" s="192"/>
      <c r="AR236" s="126"/>
      <c r="AS236" s="830"/>
      <c r="AW236" s="911"/>
    </row>
    <row r="237" spans="1:49" ht="17.25" customHeight="1">
      <c r="A237" s="910"/>
      <c r="B237" s="191"/>
      <c r="C237" s="467"/>
      <c r="D237" s="566"/>
      <c r="E237" s="566"/>
      <c r="F237" s="566"/>
      <c r="G237" s="566"/>
      <c r="H237" s="566"/>
      <c r="I237" s="566"/>
      <c r="J237" s="366" t="str">
        <f>'Summary 02'!$V$5</f>
        <v>FY 2018</v>
      </c>
      <c r="K237" s="367"/>
      <c r="L237" s="366" t="str">
        <f>'Summary 02'!$AA$5</f>
        <v>FY 2019</v>
      </c>
      <c r="M237" s="367"/>
      <c r="N237" s="566"/>
      <c r="O237" s="566"/>
      <c r="P237" s="566"/>
      <c r="Q237" s="566"/>
      <c r="R237" s="566"/>
      <c r="S237" s="566"/>
      <c r="T237" s="910"/>
      <c r="U237" s="566"/>
      <c r="V237" s="566"/>
      <c r="W237" s="566"/>
      <c r="X237" s="566"/>
      <c r="Y237" s="566"/>
      <c r="Z237" s="566"/>
      <c r="AA237" s="566"/>
      <c r="AB237" s="566"/>
      <c r="AC237" s="566"/>
      <c r="AD237" s="566"/>
      <c r="AE237" s="566"/>
      <c r="AF237" s="566"/>
      <c r="AG237" s="566"/>
      <c r="AH237" s="566"/>
      <c r="AI237" s="566"/>
      <c r="AJ237" s="566"/>
      <c r="AK237" s="566"/>
      <c r="AL237" s="566"/>
      <c r="AM237" s="566"/>
      <c r="AN237" s="566"/>
      <c r="AO237" s="910"/>
      <c r="AP237" s="192"/>
      <c r="AQ237" s="192"/>
      <c r="AR237" s="126"/>
      <c r="AS237" s="830"/>
    </row>
    <row r="238" spans="1:49" ht="17.25" customHeight="1">
      <c r="A238" s="910"/>
      <c r="B238" s="191"/>
      <c r="C238" s="66" t="s">
        <v>756</v>
      </c>
      <c r="D238" s="566"/>
      <c r="E238" s="566"/>
      <c r="F238" s="566"/>
      <c r="G238" s="566"/>
      <c r="H238" s="566"/>
      <c r="J238" s="923">
        <v>1</v>
      </c>
      <c r="K238" s="923"/>
      <c r="L238" s="924">
        <v>2</v>
      </c>
      <c r="M238" s="924"/>
      <c r="N238" s="566"/>
      <c r="O238" s="566"/>
      <c r="P238" s="566"/>
      <c r="Q238" s="566"/>
      <c r="R238" s="566"/>
      <c r="S238" s="566"/>
      <c r="T238" s="910"/>
      <c r="U238" s="566"/>
      <c r="V238" s="566"/>
      <c r="W238" s="566"/>
      <c r="X238" s="566"/>
      <c r="Y238" s="566"/>
      <c r="Z238" s="566"/>
      <c r="AA238" s="566"/>
      <c r="AB238" s="566"/>
      <c r="AC238" s="566"/>
      <c r="AD238" s="566"/>
      <c r="AE238" s="566"/>
      <c r="AF238" s="566"/>
      <c r="AG238" s="566"/>
      <c r="AH238" s="566"/>
      <c r="AI238" s="566"/>
      <c r="AJ238" s="566"/>
      <c r="AK238" s="566"/>
      <c r="AL238" s="566"/>
      <c r="AM238" s="566"/>
      <c r="AN238" s="566"/>
      <c r="AO238" s="910"/>
      <c r="AP238" s="192"/>
      <c r="AQ238" s="192"/>
      <c r="AR238" s="126"/>
      <c r="AS238" s="830"/>
    </row>
    <row r="239" spans="1:49" ht="17.25" customHeight="1">
      <c r="A239" s="910"/>
      <c r="B239" s="191"/>
      <c r="C239" s="566" t="str">
        <f>AW417</f>
        <v>Direct Labor Staff</v>
      </c>
      <c r="D239" s="566"/>
      <c r="E239" s="566"/>
      <c r="F239" s="566"/>
      <c r="G239" s="566"/>
      <c r="H239" s="566"/>
      <c r="I239" s="566"/>
      <c r="J239" s="613">
        <f>SUMPRODUCT((Timing!$J$15:$AG$15=J$238)*('Human Resources'!$J160:$AG160))</f>
        <v>48666.666666666672</v>
      </c>
      <c r="K239" s="469"/>
      <c r="L239" s="613">
        <f>SUMPRODUCT((Timing!$J$15:$AG$15=L$238)*('Human Resources'!$J160:$AG160))</f>
        <v>101925.8333333333</v>
      </c>
      <c r="M239" s="469"/>
      <c r="N239" s="566"/>
      <c r="O239" s="566"/>
      <c r="P239" s="566"/>
      <c r="Q239" s="566"/>
      <c r="R239" s="566"/>
      <c r="S239" s="566"/>
      <c r="T239" s="910"/>
      <c r="U239" s="566"/>
      <c r="V239" s="566"/>
      <c r="W239" s="566"/>
      <c r="X239" s="566"/>
      <c r="Y239" s="566"/>
      <c r="Z239" s="566"/>
      <c r="AA239" s="566"/>
      <c r="AB239" s="566"/>
      <c r="AC239" s="566"/>
      <c r="AD239" s="566"/>
      <c r="AE239" s="566"/>
      <c r="AF239" s="566"/>
      <c r="AG239" s="566"/>
      <c r="AH239" s="566"/>
      <c r="AI239" s="566"/>
      <c r="AJ239" s="566"/>
      <c r="AK239" s="566"/>
      <c r="AL239" s="566"/>
      <c r="AM239" s="566"/>
      <c r="AN239" s="566"/>
      <c r="AO239" s="910"/>
      <c r="AP239" s="192"/>
      <c r="AQ239" s="192"/>
      <c r="AR239" s="126"/>
      <c r="AS239" s="830"/>
    </row>
    <row r="240" spans="1:49" ht="17.25" customHeight="1">
      <c r="A240" s="910"/>
      <c r="B240" s="191"/>
      <c r="C240" s="566" t="str">
        <f>AW418</f>
        <v>Management &amp; Administration Staff</v>
      </c>
      <c r="D240" s="566"/>
      <c r="E240" s="566"/>
      <c r="F240" s="566"/>
      <c r="G240" s="566"/>
      <c r="H240" s="566"/>
      <c r="I240" s="566"/>
      <c r="J240" s="613">
        <f>SUMPRODUCT((Timing!$J$15:$AG$15=J$238)*('Human Resources'!$J161:$AG161))</f>
        <v>60650.000000000015</v>
      </c>
      <c r="K240" s="469"/>
      <c r="L240" s="613">
        <f>SUMPRODUCT((Timing!$J$15:$AG$15=L$238)*('Human Resources'!$J161:$AG161))</f>
        <v>137697.08333333334</v>
      </c>
      <c r="M240" s="469"/>
      <c r="N240" s="566"/>
      <c r="O240" s="566"/>
      <c r="P240" s="566"/>
      <c r="Q240" s="566"/>
      <c r="R240" s="566"/>
      <c r="S240" s="566"/>
      <c r="T240" s="910"/>
      <c r="U240" s="566"/>
      <c r="V240" s="566"/>
      <c r="W240" s="566"/>
      <c r="X240" s="566"/>
      <c r="Y240" s="566"/>
      <c r="Z240" s="566"/>
      <c r="AA240" s="566"/>
      <c r="AB240" s="566"/>
      <c r="AC240" s="566"/>
      <c r="AD240" s="566"/>
      <c r="AE240" s="566"/>
      <c r="AF240" s="566"/>
      <c r="AG240" s="566"/>
      <c r="AH240" s="566"/>
      <c r="AI240" s="566"/>
      <c r="AJ240" s="566"/>
      <c r="AK240" s="566"/>
      <c r="AL240" s="566"/>
      <c r="AM240" s="566"/>
      <c r="AN240" s="566"/>
      <c r="AO240" s="910"/>
      <c r="AP240" s="192"/>
      <c r="AQ240" s="192"/>
      <c r="AR240" s="126"/>
      <c r="AS240" s="830"/>
    </row>
    <row r="241" spans="1:49" ht="17.25" customHeight="1">
      <c r="A241" s="910"/>
      <c r="B241" s="191"/>
      <c r="C241" s="566" t="str">
        <f>AW419</f>
        <v>Operational Staff</v>
      </c>
      <c r="D241" s="566"/>
      <c r="E241" s="566"/>
      <c r="F241" s="566"/>
      <c r="G241" s="566"/>
      <c r="H241" s="566"/>
      <c r="I241" s="566"/>
      <c r="J241" s="613">
        <f>SUMPRODUCT((Timing!$J$15:$AG$15=J$238)*('Human Resources'!$J162:$AG162))</f>
        <v>52199.999999999985</v>
      </c>
      <c r="K241" s="469"/>
      <c r="L241" s="613">
        <f>SUMPRODUCT((Timing!$J$15:$AG$15=L$238)*('Human Resources'!$J162:$AG162))</f>
        <v>163306.66666666672</v>
      </c>
      <c r="M241" s="469"/>
      <c r="N241" s="566"/>
      <c r="O241" s="566"/>
      <c r="P241" s="566"/>
      <c r="Q241" s="566"/>
      <c r="R241" s="566"/>
      <c r="S241" s="566"/>
      <c r="T241" s="910"/>
      <c r="U241" s="566"/>
      <c r="V241" s="566"/>
      <c r="W241" s="566"/>
      <c r="X241" s="566"/>
      <c r="Y241" s="566"/>
      <c r="Z241" s="566"/>
      <c r="AA241" s="566"/>
      <c r="AB241" s="566"/>
      <c r="AC241" s="566"/>
      <c r="AD241" s="566"/>
      <c r="AE241" s="566"/>
      <c r="AF241" s="566"/>
      <c r="AG241" s="566"/>
      <c r="AH241" s="566"/>
      <c r="AI241" s="566"/>
      <c r="AJ241" s="566"/>
      <c r="AK241" s="566"/>
      <c r="AL241" s="566"/>
      <c r="AM241" s="566"/>
      <c r="AN241" s="566"/>
      <c r="AO241" s="910"/>
      <c r="AP241" s="192"/>
      <c r="AQ241" s="192"/>
      <c r="AR241" s="126"/>
      <c r="AS241" s="830"/>
    </row>
    <row r="242" spans="1:49" ht="17.25" customHeight="1">
      <c r="A242" s="910"/>
      <c r="B242" s="191"/>
      <c r="C242" s="566" t="str">
        <f>AW420</f>
        <v>Sales, Marketing &amp; Distribution Staff</v>
      </c>
      <c r="D242" s="566"/>
      <c r="E242" s="566"/>
      <c r="F242" s="566"/>
      <c r="G242" s="566"/>
      <c r="H242" s="566"/>
      <c r="I242" s="566"/>
      <c r="J242" s="613">
        <f>SUMPRODUCT((Timing!$J$15:$AG$15=J$238)*('Human Resources'!$J163:$AG163))</f>
        <v>68650</v>
      </c>
      <c r="K242" s="469"/>
      <c r="L242" s="613">
        <f>SUMPRODUCT((Timing!$J$15:$AG$15=L$238)*('Human Resources'!$J163:$AG163))</f>
        <v>166400</v>
      </c>
      <c r="M242" s="469"/>
      <c r="N242" s="566"/>
      <c r="O242" s="566"/>
      <c r="P242" s="566"/>
      <c r="Q242" s="566"/>
      <c r="R242" s="566"/>
      <c r="S242" s="566"/>
      <c r="T242" s="910"/>
      <c r="U242" s="566"/>
      <c r="V242" s="566"/>
      <c r="W242" s="566"/>
      <c r="X242" s="566"/>
      <c r="Y242" s="566"/>
      <c r="Z242" s="566"/>
      <c r="AA242" s="566"/>
      <c r="AB242" s="566"/>
      <c r="AC242" s="566"/>
      <c r="AD242" s="566"/>
      <c r="AE242" s="566"/>
      <c r="AF242" s="566"/>
      <c r="AG242" s="566"/>
      <c r="AH242" s="566"/>
      <c r="AI242" s="566"/>
      <c r="AJ242" s="566"/>
      <c r="AK242" s="566"/>
      <c r="AL242" s="566"/>
      <c r="AM242" s="566"/>
      <c r="AN242" s="566"/>
      <c r="AO242" s="910"/>
      <c r="AP242" s="192"/>
      <c r="AQ242" s="192"/>
      <c r="AR242" s="126"/>
      <c r="AS242" s="830"/>
    </row>
    <row r="243" spans="1:49" ht="17.25" customHeight="1">
      <c r="A243" s="910"/>
      <c r="B243" s="191"/>
      <c r="C243" s="566" t="str">
        <f>AW421</f>
        <v>Research &amp; Development</v>
      </c>
      <c r="D243" s="566"/>
      <c r="E243" s="566"/>
      <c r="F243" s="566"/>
      <c r="G243" s="566"/>
      <c r="H243" s="566"/>
      <c r="I243" s="566"/>
      <c r="J243" s="613">
        <f>SUMPRODUCT((Timing!$J$15:$AG$15=J$238)*('Human Resources'!$J164:$AG164))</f>
        <v>21400</v>
      </c>
      <c r="K243" s="469"/>
      <c r="L243" s="613">
        <f>SUMPRODUCT((Timing!$J$15:$AG$15=L$238)*('Human Resources'!$J164:$AG164))</f>
        <v>62289</v>
      </c>
      <c r="M243" s="469"/>
      <c r="N243" s="566"/>
      <c r="O243" s="566"/>
      <c r="P243" s="566"/>
      <c r="Q243" s="566"/>
      <c r="R243" s="566"/>
      <c r="S243" s="566"/>
      <c r="T243" s="910"/>
      <c r="U243" s="566"/>
      <c r="V243" s="566"/>
      <c r="W243" s="566"/>
      <c r="X243" s="566"/>
      <c r="Y243" s="566"/>
      <c r="Z243" s="566"/>
      <c r="AA243" s="566"/>
      <c r="AB243" s="566"/>
      <c r="AC243" s="566"/>
      <c r="AD243" s="566"/>
      <c r="AE243" s="566"/>
      <c r="AF243" s="566"/>
      <c r="AG243" s="566"/>
      <c r="AH243" s="566"/>
      <c r="AI243" s="566"/>
      <c r="AJ243" s="566"/>
      <c r="AK243" s="566"/>
      <c r="AL243" s="566"/>
      <c r="AM243" s="566"/>
      <c r="AN243" s="566"/>
      <c r="AO243" s="910"/>
      <c r="AP243" s="192"/>
      <c r="AQ243" s="192"/>
      <c r="AR243" s="126"/>
      <c r="AS243" s="830"/>
    </row>
    <row r="244" spans="1:49" ht="17.25" customHeight="1">
      <c r="A244" s="910"/>
      <c r="B244" s="191"/>
      <c r="C244" s="620" t="s">
        <v>755</v>
      </c>
      <c r="D244" s="621"/>
      <c r="E244" s="621"/>
      <c r="F244" s="621"/>
      <c r="G244" s="621"/>
      <c r="H244" s="621"/>
      <c r="I244" s="621"/>
      <c r="J244" s="622">
        <f>SUM(J239:J243)</f>
        <v>251566.66666666669</v>
      </c>
      <c r="K244" s="623"/>
      <c r="L244" s="622">
        <f>SUM(L239:L243)</f>
        <v>631618.58333333337</v>
      </c>
      <c r="M244" s="623"/>
      <c r="N244" s="566"/>
      <c r="O244" s="566"/>
      <c r="P244" s="566"/>
      <c r="Q244" s="566"/>
      <c r="R244" s="566"/>
      <c r="S244" s="566"/>
      <c r="T244" s="910"/>
      <c r="U244" s="566"/>
      <c r="V244" s="566"/>
      <c r="W244" s="566"/>
      <c r="X244" s="566"/>
      <c r="Y244" s="566"/>
      <c r="Z244" s="566"/>
      <c r="AA244" s="566"/>
      <c r="AB244" s="566"/>
      <c r="AC244" s="566"/>
      <c r="AD244" s="566"/>
      <c r="AE244" s="566"/>
      <c r="AF244" s="566"/>
      <c r="AG244" s="566"/>
      <c r="AH244" s="566"/>
      <c r="AI244" s="566"/>
      <c r="AJ244" s="566"/>
      <c r="AK244" s="566"/>
      <c r="AL244" s="566"/>
      <c r="AM244" s="566"/>
      <c r="AN244" s="566"/>
      <c r="AO244" s="910"/>
      <c r="AP244" s="192"/>
      <c r="AQ244" s="192"/>
      <c r="AR244" s="126"/>
      <c r="AS244" s="830"/>
    </row>
    <row r="245" spans="1:49" ht="17.25" customHeight="1">
      <c r="A245" s="910"/>
      <c r="B245" s="191"/>
      <c r="C245" s="566"/>
      <c r="D245" s="566"/>
      <c r="E245" s="566"/>
      <c r="F245" s="566"/>
      <c r="G245" s="566"/>
      <c r="H245" s="566"/>
      <c r="I245" s="566"/>
      <c r="J245" s="566"/>
      <c r="K245" s="566"/>
      <c r="L245" s="566"/>
      <c r="M245" s="566"/>
      <c r="N245" s="566"/>
      <c r="O245" s="566"/>
      <c r="P245" s="566"/>
      <c r="Q245" s="566"/>
      <c r="R245" s="566"/>
      <c r="S245" s="566"/>
      <c r="T245" s="910"/>
      <c r="U245" s="566"/>
      <c r="V245" s="566"/>
      <c r="W245" s="566"/>
      <c r="X245" s="566"/>
      <c r="Y245" s="566"/>
      <c r="Z245" s="566"/>
      <c r="AA245" s="566"/>
      <c r="AB245" s="566"/>
      <c r="AC245" s="566"/>
      <c r="AD245" s="566"/>
      <c r="AE245" s="566"/>
      <c r="AF245" s="566"/>
      <c r="AG245" s="566"/>
      <c r="AH245" s="566"/>
      <c r="AI245" s="566"/>
      <c r="AJ245" s="566"/>
      <c r="AK245" s="566"/>
      <c r="AL245" s="566"/>
      <c r="AM245" s="566"/>
      <c r="AN245" s="566"/>
      <c r="AO245" s="910"/>
      <c r="AP245" s="192"/>
      <c r="AQ245" s="192"/>
      <c r="AR245" s="126"/>
      <c r="AS245" s="830"/>
    </row>
    <row r="246" spans="1:49" ht="17.25" customHeight="1">
      <c r="A246" s="910"/>
      <c r="B246" s="191"/>
      <c r="C246" s="566"/>
      <c r="D246" s="566"/>
      <c r="E246" s="566"/>
      <c r="F246" s="566"/>
      <c r="G246" s="566"/>
      <c r="H246" s="566"/>
      <c r="I246" s="566"/>
      <c r="J246" s="566"/>
      <c r="K246" s="566"/>
      <c r="L246" s="566"/>
      <c r="M246" s="566"/>
      <c r="N246" s="566"/>
      <c r="O246" s="566"/>
      <c r="P246" s="566"/>
      <c r="Q246" s="566"/>
      <c r="R246" s="566"/>
      <c r="S246" s="566"/>
      <c r="T246" s="910"/>
      <c r="U246" s="566"/>
      <c r="V246" s="566"/>
      <c r="W246" s="566"/>
      <c r="X246" s="566"/>
      <c r="Y246" s="566"/>
      <c r="Z246" s="566"/>
      <c r="AA246" s="566"/>
      <c r="AB246" s="566"/>
      <c r="AC246" s="566"/>
      <c r="AD246" s="566"/>
      <c r="AE246" s="566"/>
      <c r="AF246" s="566"/>
      <c r="AG246" s="566"/>
      <c r="AH246" s="566"/>
      <c r="AI246" s="566"/>
      <c r="AJ246" s="566"/>
      <c r="AK246" s="566"/>
      <c r="AL246" s="566"/>
      <c r="AM246" s="566"/>
      <c r="AN246" s="566"/>
      <c r="AO246" s="910"/>
      <c r="AP246" s="192"/>
      <c r="AQ246" s="192"/>
      <c r="AR246" s="126"/>
      <c r="AS246" s="830"/>
    </row>
    <row r="247" spans="1:49" ht="17.25" customHeight="1">
      <c r="A247" s="910"/>
      <c r="B247" s="191"/>
      <c r="C247" s="191"/>
      <c r="D247" s="191"/>
      <c r="E247" s="191"/>
      <c r="F247" s="191"/>
      <c r="G247" s="191"/>
      <c r="H247" s="191"/>
      <c r="I247" s="191"/>
      <c r="J247" s="191"/>
      <c r="K247" s="191"/>
      <c r="L247" s="191"/>
      <c r="M247" s="191"/>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192"/>
      <c r="AQ247" s="192"/>
      <c r="AR247" s="126"/>
      <c r="AS247" s="830"/>
    </row>
    <row r="248" spans="1:49" ht="17.25" customHeight="1">
      <c r="A248" s="910"/>
      <c r="B248" s="567"/>
      <c r="C248" s="567"/>
      <c r="D248" s="567"/>
      <c r="E248" s="567"/>
      <c r="F248" s="567"/>
      <c r="G248" s="567"/>
      <c r="H248" s="567"/>
      <c r="I248" s="567"/>
      <c r="J248" s="567"/>
      <c r="K248" s="567"/>
      <c r="L248" s="567"/>
      <c r="M248" s="567"/>
      <c r="N248" s="567"/>
      <c r="O248" s="567"/>
      <c r="P248" s="567"/>
      <c r="Q248" s="567"/>
      <c r="R248" s="567"/>
      <c r="S248" s="567"/>
      <c r="T248" s="567"/>
      <c r="U248" s="567"/>
      <c r="V248" s="567"/>
      <c r="W248" s="567"/>
      <c r="X248" s="567"/>
      <c r="Y248" s="567"/>
      <c r="Z248" s="567"/>
      <c r="AA248" s="567"/>
      <c r="AB248" s="567"/>
      <c r="AC248" s="567"/>
      <c r="AD248" s="567"/>
      <c r="AE248" s="567"/>
      <c r="AF248" s="567"/>
      <c r="AG248" s="567"/>
      <c r="AH248" s="567"/>
      <c r="AI248" s="567"/>
      <c r="AJ248" s="567"/>
      <c r="AK248" s="567"/>
      <c r="AL248" s="567"/>
      <c r="AM248" s="567"/>
      <c r="AN248" s="567"/>
      <c r="AO248" s="567"/>
      <c r="AP248" s="566"/>
      <c r="AQ248" s="566"/>
      <c r="AR248" s="126"/>
      <c r="AS248" s="830"/>
    </row>
    <row r="249" spans="1:49" ht="10.5" customHeight="1">
      <c r="A249" s="910"/>
      <c r="B249" s="567"/>
      <c r="C249" s="194"/>
      <c r="D249" s="562"/>
      <c r="E249" s="562"/>
      <c r="F249" s="562"/>
      <c r="G249" s="562"/>
      <c r="H249" s="562"/>
      <c r="I249" s="562"/>
      <c r="J249" s="562"/>
      <c r="K249" s="562"/>
      <c r="Y249" s="562"/>
      <c r="Z249" s="562"/>
      <c r="AA249" s="567"/>
      <c r="AB249" s="458"/>
      <c r="AC249" s="458"/>
      <c r="AD249" s="458"/>
      <c r="AE249" s="458"/>
      <c r="AF249" s="458"/>
      <c r="AG249" s="458"/>
      <c r="AH249" s="458"/>
      <c r="AI249" s="458"/>
      <c r="AJ249" s="458"/>
      <c r="AK249" s="458"/>
      <c r="AL249" s="458"/>
      <c r="AM249" s="458"/>
      <c r="AN249" s="458"/>
      <c r="AO249" s="191"/>
      <c r="AP249" s="192"/>
      <c r="AQ249" s="192"/>
      <c r="AR249" s="126"/>
    </row>
    <row r="250" spans="1:49" s="830" customFormat="1" ht="21.75" customHeight="1">
      <c r="A250" s="910"/>
      <c r="B250" s="567"/>
      <c r="C250" s="194" t="s">
        <v>701</v>
      </c>
      <c r="D250" s="767"/>
      <c r="E250" s="767"/>
      <c r="F250" s="767"/>
      <c r="G250" s="767"/>
      <c r="H250" s="767"/>
      <c r="I250" s="767"/>
      <c r="J250" s="767"/>
      <c r="K250" s="767"/>
      <c r="Y250" s="767"/>
      <c r="Z250" s="767"/>
      <c r="AA250" s="567"/>
      <c r="AB250" s="194" t="s">
        <v>833</v>
      </c>
      <c r="AC250" s="767"/>
      <c r="AD250" s="767"/>
      <c r="AE250" s="767"/>
      <c r="AF250" s="767"/>
      <c r="AG250" s="767"/>
      <c r="AH250" s="767"/>
      <c r="AI250" s="767"/>
      <c r="AJ250" s="767"/>
      <c r="AK250" s="767"/>
      <c r="AL250" s="767"/>
      <c r="AM250" s="767"/>
      <c r="AN250" s="767"/>
      <c r="AO250" s="567"/>
      <c r="AP250" s="566"/>
      <c r="AQ250" s="566"/>
      <c r="AR250" s="831"/>
    </row>
    <row r="251" spans="1:49" ht="6" customHeight="1">
      <c r="A251" s="910"/>
      <c r="B251" s="567"/>
      <c r="C251" s="194"/>
      <c r="D251" s="562"/>
      <c r="E251" s="562"/>
      <c r="F251" s="562"/>
      <c r="G251" s="562"/>
      <c r="H251" s="562"/>
      <c r="I251" s="562"/>
      <c r="J251" s="562"/>
      <c r="K251" s="562"/>
      <c r="L251" s="633">
        <f>IF('Summary 02'!$V$8&lt;=Enddatum,1,0)</f>
        <v>1</v>
      </c>
      <c r="M251" s="633"/>
      <c r="N251" s="633"/>
      <c r="O251" s="633">
        <f>IF('Summary 02'!$AA$8&lt;=Enddatum,1,0)</f>
        <v>1</v>
      </c>
      <c r="P251" s="633"/>
      <c r="Q251" s="633"/>
      <c r="R251" s="633"/>
      <c r="S251" s="633"/>
      <c r="T251" s="633"/>
      <c r="U251" s="633"/>
      <c r="V251" s="633"/>
      <c r="W251" s="633"/>
      <c r="X251" s="633"/>
      <c r="Y251" s="633"/>
      <c r="Z251" s="633"/>
      <c r="AA251" s="567"/>
      <c r="AB251" s="194"/>
      <c r="AC251" s="458"/>
      <c r="AD251" s="458"/>
      <c r="AE251" s="458"/>
      <c r="AF251" s="458"/>
      <c r="AG251" s="458"/>
      <c r="AH251" s="458"/>
      <c r="AI251" s="458"/>
      <c r="AJ251" s="458"/>
      <c r="AK251" s="458"/>
      <c r="AL251" s="458"/>
      <c r="AM251" s="458"/>
      <c r="AN251" s="458"/>
      <c r="AO251" s="191"/>
      <c r="AP251" s="192"/>
      <c r="AQ251" s="192"/>
      <c r="AR251" s="126"/>
    </row>
    <row r="252" spans="1:49" ht="17.25" customHeight="1">
      <c r="A252" s="910"/>
      <c r="B252" s="567"/>
      <c r="C252" s="195" t="str">
        <f>"   (all currency in " &amp;Currency_Label &amp;")"</f>
        <v xml:space="preserve">   (all currency in USD)</v>
      </c>
      <c r="D252" s="562"/>
      <c r="E252" s="562"/>
      <c r="F252" s="562"/>
      <c r="H252" s="562"/>
      <c r="I252" s="562"/>
      <c r="J252" s="562"/>
      <c r="K252" s="562"/>
      <c r="L252" s="614" t="str">
        <f>'Summary 02'!$V$5</f>
        <v>FY 2018</v>
      </c>
      <c r="M252" s="614"/>
      <c r="N252" s="614"/>
      <c r="O252" s="614" t="str">
        <f>'Summary 02'!$AA$5</f>
        <v>FY 2019</v>
      </c>
      <c r="P252" s="614"/>
      <c r="Q252" s="614"/>
      <c r="R252" s="365" t="s">
        <v>944</v>
      </c>
      <c r="S252" s="614"/>
      <c r="T252" s="614"/>
      <c r="U252" s="614"/>
      <c r="V252" s="614"/>
      <c r="W252" s="614"/>
      <c r="X252" s="614"/>
      <c r="Y252" s="614"/>
      <c r="Z252" s="614"/>
      <c r="AA252" s="567"/>
      <c r="AB252" s="192" t="str">
        <f>"   (in " &amp;Currency_Label &amp;")"</f>
        <v xml:space="preserve">   (in USD)</v>
      </c>
      <c r="AC252" s="458"/>
      <c r="AD252" s="458"/>
      <c r="AE252" s="1019"/>
      <c r="AF252" s="1019" t="str">
        <f>"(commencing in "&amp;TRIM(Timing!$I$31)&amp;" "&amp;FIXED(Timing!$I$32,0,1)&amp;")"</f>
        <v>(commencing in Mar 2019)</v>
      </c>
      <c r="AG252" s="895"/>
      <c r="AH252" s="895"/>
      <c r="AI252" s="973"/>
      <c r="AJ252" s="895"/>
      <c r="AK252" s="458"/>
      <c r="AL252" s="458"/>
      <c r="AM252" s="458"/>
      <c r="AN252" s="458"/>
      <c r="AO252" s="191"/>
      <c r="AP252" s="192"/>
      <c r="AQ252" s="566"/>
      <c r="AR252" s="831"/>
      <c r="AS252" s="911"/>
      <c r="AT252" s="911"/>
      <c r="AU252" s="911"/>
      <c r="AV252" s="911"/>
      <c r="AW252" s="911"/>
    </row>
    <row r="253" spans="1:49" ht="17.25" customHeight="1">
      <c r="A253" s="910"/>
      <c r="B253" s="567"/>
      <c r="C253" s="195" t="str">
        <f>"   (last month in fiscal year: " &amp;Inputs!$I$20&amp;")"</f>
        <v xml:space="preserve">   (last month in fiscal year: NOV)</v>
      </c>
      <c r="D253" s="195"/>
      <c r="E253" s="562"/>
      <c r="F253" s="562"/>
      <c r="G253" s="974"/>
      <c r="H253" s="562"/>
      <c r="I253" s="562"/>
      <c r="J253" s="562"/>
      <c r="K253" s="979">
        <f>IF(Inputs!$I$22=1,"",IF(MONTH(Startdatum)=1,"",Startdatum))</f>
        <v>43525</v>
      </c>
      <c r="L253" s="978"/>
      <c r="M253" s="977"/>
      <c r="N253" s="978"/>
      <c r="O253" s="205"/>
      <c r="P253" s="475"/>
      <c r="Q253" s="206"/>
      <c r="R253" s="910"/>
      <c r="S253" s="910"/>
      <c r="T253" s="910"/>
      <c r="U253" s="910"/>
      <c r="V253" s="910"/>
      <c r="W253" s="910"/>
      <c r="X253" s="910"/>
      <c r="Y253" s="910"/>
      <c r="Z253" s="910"/>
      <c r="AA253" s="567"/>
      <c r="AB253" s="458"/>
      <c r="AC253" s="458"/>
      <c r="AD253" s="458"/>
      <c r="AE253" s="458"/>
      <c r="AF253" s="458"/>
      <c r="AG253" s="458"/>
      <c r="AH253" s="458"/>
      <c r="AI253" s="458"/>
      <c r="AJ253" s="458"/>
      <c r="AK253" s="458"/>
      <c r="AL253" s="458"/>
      <c r="AM253" s="458"/>
      <c r="AN253" s="458"/>
      <c r="AO253" s="191"/>
      <c r="AP253" s="192"/>
      <c r="AQ253" s="192"/>
      <c r="AR253" s="126"/>
    </row>
    <row r="254" spans="1:49" ht="17.25" customHeight="1">
      <c r="A254" s="910"/>
      <c r="B254" s="567"/>
      <c r="C254" s="199" t="s">
        <v>709</v>
      </c>
      <c r="D254" s="567"/>
      <c r="E254" s="567"/>
      <c r="F254" s="567"/>
      <c r="G254" s="567"/>
      <c r="H254" s="567"/>
      <c r="I254" s="567"/>
      <c r="J254" s="567"/>
      <c r="K254" s="567"/>
      <c r="L254" s="897">
        <v>1</v>
      </c>
      <c r="M254" s="601"/>
      <c r="N254" s="603"/>
      <c r="O254" s="897">
        <v>2</v>
      </c>
      <c r="P254" s="615"/>
      <c r="Q254" s="603"/>
      <c r="R254" s="910"/>
      <c r="S254" s="910"/>
      <c r="T254" s="910"/>
      <c r="U254" s="910"/>
      <c r="V254" s="910"/>
      <c r="W254" s="910"/>
      <c r="X254" s="910"/>
      <c r="Y254" s="910"/>
      <c r="Z254" s="910"/>
      <c r="AA254" s="567"/>
      <c r="AB254" s="458"/>
      <c r="AC254" s="458"/>
      <c r="AD254" s="458"/>
      <c r="AE254" s="458"/>
      <c r="AF254" s="458"/>
      <c r="AG254" s="458"/>
      <c r="AH254" s="458"/>
      <c r="AI254" s="458"/>
      <c r="AJ254" s="458"/>
      <c r="AK254" s="458"/>
      <c r="AL254" s="458"/>
      <c r="AM254" s="458"/>
      <c r="AN254" s="458"/>
      <c r="AO254" s="191"/>
      <c r="AP254" s="192"/>
      <c r="AQ254" s="192"/>
      <c r="AR254" s="126"/>
    </row>
    <row r="255" spans="1:49" ht="17.25" customHeight="1">
      <c r="A255" s="910"/>
      <c r="B255" s="567"/>
      <c r="C255" s="574" t="s">
        <v>734</v>
      </c>
      <c r="D255" s="562"/>
      <c r="E255" s="562"/>
      <c r="F255" s="562"/>
      <c r="G255" s="562"/>
      <c r="H255" s="562"/>
      <c r="I255" s="562"/>
      <c r="J255" s="562"/>
      <c r="K255" s="562"/>
      <c r="L255" s="582">
        <f ca="1">'Summary 02'!V48</f>
        <v>207348.87090912097</v>
      </c>
      <c r="M255" s="583"/>
      <c r="N255" s="583"/>
      <c r="O255" s="604">
        <f ca="1">'Summary 02'!AA48</f>
        <v>252807.30486505901</v>
      </c>
      <c r="P255" s="616"/>
      <c r="Q255" s="605"/>
      <c r="R255" s="910"/>
      <c r="S255" s="910"/>
      <c r="T255" s="910"/>
      <c r="U255" s="910"/>
      <c r="V255" s="910"/>
      <c r="W255" s="910"/>
      <c r="X255" s="910"/>
      <c r="Y255" s="910"/>
      <c r="Z255" s="910"/>
      <c r="AA255" s="567"/>
      <c r="AB255" s="458"/>
      <c r="AC255" s="458"/>
      <c r="AD255" s="458"/>
      <c r="AE255" s="458"/>
      <c r="AF255" s="458"/>
      <c r="AG255" s="458"/>
      <c r="AH255" s="458"/>
      <c r="AI255" s="458"/>
      <c r="AJ255" s="458"/>
      <c r="AK255" s="458"/>
      <c r="AL255" s="458"/>
      <c r="AM255" s="458"/>
      <c r="AN255" s="458"/>
      <c r="AO255" s="191"/>
      <c r="AP255" s="192"/>
      <c r="AQ255" s="192"/>
      <c r="AR255" s="126"/>
    </row>
    <row r="256" spans="1:49" ht="17.25" customHeight="1">
      <c r="A256" s="910"/>
      <c r="B256" s="567"/>
      <c r="C256" s="466" t="str">
        <f>CHOOSE(language,"Depreciation &amp; Amortisation","Depreciation &amp; Amortization")</f>
        <v>Depreciation &amp; Amortization</v>
      </c>
      <c r="D256" s="562"/>
      <c r="E256" s="562"/>
      <c r="F256" s="562"/>
      <c r="G256" s="562"/>
      <c r="H256" s="562"/>
      <c r="I256" s="577"/>
      <c r="J256" s="577"/>
      <c r="K256" s="562"/>
      <c r="L256" s="582">
        <f>'Summary 02'!V40</f>
        <v>80330.555555555533</v>
      </c>
      <c r="M256" s="583"/>
      <c r="N256" s="583"/>
      <c r="O256" s="604">
        <f>'Summary 02'!AA40</f>
        <v>131936.11111111112</v>
      </c>
      <c r="P256" s="616"/>
      <c r="Q256" s="605"/>
      <c r="R256" s="910"/>
      <c r="S256" s="910"/>
      <c r="T256" s="910"/>
      <c r="U256" s="910"/>
      <c r="V256" s="910"/>
      <c r="W256" s="910"/>
      <c r="X256" s="910"/>
      <c r="Y256" s="910"/>
      <c r="Z256" s="910"/>
      <c r="AA256" s="567"/>
      <c r="AB256" s="458"/>
      <c r="AC256" s="458"/>
      <c r="AD256" s="458"/>
      <c r="AE256" s="458"/>
      <c r="AF256" s="458"/>
      <c r="AG256" s="458"/>
      <c r="AH256" s="458"/>
      <c r="AI256" s="458"/>
      <c r="AJ256" s="458"/>
      <c r="AK256" s="458"/>
      <c r="AL256" s="458"/>
      <c r="AM256" s="458"/>
      <c r="AN256" s="458"/>
      <c r="AO256" s="191"/>
      <c r="AP256" s="192"/>
      <c r="AQ256" s="192"/>
      <c r="AR256" s="126"/>
    </row>
    <row r="257" spans="1:44" ht="17.25" customHeight="1">
      <c r="A257" s="910"/>
      <c r="B257" s="567"/>
      <c r="C257" s="566" t="s">
        <v>702</v>
      </c>
      <c r="D257" s="566"/>
      <c r="E257" s="566"/>
      <c r="F257" s="566"/>
      <c r="G257" s="566"/>
      <c r="H257" s="566"/>
      <c r="I257" s="566"/>
      <c r="J257" s="566"/>
      <c r="K257" s="566"/>
      <c r="L257" s="626">
        <f ca="1">SUM(L258:L263)</f>
        <v>1323.2684642295062</v>
      </c>
      <c r="M257" s="627"/>
      <c r="N257" s="627"/>
      <c r="O257" s="628">
        <f ca="1">SUM(O258:O263)</f>
        <v>-181.41595708363457</v>
      </c>
      <c r="P257" s="629"/>
      <c r="Q257" s="630"/>
      <c r="R257" s="910"/>
      <c r="S257" s="910"/>
      <c r="T257" s="910"/>
      <c r="U257" s="910"/>
      <c r="V257" s="910"/>
      <c r="W257" s="910"/>
      <c r="X257" s="910"/>
      <c r="Y257" s="910"/>
      <c r="Z257" s="910"/>
      <c r="AA257" s="567"/>
      <c r="AB257" s="458"/>
      <c r="AC257" s="458"/>
      <c r="AD257" s="458"/>
      <c r="AE257" s="458"/>
      <c r="AF257" s="458"/>
      <c r="AG257" s="458"/>
      <c r="AH257" s="458"/>
      <c r="AI257" s="458"/>
      <c r="AJ257" s="458"/>
      <c r="AK257" s="458"/>
      <c r="AL257" s="458"/>
      <c r="AM257" s="458"/>
      <c r="AN257" s="458"/>
      <c r="AO257" s="191"/>
      <c r="AP257" s="192"/>
      <c r="AQ257" s="192"/>
      <c r="AR257" s="126"/>
    </row>
    <row r="258" spans="1:44" ht="17.25" customHeight="1" outlineLevel="1">
      <c r="A258" s="910"/>
      <c r="B258" s="567"/>
      <c r="C258" s="566" t="str">
        <f>CHOOSE(language,"    Change in trade debtors","    Change in accounts receivables")</f>
        <v xml:space="preserve">    Change in accounts receivables</v>
      </c>
      <c r="D258" s="566"/>
      <c r="E258" s="566"/>
      <c r="F258" s="566"/>
      <c r="G258" s="566"/>
      <c r="H258" s="566"/>
      <c r="I258" s="566"/>
      <c r="J258" s="566"/>
      <c r="K258" s="566"/>
      <c r="L258" s="610">
        <f>(-(SUMIF(Timing!$J$15:$AG$15,L$254,'Debtors+Creditors'!$J30:$AG30)+SUMIF(Timing!$J$15:$AG$15,L$254,'Debtors+Creditors'!$J31:$AG31))+(SUMIF(Timing!$J$15:$AG$15,L$254,'Debtors+Creditors'!$J95:$AG95)+SUMIF(Timing!$J$15:$AG$15,L$254,'Debtors+Creditors'!$J96:$AG96)))*L$251</f>
        <v>-21954.530000000028</v>
      </c>
      <c r="M258" s="583"/>
      <c r="N258" s="583"/>
      <c r="O258" s="604">
        <f>(-(SUMIF(Timing!$J$15:$AG$15,O$254,'Debtors+Creditors'!$J30:$AG30)+SUMIF(Timing!$J$15:$AG$15,O$254,'Debtors+Creditors'!$J31:$AG31))+(SUMIF(Timing!$J$15:$AG$15,O$254,'Debtors+Creditors'!$J95:$AG95)+SUMIF(Timing!$J$15:$AG$15,O$254,'Debtors+Creditors'!$J96:$AG96)))*O$251</f>
        <v>-4517.8449999997392</v>
      </c>
      <c r="P258" s="616"/>
      <c r="Q258" s="605"/>
      <c r="R258" s="910"/>
      <c r="S258" s="910"/>
      <c r="T258" s="910"/>
      <c r="U258" s="910"/>
      <c r="V258" s="910"/>
      <c r="W258" s="910"/>
      <c r="X258" s="910"/>
      <c r="Y258" s="910"/>
      <c r="Z258" s="910"/>
      <c r="AA258" s="567"/>
      <c r="AB258" s="574"/>
      <c r="AC258" s="574"/>
      <c r="AD258" s="574"/>
      <c r="AE258" s="574"/>
      <c r="AF258" s="574"/>
      <c r="AG258" s="574"/>
      <c r="AH258" s="574"/>
      <c r="AI258" s="574"/>
      <c r="AJ258" s="574"/>
      <c r="AK258" s="574"/>
      <c r="AL258" s="574"/>
      <c r="AM258" s="574"/>
      <c r="AN258" s="574"/>
      <c r="AO258" s="567"/>
      <c r="AP258" s="566"/>
      <c r="AQ258" s="566"/>
      <c r="AR258" s="126"/>
    </row>
    <row r="259" spans="1:44" ht="17.25" customHeight="1" outlineLevel="1">
      <c r="A259" s="910"/>
      <c r="B259" s="567"/>
      <c r="C259" s="566" t="str">
        <f>CHOOSE(language,"    Change in trade creditors","    Change in accounts payables")</f>
        <v xml:space="preserve">    Change in accounts payables</v>
      </c>
      <c r="D259" s="566"/>
      <c r="E259" s="566"/>
      <c r="F259" s="566"/>
      <c r="G259" s="566"/>
      <c r="H259" s="566"/>
      <c r="I259" s="566"/>
      <c r="J259" s="566"/>
      <c r="K259" s="566"/>
      <c r="L259" s="610">
        <f>(SUMIF(Timing!$J$15:$AG$15,L$254,'Debtors+Creditors'!$J72:$AG72)+SUMIF(Timing!$J$15:$AG$15,L$254,'Debtors+Creditors'!$J73:$AG73))*L$251</f>
        <v>29126.227123103919</v>
      </c>
      <c r="M259" s="583"/>
      <c r="N259" s="583"/>
      <c r="O259" s="604">
        <f>(SUMIF(Timing!$J$15:$AG$15,O$254,'Debtors+Creditors'!$J72:$AG72)+SUMIF(Timing!$J$15:$AG$15,O$254,'Debtors+Creditors'!$J73:$AG73))*O$251</f>
        <v>5863.9623760521645</v>
      </c>
      <c r="P259" s="616"/>
      <c r="Q259" s="605"/>
      <c r="R259" s="910"/>
      <c r="S259" s="910"/>
      <c r="T259" s="910"/>
      <c r="U259" s="910"/>
      <c r="V259" s="910"/>
      <c r="W259" s="910"/>
      <c r="X259" s="910"/>
      <c r="Y259" s="910"/>
      <c r="Z259" s="910"/>
      <c r="AA259" s="567"/>
      <c r="AB259" s="574"/>
      <c r="AC259" s="574"/>
      <c r="AD259" s="574"/>
      <c r="AE259" s="574"/>
      <c r="AF259" s="574"/>
      <c r="AG259" s="574"/>
      <c r="AH259" s="574"/>
      <c r="AI259" s="574"/>
      <c r="AJ259" s="574"/>
      <c r="AK259" s="574"/>
      <c r="AL259" s="574"/>
      <c r="AM259" s="574"/>
      <c r="AN259" s="574"/>
      <c r="AO259" s="567"/>
      <c r="AP259" s="566"/>
      <c r="AQ259" s="566"/>
      <c r="AR259" s="126"/>
    </row>
    <row r="260" spans="1:44" s="830" customFormat="1" ht="17.25" customHeight="1" outlineLevel="1">
      <c r="A260" s="910"/>
      <c r="B260" s="567"/>
      <c r="C260" s="566" t="s">
        <v>703</v>
      </c>
      <c r="D260" s="566"/>
      <c r="E260" s="566"/>
      <c r="F260" s="566"/>
      <c r="G260" s="566"/>
      <c r="H260" s="566"/>
      <c r="I260" s="566"/>
      <c r="J260" s="566"/>
      <c r="K260" s="566"/>
      <c r="L260" s="610">
        <f ca="1">(SUMIF(Timing!$J$15:$AG$15,L$254,'Debtors+Creditors'!$J121:$AG121)+SUMIF(Timing!$J$15:$AG$15,L$254,'Debtors+Creditors'!$J122:$AG122)+SUMIF(Timing!$J$15:$AG$15,L$254,'Debtors+Creditors'!$J177:$AG177)+SUMIF(Timing!$J$15:$AG$15,L$254,'Debtors+Creditors'!$J178:$AG178))*L$251</f>
        <v>4996.5713411256147</v>
      </c>
      <c r="M260" s="583"/>
      <c r="N260" s="583"/>
      <c r="O260" s="604">
        <f ca="1">(SUMIF(Timing!$J$15:$AG$15,O$254,'Debtors+Creditors'!$J121:$AG121)+SUMIF(Timing!$J$15:$AG$15,O$254,'Debtors+Creditors'!$J122:$AG122)+SUMIF(Timing!$J$15:$AG$15,O$254,'Debtors+Creditors'!$J177:$AG177)+SUMIF(Timing!$J$15:$AG$15,O$254,'Debtors+Creditors'!$J178:$AG178))*O$251</f>
        <v>867.46666686394019</v>
      </c>
      <c r="P260" s="616"/>
      <c r="Q260" s="605"/>
      <c r="R260" s="910"/>
      <c r="S260" s="910"/>
      <c r="T260" s="910"/>
      <c r="U260" s="910"/>
      <c r="V260" s="910"/>
      <c r="W260" s="910"/>
      <c r="X260" s="910"/>
      <c r="Y260" s="910"/>
      <c r="Z260" s="910"/>
      <c r="AA260" s="567"/>
      <c r="AB260" s="767"/>
      <c r="AC260" s="767"/>
      <c r="AD260" s="767"/>
      <c r="AE260" s="767"/>
      <c r="AF260" s="767"/>
      <c r="AG260" s="767"/>
      <c r="AH260" s="767"/>
      <c r="AI260" s="767"/>
      <c r="AJ260" s="767"/>
      <c r="AK260" s="767"/>
      <c r="AL260" s="767"/>
      <c r="AM260" s="767"/>
      <c r="AN260" s="767"/>
      <c r="AO260" s="567"/>
      <c r="AP260" s="566"/>
      <c r="AQ260" s="566"/>
      <c r="AR260" s="831"/>
    </row>
    <row r="261" spans="1:44" ht="17.25" customHeight="1" outlineLevel="1">
      <c r="A261" s="910"/>
      <c r="B261" s="567"/>
      <c r="C261" s="566" t="s">
        <v>704</v>
      </c>
      <c r="D261" s="566"/>
      <c r="E261" s="566"/>
      <c r="F261" s="566"/>
      <c r="G261" s="566"/>
      <c r="H261" s="566"/>
      <c r="I261" s="566"/>
      <c r="J261" s="566"/>
      <c r="K261" s="566"/>
      <c r="L261" s="610">
        <f>(SUMIF(Timing!$J$15:$AG$15,L$254,Inputs!$J315:$AG315)+SUMIF(Timing!$J$15:$AG$15,L$254,Inputs!$J316:$AG316))*L$251</f>
        <v>5000</v>
      </c>
      <c r="M261" s="583"/>
      <c r="N261" s="583"/>
      <c r="O261" s="604">
        <f>(SUMIF(Timing!$J$15:$AG$15,O$254,Inputs!$J315:$AG315)+SUMIF(Timing!$J$15:$AG$15,O$254,Inputs!$J316:$AG316))*O$251</f>
        <v>-5000</v>
      </c>
      <c r="P261" s="616"/>
      <c r="Q261" s="605"/>
      <c r="R261" s="910"/>
      <c r="S261" s="910"/>
      <c r="T261" s="910"/>
      <c r="U261" s="910"/>
      <c r="V261" s="910"/>
      <c r="W261" s="910"/>
      <c r="X261" s="910"/>
      <c r="Y261" s="910"/>
      <c r="Z261" s="910"/>
      <c r="AA261" s="567"/>
      <c r="AB261" s="574"/>
      <c r="AC261" s="574"/>
      <c r="AD261" s="574"/>
      <c r="AE261" s="574"/>
      <c r="AF261" s="574"/>
      <c r="AG261" s="574"/>
      <c r="AH261" s="574"/>
      <c r="AI261" s="574"/>
      <c r="AJ261" s="574"/>
      <c r="AK261" s="574"/>
      <c r="AL261" s="574"/>
      <c r="AM261" s="574"/>
      <c r="AN261" s="574"/>
      <c r="AO261" s="567"/>
      <c r="AP261" s="566"/>
      <c r="AQ261" s="566"/>
      <c r="AR261" s="126"/>
    </row>
    <row r="262" spans="1:44" ht="17.25" customHeight="1" outlineLevel="1">
      <c r="A262" s="910"/>
      <c r="B262" s="567"/>
      <c r="C262" s="566" t="s">
        <v>705</v>
      </c>
      <c r="D262" s="566"/>
      <c r="E262" s="566"/>
      <c r="F262" s="566"/>
      <c r="G262" s="566"/>
      <c r="H262" s="566"/>
      <c r="I262" s="566"/>
      <c r="J262" s="566"/>
      <c r="K262" s="566"/>
      <c r="L262" s="610">
        <f>-(SUMIF(Timing!$J$15:$AG$15,L$254,Inputs!$J321:$AG321)+SUMIF(Timing!$J$15:$AG$15,L$254,Inputs!$J322:$AG322))*L$251</f>
        <v>-10000</v>
      </c>
      <c r="M262" s="583"/>
      <c r="N262" s="583"/>
      <c r="O262" s="604">
        <f>-(SUMIF(Timing!$J$15:$AG$15,O$254,Inputs!$J321:$AG321)+SUMIF(Timing!$J$15:$AG$15,O$254,Inputs!$J322:$AG322))*O$251</f>
        <v>5000</v>
      </c>
      <c r="P262" s="616"/>
      <c r="Q262" s="605"/>
      <c r="R262" s="910"/>
      <c r="S262" s="910"/>
      <c r="T262" s="910"/>
      <c r="U262" s="910"/>
      <c r="V262" s="910"/>
      <c r="W262" s="910"/>
      <c r="X262" s="910"/>
      <c r="Y262" s="910"/>
      <c r="Z262" s="910"/>
      <c r="AA262" s="567"/>
      <c r="AB262" s="574"/>
      <c r="AC262" s="574"/>
      <c r="AD262" s="574"/>
      <c r="AE262" s="574"/>
      <c r="AF262" s="574"/>
      <c r="AG262" s="574"/>
      <c r="AH262" s="574"/>
      <c r="AI262" s="574"/>
      <c r="AJ262" s="574"/>
      <c r="AK262" s="574"/>
      <c r="AL262" s="574"/>
      <c r="AM262" s="574"/>
      <c r="AN262" s="574"/>
      <c r="AO262" s="567"/>
      <c r="AP262" s="566"/>
      <c r="AQ262" s="566"/>
      <c r="AR262" s="126"/>
    </row>
    <row r="263" spans="1:44" ht="17.25" customHeight="1" outlineLevel="1">
      <c r="A263" s="910"/>
      <c r="B263" s="567"/>
      <c r="C263" s="566" t="s">
        <v>706</v>
      </c>
      <c r="D263" s="566"/>
      <c r="E263" s="566"/>
      <c r="F263" s="566"/>
      <c r="G263" s="566"/>
      <c r="H263" s="566"/>
      <c r="I263" s="566"/>
      <c r="J263" s="566"/>
      <c r="K263" s="566"/>
      <c r="L263" s="610">
        <f>-SUMIF(Timing!$J$15:$AG$15,L$254,'Costs 01'!$J210:$AG210)</f>
        <v>-5845</v>
      </c>
      <c r="M263" s="583"/>
      <c r="N263" s="583"/>
      <c r="O263" s="604">
        <f>-SUMIF(Timing!$J$15:$AG$15,O$254,'Costs 01'!$J210:$AG210)</f>
        <v>-2395</v>
      </c>
      <c r="P263" s="616"/>
      <c r="Q263" s="605"/>
      <c r="R263" s="910"/>
      <c r="S263" s="910"/>
      <c r="T263" s="910"/>
      <c r="U263" s="910"/>
      <c r="V263" s="910"/>
      <c r="W263" s="910"/>
      <c r="X263" s="910"/>
      <c r="Y263" s="910"/>
      <c r="Z263" s="910"/>
      <c r="AA263" s="567"/>
      <c r="AB263" s="458"/>
      <c r="AC263" s="458"/>
      <c r="AD263" s="458"/>
      <c r="AE263" s="458"/>
      <c r="AF263" s="458"/>
      <c r="AG263" s="458"/>
      <c r="AH263" s="458"/>
      <c r="AI263" s="458"/>
      <c r="AJ263" s="458"/>
      <c r="AK263" s="458"/>
      <c r="AL263" s="458"/>
      <c r="AM263" s="458"/>
      <c r="AN263" s="458"/>
      <c r="AO263" s="191"/>
      <c r="AP263" s="192"/>
      <c r="AQ263" s="192"/>
      <c r="AR263" s="126"/>
    </row>
    <row r="264" spans="1:44" ht="17.25" customHeight="1">
      <c r="A264" s="910"/>
      <c r="B264" s="567"/>
      <c r="C264" s="466" t="s">
        <v>494</v>
      </c>
      <c r="D264" s="566"/>
      <c r="E264" s="566"/>
      <c r="F264" s="566"/>
      <c r="G264" s="566"/>
      <c r="H264" s="566"/>
      <c r="I264" s="566"/>
      <c r="J264" s="566"/>
      <c r="K264" s="566"/>
      <c r="L264" s="610">
        <f>-SUMIF(Timing!$J$15:$AG$15,L$254,Capex!$J166:$AG166)</f>
        <v>0</v>
      </c>
      <c r="M264" s="583"/>
      <c r="N264" s="583"/>
      <c r="O264" s="604">
        <f>-SUMIF(Timing!$J$15:$AG$15,O$254,Capex!$J166:$AG166)</f>
        <v>0</v>
      </c>
      <c r="P264" s="616"/>
      <c r="Q264" s="605"/>
      <c r="R264" s="910"/>
      <c r="S264" s="910"/>
      <c r="T264" s="910"/>
      <c r="U264" s="910"/>
      <c r="V264" s="910"/>
      <c r="W264" s="910"/>
      <c r="X264" s="910"/>
      <c r="Y264" s="910"/>
      <c r="Z264" s="910"/>
      <c r="AA264" s="567"/>
      <c r="AB264" s="574"/>
      <c r="AC264" s="574"/>
      <c r="AD264" s="574"/>
      <c r="AE264" s="574"/>
      <c r="AF264" s="574"/>
      <c r="AG264" s="574"/>
      <c r="AH264" s="574"/>
      <c r="AI264" s="574"/>
      <c r="AJ264" s="574"/>
      <c r="AK264" s="574"/>
      <c r="AL264" s="574"/>
      <c r="AM264" s="574"/>
      <c r="AN264" s="574"/>
      <c r="AO264" s="567"/>
      <c r="AP264" s="566"/>
      <c r="AQ264" s="566"/>
      <c r="AR264" s="126"/>
    </row>
    <row r="265" spans="1:44" ht="17.25" customHeight="1">
      <c r="A265" s="910"/>
      <c r="B265" s="567"/>
      <c r="C265" s="574" t="s">
        <v>707</v>
      </c>
      <c r="D265" s="574"/>
      <c r="E265" s="574"/>
      <c r="F265" s="574"/>
      <c r="G265" s="574"/>
      <c r="H265" s="574"/>
      <c r="I265" s="574"/>
      <c r="J265" s="574"/>
      <c r="K265" s="574"/>
      <c r="L265" s="610">
        <f>(SUMIF(Timing!$J$15:$AG$15,L$254,Inputs!$J309:$AG309)+SUMIF(Timing!$J$15:$AG$15,L$254,Inputs!$J310:$AG310))*L$251</f>
        <v>-1500</v>
      </c>
      <c r="M265" s="583"/>
      <c r="N265" s="583"/>
      <c r="O265" s="604">
        <f>(SUMIF(Timing!$J$15:$AG$15,O$254,Inputs!$J309:$AG309)+SUMIF(Timing!$J$15:$AG$15,O$254,Inputs!$J310:$AG310))*O$251</f>
        <v>0</v>
      </c>
      <c r="P265" s="616"/>
      <c r="Q265" s="605"/>
      <c r="R265" s="910"/>
      <c r="S265" s="910"/>
      <c r="T265" s="910"/>
      <c r="U265" s="910"/>
      <c r="V265" s="910"/>
      <c r="W265" s="910"/>
      <c r="X265" s="910"/>
      <c r="Y265" s="910"/>
      <c r="Z265" s="910"/>
      <c r="AA265" s="567"/>
      <c r="AB265" s="574"/>
      <c r="AC265" s="574"/>
      <c r="AD265" s="574"/>
      <c r="AE265" s="574"/>
      <c r="AF265" s="574"/>
      <c r="AG265" s="574"/>
      <c r="AH265" s="574"/>
      <c r="AI265" s="574"/>
      <c r="AJ265" s="574"/>
      <c r="AK265" s="574"/>
      <c r="AL265" s="574"/>
      <c r="AM265" s="574"/>
      <c r="AN265" s="574"/>
      <c r="AO265" s="567"/>
      <c r="AP265" s="566"/>
      <c r="AQ265" s="566"/>
      <c r="AR265" s="126"/>
    </row>
    <row r="266" spans="1:44" s="830" customFormat="1" ht="17.25" customHeight="1">
      <c r="A266" s="910"/>
      <c r="B266" s="567"/>
      <c r="C266" s="767" t="str">
        <f>CHOOSE(language,"Change in PAYE owed","Change in payroll withholdings owed")</f>
        <v>Change in payroll withholdings owed</v>
      </c>
      <c r="D266" s="767"/>
      <c r="E266" s="767"/>
      <c r="F266" s="767"/>
      <c r="G266" s="767"/>
      <c r="H266" s="767"/>
      <c r="I266" s="767"/>
      <c r="J266" s="767"/>
      <c r="K266" s="767"/>
      <c r="L266" s="610">
        <f>(SUMIF(Timing!$J$15:$AG$15,L$254,'Debtors+Creditors'!$J194:$AG194)+SUMIF(Timing!$J$15:$AG$15,L$254,'Debtors+Creditors'!$J195:$AG195))*L$251</f>
        <v>3104.1666666666642</v>
      </c>
      <c r="M266" s="583"/>
      <c r="N266" s="583"/>
      <c r="O266" s="612">
        <f>(SUMIF(Timing!$J$15:$AG$15,O$254,'Debtors+Creditors'!$J194:$AG194)+SUMIF(Timing!$J$15:$AG$15,O$254,'Debtors+Creditors'!$J195:$AG195))*O$251</f>
        <v>2616.145833333343</v>
      </c>
      <c r="P266" s="616"/>
      <c r="Q266" s="605"/>
      <c r="R266" s="910"/>
      <c r="S266" s="910"/>
      <c r="T266" s="910"/>
      <c r="U266" s="910"/>
      <c r="V266" s="910"/>
      <c r="W266" s="910"/>
      <c r="X266" s="910"/>
      <c r="Y266" s="910"/>
      <c r="Z266" s="910"/>
      <c r="AA266" s="567"/>
      <c r="AB266" s="767"/>
      <c r="AC266" s="767"/>
      <c r="AD266" s="767"/>
      <c r="AE266" s="767"/>
      <c r="AF266" s="767"/>
      <c r="AG266" s="767"/>
      <c r="AH266" s="767"/>
      <c r="AI266" s="767"/>
      <c r="AJ266" s="767"/>
      <c r="AK266" s="767"/>
      <c r="AL266" s="767"/>
      <c r="AM266" s="767"/>
      <c r="AN266" s="767"/>
      <c r="AO266" s="567"/>
      <c r="AP266" s="566"/>
      <c r="AQ266" s="566"/>
      <c r="AR266" s="831"/>
    </row>
    <row r="267" spans="1:44" ht="17.25" customHeight="1">
      <c r="A267" s="910"/>
      <c r="B267" s="567"/>
      <c r="C267" s="574" t="s">
        <v>708</v>
      </c>
      <c r="D267" s="574"/>
      <c r="E267" s="574"/>
      <c r="F267" s="574"/>
      <c r="G267" s="574"/>
      <c r="H267" s="574"/>
      <c r="I267" s="574"/>
      <c r="J267" s="574"/>
      <c r="K267" s="574"/>
      <c r="L267" s="610">
        <f ca="1">'Summary 02'!V47+SUMIF(Timing!$J$15:$AG$15,L$254,IFS!$J85:$AG85)</f>
        <v>8863.8018181946973</v>
      </c>
      <c r="M267" s="583"/>
      <c r="N267" s="583"/>
      <c r="O267" s="612">
        <f ca="1">'Summary 02'!AA47+SUMIF(Timing!$J$15:$AG$15,O$254,IFS!$J85:$AG85)</f>
        <v>-517.81401888372784</v>
      </c>
      <c r="P267" s="616"/>
      <c r="Q267" s="605"/>
      <c r="R267" s="910"/>
      <c r="S267" s="910"/>
      <c r="T267" s="910"/>
      <c r="U267" s="910"/>
      <c r="V267" s="910"/>
      <c r="W267" s="910"/>
      <c r="X267" s="910"/>
      <c r="Y267" s="910"/>
      <c r="Z267" s="910"/>
      <c r="AA267" s="567"/>
      <c r="AB267" s="574"/>
      <c r="AC267" s="574"/>
      <c r="AD267" s="574"/>
      <c r="AE267" s="574"/>
      <c r="AF267" s="574"/>
      <c r="AG267" s="574"/>
      <c r="AH267" s="574"/>
      <c r="AI267" s="574"/>
      <c r="AJ267" s="574"/>
      <c r="AK267" s="574"/>
      <c r="AL267" s="574"/>
      <c r="AM267" s="574"/>
      <c r="AN267" s="574"/>
      <c r="AO267" s="567"/>
      <c r="AP267" s="566"/>
      <c r="AQ267" s="566"/>
      <c r="AR267" s="126"/>
    </row>
    <row r="268" spans="1:44" ht="17.25" customHeight="1">
      <c r="A268" s="910"/>
      <c r="B268" s="567"/>
      <c r="C268" s="574" t="str">
        <f>"Change in " &amp;Name_VAT &amp;" liabilities"</f>
        <v>Change in VAT liabilities</v>
      </c>
      <c r="D268" s="562"/>
      <c r="E268" s="562"/>
      <c r="F268" s="562"/>
      <c r="G268" s="562"/>
      <c r="H268" s="562"/>
      <c r="I268" s="562"/>
      <c r="J268" s="562"/>
      <c r="K268" s="562"/>
      <c r="L268" s="610">
        <f ca="1">SUMIF(Timing!$J$15:$AG$15,L$254,Taxes!$J22:$AG22)-SUMIF(Timing!$J$15:$AG$15,L$254,Taxes!$J21:$AG21)+SUMIF(Timing!$J$15:$AG$15,L$254,Taxes!$J29:$AG29)</f>
        <v>36622.234769380062</v>
      </c>
      <c r="M268" s="611"/>
      <c r="N268" s="611"/>
      <c r="O268" s="612">
        <f ca="1">(SUMIF(Timing!$J$15:$AG$15,O$254,Taxes!$J22:$AG22)-SUMIF(Timing!$J$15:$AG$15,O$254,Taxes!$J21:$AG21)+SUMIF(Timing!$J$15:$AG$15,O$254,Taxes!$J29:$AG29))*O251</f>
        <v>1835.4251675148407</v>
      </c>
      <c r="P268" s="616"/>
      <c r="Q268" s="605"/>
      <c r="R268" s="910"/>
      <c r="S268" s="910"/>
      <c r="T268" s="910"/>
      <c r="U268" s="910"/>
      <c r="V268" s="910"/>
      <c r="W268" s="910"/>
      <c r="X268" s="910"/>
      <c r="Y268" s="910"/>
      <c r="Z268" s="910"/>
      <c r="AA268" s="567"/>
      <c r="AB268" s="458"/>
      <c r="AC268" s="458"/>
      <c r="AD268" s="458"/>
      <c r="AE268" s="458"/>
      <c r="AF268" s="458"/>
      <c r="AG268" s="458"/>
      <c r="AH268" s="458"/>
      <c r="AI268" s="458"/>
      <c r="AJ268" s="458"/>
      <c r="AK268" s="458"/>
      <c r="AL268" s="458"/>
      <c r="AM268" s="458"/>
      <c r="AN268" s="458"/>
      <c r="AO268" s="191"/>
      <c r="AP268" s="192"/>
      <c r="AQ268" s="192"/>
      <c r="AR268" s="126"/>
    </row>
    <row r="269" spans="1:44" ht="17.25" customHeight="1">
      <c r="A269" s="910"/>
      <c r="B269" s="567"/>
      <c r="C269" s="620" t="s">
        <v>710</v>
      </c>
      <c r="D269" s="621"/>
      <c r="E269" s="621"/>
      <c r="F269" s="621"/>
      <c r="G269" s="621"/>
      <c r="H269" s="621"/>
      <c r="I269" s="621"/>
      <c r="J269" s="621"/>
      <c r="K269" s="621"/>
      <c r="L269" s="622">
        <f ca="1">SUM(L255:L268)-L257</f>
        <v>336092.89818314754</v>
      </c>
      <c r="M269" s="623"/>
      <c r="N269" s="623"/>
      <c r="O269" s="624">
        <f ca="1">SUM(O255:O268)-O257</f>
        <v>388495.75700105092</v>
      </c>
      <c r="P269" s="623"/>
      <c r="Q269" s="625"/>
      <c r="R269" s="910"/>
      <c r="S269" s="910"/>
      <c r="T269" s="910"/>
      <c r="U269" s="910"/>
      <c r="V269" s="910"/>
      <c r="W269" s="910"/>
      <c r="X269" s="910"/>
      <c r="Y269" s="910"/>
      <c r="Z269" s="910"/>
      <c r="AA269" s="567"/>
      <c r="AB269" s="574"/>
      <c r="AC269" s="574"/>
      <c r="AD269" s="574"/>
      <c r="AE269" s="574"/>
      <c r="AF269" s="574"/>
      <c r="AG269" s="574"/>
      <c r="AH269" s="574"/>
      <c r="AI269" s="574"/>
      <c r="AJ269" s="574"/>
      <c r="AK269" s="574"/>
      <c r="AL269" s="574"/>
      <c r="AM269" s="574"/>
      <c r="AN269" s="574"/>
      <c r="AO269" s="567"/>
      <c r="AP269" s="566"/>
      <c r="AQ269" s="566"/>
      <c r="AR269" s="126"/>
    </row>
    <row r="270" spans="1:44" ht="9.75" customHeight="1">
      <c r="A270" s="910"/>
      <c r="B270" s="567"/>
      <c r="C270" s="562"/>
      <c r="D270" s="562"/>
      <c r="E270" s="562"/>
      <c r="F270" s="562"/>
      <c r="G270" s="562"/>
      <c r="H270" s="562"/>
      <c r="I270" s="562"/>
      <c r="J270" s="562"/>
      <c r="K270" s="562"/>
      <c r="L270" s="561"/>
      <c r="M270" s="562"/>
      <c r="N270" s="562"/>
      <c r="O270" s="558"/>
      <c r="P270" s="559"/>
      <c r="Q270" s="560"/>
      <c r="R270" s="910"/>
      <c r="S270" s="910"/>
      <c r="T270" s="910"/>
      <c r="U270" s="910"/>
      <c r="V270" s="910"/>
      <c r="W270" s="910"/>
      <c r="X270" s="910"/>
      <c r="Y270" s="910"/>
      <c r="Z270" s="910"/>
      <c r="AA270" s="567"/>
      <c r="AB270" s="458"/>
      <c r="AC270" s="458"/>
      <c r="AD270" s="458"/>
      <c r="AE270" s="458"/>
      <c r="AF270" s="458"/>
      <c r="AG270" s="458"/>
      <c r="AH270" s="458"/>
      <c r="AI270" s="458"/>
      <c r="AJ270" s="458"/>
      <c r="AK270" s="458"/>
      <c r="AL270" s="458"/>
      <c r="AM270" s="458"/>
      <c r="AN270" s="458"/>
      <c r="AO270" s="191"/>
      <c r="AP270" s="192"/>
      <c r="AQ270" s="192"/>
      <c r="AR270" s="126"/>
    </row>
    <row r="271" spans="1:44" ht="17.25" customHeight="1">
      <c r="A271" s="910"/>
      <c r="B271" s="567"/>
      <c r="C271" s="199" t="s">
        <v>711</v>
      </c>
      <c r="D271" s="567"/>
      <c r="E271" s="567"/>
      <c r="F271" s="567"/>
      <c r="G271" s="567"/>
      <c r="H271" s="567"/>
      <c r="I271" s="567"/>
      <c r="J271" s="567"/>
      <c r="K271" s="567"/>
      <c r="L271" s="600"/>
      <c r="M271" s="601"/>
      <c r="N271" s="601"/>
      <c r="O271" s="602"/>
      <c r="P271" s="615"/>
      <c r="Q271" s="603"/>
      <c r="R271" s="910"/>
      <c r="S271" s="910"/>
      <c r="T271" s="910"/>
      <c r="U271" s="910"/>
      <c r="V271" s="910"/>
      <c r="W271" s="910"/>
      <c r="X271" s="910"/>
      <c r="Y271" s="910"/>
      <c r="Z271" s="910"/>
      <c r="AA271" s="567"/>
      <c r="AB271" s="458"/>
      <c r="AC271" s="458"/>
      <c r="AD271" s="458"/>
      <c r="AE271" s="458"/>
      <c r="AF271" s="458"/>
      <c r="AG271" s="458"/>
      <c r="AH271" s="458"/>
      <c r="AI271" s="458"/>
      <c r="AJ271" s="458"/>
      <c r="AK271" s="458"/>
      <c r="AL271" s="458"/>
      <c r="AM271" s="458"/>
      <c r="AN271" s="458"/>
      <c r="AO271" s="191"/>
      <c r="AP271" s="192"/>
      <c r="AQ271" s="192"/>
      <c r="AR271" s="126"/>
    </row>
    <row r="272" spans="1:44" ht="17.25" customHeight="1">
      <c r="A272" s="910"/>
      <c r="B272" s="567"/>
      <c r="C272" s="574" t="s">
        <v>718</v>
      </c>
      <c r="D272" s="562"/>
      <c r="E272" s="562"/>
      <c r="F272" s="562"/>
      <c r="G272" s="562"/>
      <c r="H272" s="562"/>
      <c r="I272" s="562"/>
      <c r="J272" s="562"/>
      <c r="K272" s="562"/>
      <c r="L272" s="582">
        <f>-SUMIF(Timing!$J$15:$AG$15,L$254,Capex!$J161:$AG161)</f>
        <v>-75000</v>
      </c>
      <c r="M272" s="583"/>
      <c r="N272" s="583"/>
      <c r="O272" s="604">
        <f>-SUMIF(Timing!$J$15:$AG$15,O$254,Capex!$J161:$AG161)</f>
        <v>0</v>
      </c>
      <c r="P272" s="616"/>
      <c r="Q272" s="605"/>
      <c r="R272" s="910"/>
      <c r="S272" s="910"/>
      <c r="T272" s="910"/>
      <c r="U272" s="910"/>
      <c r="V272" s="910"/>
      <c r="W272" s="910"/>
      <c r="X272" s="910"/>
      <c r="Y272" s="910"/>
      <c r="Z272" s="910"/>
      <c r="AA272" s="567"/>
      <c r="AB272" s="458"/>
      <c r="AC272" s="458"/>
      <c r="AD272" s="458"/>
      <c r="AE272" s="458"/>
      <c r="AF272" s="458"/>
      <c r="AG272" s="458"/>
      <c r="AH272" s="458"/>
      <c r="AI272" s="458"/>
      <c r="AJ272" s="458"/>
      <c r="AK272" s="458"/>
      <c r="AL272" s="458"/>
      <c r="AM272" s="458"/>
      <c r="AN272" s="458"/>
      <c r="AO272" s="191"/>
      <c r="AP272" s="192"/>
      <c r="AQ272" s="192"/>
      <c r="AR272" s="126"/>
    </row>
    <row r="273" spans="1:49" ht="17.25" customHeight="1">
      <c r="A273" s="910"/>
      <c r="B273" s="567"/>
      <c r="C273" s="574" t="s">
        <v>719</v>
      </c>
      <c r="D273" s="562"/>
      <c r="E273" s="562"/>
      <c r="F273" s="562"/>
      <c r="G273" s="562"/>
      <c r="H273" s="562"/>
      <c r="I273" s="562"/>
      <c r="J273" s="562"/>
      <c r="K273" s="562"/>
      <c r="L273" s="582">
        <f>-SUMIF(Timing!$J$15:$AG$15,L$254,Capex!$J162:$AG162)</f>
        <v>-270000</v>
      </c>
      <c r="M273" s="583"/>
      <c r="N273" s="583"/>
      <c r="O273" s="604">
        <f>-SUMIF(Timing!$J$15:$AG$15,O$254,Capex!$J162:$AG162)</f>
        <v>-82500</v>
      </c>
      <c r="P273" s="616"/>
      <c r="Q273" s="605"/>
      <c r="R273" s="910"/>
      <c r="S273" s="910"/>
      <c r="T273" s="910"/>
      <c r="U273" s="910"/>
      <c r="V273" s="910"/>
      <c r="W273" s="910"/>
      <c r="X273" s="910"/>
      <c r="Y273" s="910"/>
      <c r="Z273" s="910"/>
      <c r="AA273" s="567"/>
      <c r="AB273" s="458"/>
      <c r="AC273" s="458"/>
      <c r="AD273" s="458"/>
      <c r="AE273" s="458"/>
      <c r="AF273" s="458"/>
      <c r="AG273" s="458"/>
      <c r="AH273" s="458"/>
      <c r="AI273" s="458"/>
      <c r="AJ273" s="458"/>
      <c r="AK273" s="458"/>
      <c r="AL273" s="458"/>
      <c r="AM273" s="458"/>
      <c r="AN273" s="458"/>
      <c r="AO273" s="191"/>
      <c r="AP273" s="192"/>
      <c r="AQ273" s="192"/>
      <c r="AR273" s="126"/>
    </row>
    <row r="274" spans="1:49" ht="17.25" customHeight="1">
      <c r="A274" s="910"/>
      <c r="B274" s="567"/>
      <c r="C274" s="574" t="s">
        <v>720</v>
      </c>
      <c r="D274" s="562"/>
      <c r="E274" s="562"/>
      <c r="F274" s="562"/>
      <c r="G274" s="562"/>
      <c r="H274" s="562"/>
      <c r="I274" s="562"/>
      <c r="J274" s="562"/>
      <c r="K274" s="562"/>
      <c r="L274" s="582">
        <f>-SUMIF(Timing!$J$15:$AG$15,L$254,Capex!$J163:$AG163)</f>
        <v>-55000</v>
      </c>
      <c r="M274" s="583"/>
      <c r="N274" s="583"/>
      <c r="O274" s="604">
        <f>-SUMIF(Timing!$J$15:$AG$15,O$254,Capex!$J163:$AG163)</f>
        <v>-11250</v>
      </c>
      <c r="P274" s="616"/>
      <c r="Q274" s="605"/>
      <c r="R274" s="910"/>
      <c r="S274" s="910"/>
      <c r="T274" s="910"/>
      <c r="U274" s="910"/>
      <c r="V274" s="910"/>
      <c r="W274" s="910"/>
      <c r="X274" s="910"/>
      <c r="Y274" s="910"/>
      <c r="Z274" s="910"/>
      <c r="AA274" s="567"/>
      <c r="AB274" s="458"/>
      <c r="AC274" s="458"/>
      <c r="AD274" s="458"/>
      <c r="AE274" s="458"/>
      <c r="AF274" s="458"/>
      <c r="AG274" s="458"/>
      <c r="AH274" s="458"/>
      <c r="AI274" s="458"/>
      <c r="AJ274" s="458"/>
      <c r="AK274" s="458"/>
      <c r="AL274" s="458"/>
      <c r="AM274" s="458"/>
      <c r="AN274" s="458"/>
      <c r="AO274" s="191"/>
      <c r="AP274" s="192"/>
      <c r="AQ274" s="192"/>
      <c r="AR274" s="126"/>
    </row>
    <row r="275" spans="1:49" ht="17.25" customHeight="1">
      <c r="A275" s="910"/>
      <c r="B275" s="567"/>
      <c r="C275" s="574" t="s">
        <v>721</v>
      </c>
      <c r="D275" s="566"/>
      <c r="E275" s="566"/>
      <c r="F275" s="566"/>
      <c r="G275" s="566"/>
      <c r="H275" s="566"/>
      <c r="I275" s="767"/>
      <c r="J275" s="767"/>
      <c r="K275" s="566"/>
      <c r="L275" s="582">
        <f>SUMIF(Timing!$J$15:$AG$15,L$254,IFS!$J64:$AG64)-SUMIF(Timing!$J$15:$AG$15,L$254,Capex!$J180:$AG180)</f>
        <v>0</v>
      </c>
      <c r="M275" s="583"/>
      <c r="N275" s="583"/>
      <c r="O275" s="604">
        <f>SUMIF(Timing!$J$15:$AG$15,O$254,IFS!$J64:$AG64)-SUMIF(Timing!$J$15:$AG$15,O$254,Capex!$J180:$AG180)</f>
        <v>0</v>
      </c>
      <c r="P275" s="616"/>
      <c r="Q275" s="605"/>
      <c r="R275" s="910"/>
      <c r="S275" s="910"/>
      <c r="T275" s="910"/>
      <c r="U275" s="910"/>
      <c r="V275" s="910"/>
      <c r="W275" s="910"/>
      <c r="X275" s="910"/>
      <c r="Y275" s="910"/>
      <c r="Z275" s="910"/>
      <c r="AA275" s="567"/>
      <c r="AB275" s="458"/>
      <c r="AC275" s="458"/>
      <c r="AD275" s="458"/>
      <c r="AE275" s="458"/>
      <c r="AF275" s="458"/>
      <c r="AG275" s="458"/>
      <c r="AH275" s="458"/>
      <c r="AI275" s="458"/>
      <c r="AJ275" s="458"/>
      <c r="AK275" s="458"/>
      <c r="AL275" s="458"/>
      <c r="AM275" s="458"/>
      <c r="AN275" s="458"/>
      <c r="AO275" s="191"/>
      <c r="AP275" s="192"/>
      <c r="AQ275" s="192"/>
      <c r="AR275" s="126"/>
    </row>
    <row r="276" spans="1:49" ht="17.25" customHeight="1">
      <c r="A276" s="910"/>
      <c r="B276" s="567"/>
      <c r="C276" s="620" t="s">
        <v>712</v>
      </c>
      <c r="D276" s="621"/>
      <c r="E276" s="621"/>
      <c r="F276" s="621"/>
      <c r="G276" s="621"/>
      <c r="H276" s="621"/>
      <c r="I276" s="621"/>
      <c r="J276" s="621"/>
      <c r="K276" s="621"/>
      <c r="L276" s="622">
        <f>SUM(L272:L275)</f>
        <v>-400000</v>
      </c>
      <c r="M276" s="623"/>
      <c r="N276" s="623"/>
      <c r="O276" s="624">
        <f>SUM(O272:O275)</f>
        <v>-93750</v>
      </c>
      <c r="P276" s="623"/>
      <c r="Q276" s="625"/>
      <c r="R276" s="910"/>
      <c r="S276" s="910"/>
      <c r="T276" s="910"/>
      <c r="U276" s="910"/>
      <c r="V276" s="910"/>
      <c r="W276" s="910"/>
      <c r="X276" s="910"/>
      <c r="Y276" s="910"/>
      <c r="Z276" s="910"/>
      <c r="AA276" s="567"/>
      <c r="AB276" s="458"/>
      <c r="AC276" s="458"/>
      <c r="AD276" s="458"/>
      <c r="AE276" s="458"/>
      <c r="AF276" s="458"/>
      <c r="AG276" s="458"/>
      <c r="AH276" s="458"/>
      <c r="AI276" s="458"/>
      <c r="AJ276" s="458"/>
      <c r="AK276" s="458"/>
      <c r="AL276" s="458"/>
      <c r="AM276" s="458"/>
      <c r="AN276" s="458"/>
      <c r="AO276" s="191"/>
      <c r="AP276" s="192"/>
      <c r="AQ276" s="192"/>
      <c r="AR276" s="126"/>
    </row>
    <row r="277" spans="1:49" ht="9.75" customHeight="1">
      <c r="A277" s="910"/>
      <c r="B277" s="567"/>
      <c r="C277" s="562"/>
      <c r="D277" s="562"/>
      <c r="E277" s="562"/>
      <c r="F277" s="562"/>
      <c r="G277" s="562"/>
      <c r="H277" s="562"/>
      <c r="I277" s="562"/>
      <c r="J277" s="562"/>
      <c r="K277" s="562"/>
      <c r="L277" s="561"/>
      <c r="M277" s="562"/>
      <c r="N277" s="562"/>
      <c r="O277" s="558"/>
      <c r="P277" s="559"/>
      <c r="Q277" s="560"/>
      <c r="R277" s="910"/>
      <c r="S277" s="910"/>
      <c r="T277" s="910"/>
      <c r="U277" s="910"/>
      <c r="V277" s="910"/>
      <c r="W277" s="910"/>
      <c r="X277" s="910"/>
      <c r="Y277" s="910"/>
      <c r="Z277" s="910"/>
      <c r="AA277" s="567"/>
      <c r="AB277" s="458"/>
      <c r="AC277" s="458"/>
      <c r="AD277" s="458"/>
      <c r="AE277" s="458"/>
      <c r="AF277" s="458"/>
      <c r="AG277" s="458"/>
      <c r="AH277" s="458"/>
      <c r="AI277" s="458"/>
      <c r="AJ277" s="458"/>
      <c r="AK277" s="458"/>
      <c r="AL277" s="458"/>
      <c r="AM277" s="458"/>
      <c r="AN277" s="458"/>
      <c r="AO277" s="191"/>
      <c r="AP277" s="192"/>
      <c r="AQ277" s="192"/>
      <c r="AR277" s="126"/>
      <c r="AT277" s="48"/>
    </row>
    <row r="278" spans="1:49" ht="17.25" customHeight="1">
      <c r="A278" s="910"/>
      <c r="B278" s="567"/>
      <c r="C278" s="199" t="s">
        <v>713</v>
      </c>
      <c r="D278" s="567"/>
      <c r="E278" s="567"/>
      <c r="F278" s="567"/>
      <c r="G278" s="567"/>
      <c r="H278" s="567"/>
      <c r="I278" s="567"/>
      <c r="J278" s="567"/>
      <c r="K278" s="567"/>
      <c r="L278" s="600"/>
      <c r="M278" s="601"/>
      <c r="N278" s="601"/>
      <c r="O278" s="602"/>
      <c r="P278" s="615"/>
      <c r="Q278" s="603"/>
      <c r="R278" s="910"/>
      <c r="S278" s="910"/>
      <c r="T278" s="910"/>
      <c r="U278" s="910"/>
      <c r="V278" s="910"/>
      <c r="W278" s="910"/>
      <c r="X278" s="910"/>
      <c r="Y278" s="910"/>
      <c r="Z278" s="910"/>
      <c r="AA278" s="567"/>
      <c r="AB278" s="458"/>
      <c r="AC278" s="458"/>
      <c r="AD278" s="458"/>
      <c r="AE278" s="458"/>
      <c r="AF278" s="458"/>
      <c r="AG278" s="458"/>
      <c r="AH278" s="458"/>
      <c r="AI278" s="458"/>
      <c r="AJ278" s="458"/>
      <c r="AK278" s="458"/>
      <c r="AL278" s="458"/>
      <c r="AM278" s="458"/>
      <c r="AN278" s="458"/>
      <c r="AO278" s="191"/>
      <c r="AP278" s="192"/>
      <c r="AQ278" s="192"/>
      <c r="AR278" s="126"/>
    </row>
    <row r="279" spans="1:49" ht="17.25" customHeight="1">
      <c r="A279" s="910"/>
      <c r="B279" s="567"/>
      <c r="C279" s="574" t="s">
        <v>725</v>
      </c>
      <c r="D279" s="562"/>
      <c r="E279" s="562"/>
      <c r="F279" s="562"/>
      <c r="G279" s="562"/>
      <c r="H279" s="562"/>
      <c r="I279" s="562"/>
      <c r="J279" s="562"/>
      <c r="K279" s="562"/>
      <c r="L279" s="582">
        <f ca="1">'Summary 03'!V39</f>
        <v>75000</v>
      </c>
      <c r="M279" s="583"/>
      <c r="N279" s="583"/>
      <c r="O279" s="604">
        <f ca="1">'Summary 03'!AA39</f>
        <v>0</v>
      </c>
      <c r="P279" s="616"/>
      <c r="Q279" s="605"/>
      <c r="R279" s="910"/>
      <c r="S279" s="910"/>
      <c r="T279" s="910"/>
      <c r="U279" s="910"/>
      <c r="V279" s="910"/>
      <c r="W279" s="910"/>
      <c r="X279" s="910"/>
      <c r="Y279" s="910"/>
      <c r="Z279" s="910"/>
      <c r="AA279" s="567"/>
      <c r="AB279" s="458"/>
      <c r="AC279" s="458"/>
      <c r="AD279" s="458"/>
      <c r="AE279" s="458"/>
      <c r="AF279" s="458"/>
      <c r="AG279" s="458"/>
      <c r="AH279" s="458"/>
      <c r="AI279" s="458"/>
      <c r="AJ279" s="458"/>
      <c r="AK279" s="458"/>
      <c r="AL279" s="458"/>
      <c r="AM279" s="458"/>
      <c r="AN279" s="458"/>
      <c r="AO279" s="191"/>
      <c r="AP279" s="192"/>
      <c r="AQ279" s="566"/>
      <c r="AR279" s="831"/>
      <c r="AS279" s="911"/>
      <c r="AT279" s="911"/>
      <c r="AU279" s="911"/>
      <c r="AV279" s="911"/>
      <c r="AW279" s="911"/>
    </row>
    <row r="280" spans="1:49" ht="17.25" customHeight="1">
      <c r="A280" s="910"/>
      <c r="B280" s="567"/>
      <c r="C280" s="566" t="s">
        <v>726</v>
      </c>
      <c r="D280" s="566"/>
      <c r="E280" s="566"/>
      <c r="F280" s="566"/>
      <c r="G280" s="566"/>
      <c r="H280" s="566"/>
      <c r="I280" s="566"/>
      <c r="J280" s="566"/>
      <c r="K280" s="566"/>
      <c r="L280" s="582">
        <f ca="1">MAX(0,SUM('Summary 03'!V41:V46))</f>
        <v>169000</v>
      </c>
      <c r="M280" s="583"/>
      <c r="N280" s="583"/>
      <c r="O280" s="604">
        <f ca="1">MAX(0,SUM('Summary 03'!AA41:AA46))</f>
        <v>0</v>
      </c>
      <c r="P280" s="616"/>
      <c r="Q280" s="605"/>
      <c r="R280" s="910"/>
      <c r="S280" s="910"/>
      <c r="T280" s="910"/>
      <c r="U280" s="910"/>
      <c r="V280" s="910"/>
      <c r="W280" s="910"/>
      <c r="X280" s="910"/>
      <c r="Y280" s="910"/>
      <c r="Z280" s="910"/>
      <c r="AA280" s="567"/>
      <c r="AB280" s="574"/>
      <c r="AC280" s="574"/>
      <c r="AD280" s="574"/>
      <c r="AE280" s="574"/>
      <c r="AF280" s="574"/>
      <c r="AG280" s="574"/>
      <c r="AH280" s="574"/>
      <c r="AI280" s="574"/>
      <c r="AJ280" s="574"/>
      <c r="AK280" s="574"/>
      <c r="AL280" s="574"/>
      <c r="AM280" s="574"/>
      <c r="AN280" s="574"/>
      <c r="AO280" s="567"/>
      <c r="AP280" s="566"/>
      <c r="AQ280" s="566"/>
      <c r="AR280" s="831"/>
      <c r="AS280" s="911"/>
      <c r="AT280" s="911"/>
      <c r="AU280" s="911"/>
      <c r="AV280" s="911"/>
      <c r="AW280" s="911"/>
    </row>
    <row r="281" spans="1:49" ht="17.25" customHeight="1">
      <c r="A281" s="910"/>
      <c r="B281" s="567"/>
      <c r="C281" s="566" t="s">
        <v>727</v>
      </c>
      <c r="D281" s="566"/>
      <c r="E281" s="566"/>
      <c r="F281" s="566"/>
      <c r="G281" s="566"/>
      <c r="H281" s="566"/>
      <c r="I281" s="566"/>
      <c r="J281" s="566"/>
      <c r="K281" s="566"/>
      <c r="L281" s="582">
        <f ca="1">MIN(0,SUM('Summary 03'!V41:V46))</f>
        <v>0</v>
      </c>
      <c r="M281" s="583"/>
      <c r="N281" s="583"/>
      <c r="O281" s="604">
        <f ca="1">MIN(0,SUM('Summary 03'!AA41:AA46))</f>
        <v>-59262.23183074611</v>
      </c>
      <c r="P281" s="616"/>
      <c r="Q281" s="605"/>
      <c r="R281" s="910"/>
      <c r="S281" s="910"/>
      <c r="T281" s="910"/>
      <c r="U281" s="910"/>
      <c r="V281" s="910"/>
      <c r="W281" s="910"/>
      <c r="X281" s="910"/>
      <c r="Y281" s="910"/>
      <c r="Z281" s="910"/>
      <c r="AA281" s="567"/>
      <c r="AB281" s="574"/>
      <c r="AC281" s="574"/>
      <c r="AD281" s="574"/>
      <c r="AE281" s="574"/>
      <c r="AF281" s="574"/>
      <c r="AG281" s="574"/>
      <c r="AH281" s="574"/>
      <c r="AI281" s="574"/>
      <c r="AJ281" s="574"/>
      <c r="AK281" s="574"/>
      <c r="AL281" s="574"/>
      <c r="AM281" s="574"/>
      <c r="AN281" s="574"/>
      <c r="AO281" s="567"/>
      <c r="AP281" s="566"/>
      <c r="AQ281" s="566"/>
      <c r="AR281" s="831"/>
      <c r="AS281" s="911"/>
      <c r="AT281" s="911"/>
      <c r="AU281" s="911"/>
      <c r="AV281" s="911"/>
      <c r="AW281" s="911"/>
    </row>
    <row r="282" spans="1:49" s="830" customFormat="1" ht="17.25" customHeight="1">
      <c r="A282" s="910"/>
      <c r="B282" s="567"/>
      <c r="C282" s="566" t="s">
        <v>728</v>
      </c>
      <c r="D282" s="566"/>
      <c r="E282" s="566"/>
      <c r="F282" s="566"/>
      <c r="G282" s="566"/>
      <c r="H282" s="566"/>
      <c r="I282" s="566"/>
      <c r="J282" s="566"/>
      <c r="K282" s="566"/>
      <c r="L282" s="610">
        <f>-SUMIF(Timing!$J$15:$AG$15,L$254,Capex!$J170:$AG170)</f>
        <v>-1250</v>
      </c>
      <c r="M282" s="611"/>
      <c r="N282" s="611"/>
      <c r="O282" s="604">
        <f>-SUMIF(Timing!$J$15:$AG$15,O$254,Capex!$J170:$AG170)</f>
        <v>-1500</v>
      </c>
      <c r="P282" s="616"/>
      <c r="Q282" s="605"/>
      <c r="R282" s="910"/>
      <c r="S282" s="910"/>
      <c r="T282" s="910"/>
      <c r="U282" s="910"/>
      <c r="V282" s="910"/>
      <c r="W282" s="910"/>
      <c r="X282" s="910"/>
      <c r="Y282" s="910"/>
      <c r="Z282" s="910"/>
      <c r="AA282" s="567"/>
      <c r="AB282" s="767"/>
      <c r="AC282" s="767"/>
      <c r="AD282" s="767"/>
      <c r="AE282" s="767"/>
      <c r="AF282" s="767"/>
      <c r="AG282" s="767"/>
      <c r="AH282" s="767"/>
      <c r="AI282" s="767"/>
      <c r="AJ282" s="767"/>
      <c r="AK282" s="767"/>
      <c r="AL282" s="767"/>
      <c r="AM282" s="767"/>
      <c r="AN282" s="767"/>
      <c r="AO282" s="567"/>
      <c r="AP282" s="566"/>
      <c r="AQ282" s="566"/>
      <c r="AR282" s="831"/>
    </row>
    <row r="283" spans="1:49" ht="17.25" customHeight="1">
      <c r="A283" s="910"/>
      <c r="B283" s="567"/>
      <c r="C283" s="574" t="s">
        <v>390</v>
      </c>
      <c r="D283" s="562"/>
      <c r="E283" s="562"/>
      <c r="F283" s="562"/>
      <c r="G283" s="562"/>
      <c r="H283" s="562"/>
      <c r="I283" s="562"/>
      <c r="J283" s="562"/>
      <c r="K283" s="562"/>
      <c r="L283" s="582">
        <f>'Summary 03'!V51</f>
        <v>0</v>
      </c>
      <c r="M283" s="583"/>
      <c r="N283" s="583"/>
      <c r="O283" s="604">
        <f>'Summary 03'!AA51</f>
        <v>-175000</v>
      </c>
      <c r="P283" s="616"/>
      <c r="Q283" s="605"/>
      <c r="R283" s="910"/>
      <c r="S283" s="910"/>
      <c r="T283" s="910"/>
      <c r="U283" s="910"/>
      <c r="V283" s="910"/>
      <c r="W283" s="910"/>
      <c r="X283" s="910"/>
      <c r="Y283" s="910"/>
      <c r="Z283" s="910"/>
      <c r="AA283" s="567"/>
      <c r="AB283" s="574"/>
      <c r="AC283" s="574"/>
      <c r="AD283" s="574"/>
      <c r="AE283" s="574"/>
      <c r="AF283" s="574"/>
      <c r="AG283" s="574"/>
      <c r="AH283" s="574"/>
      <c r="AI283" s="574"/>
      <c r="AJ283" s="574"/>
      <c r="AK283" s="574"/>
      <c r="AL283" s="574"/>
      <c r="AM283" s="574"/>
      <c r="AN283" s="574"/>
      <c r="AO283" s="567"/>
      <c r="AP283" s="566"/>
      <c r="AQ283" s="566"/>
      <c r="AR283" s="126"/>
    </row>
    <row r="284" spans="1:49" ht="17.25" customHeight="1">
      <c r="A284" s="910"/>
      <c r="B284" s="567"/>
      <c r="C284" s="620" t="s">
        <v>714</v>
      </c>
      <c r="D284" s="621"/>
      <c r="E284" s="621"/>
      <c r="F284" s="621"/>
      <c r="G284" s="621"/>
      <c r="H284" s="621"/>
      <c r="I284" s="621"/>
      <c r="J284" s="621"/>
      <c r="K284" s="621"/>
      <c r="L284" s="622">
        <f ca="1">SUM(L279:L283)</f>
        <v>242750</v>
      </c>
      <c r="M284" s="623"/>
      <c r="N284" s="623"/>
      <c r="O284" s="624">
        <f ca="1">SUM(O279:O283)</f>
        <v>-235762.23183074611</v>
      </c>
      <c r="P284" s="623"/>
      <c r="Q284" s="625"/>
      <c r="R284" s="910"/>
      <c r="S284" s="910"/>
      <c r="T284" s="910"/>
      <c r="U284" s="910"/>
      <c r="V284" s="910"/>
      <c r="W284" s="910"/>
      <c r="X284" s="910"/>
      <c r="Y284" s="910"/>
      <c r="Z284" s="910"/>
      <c r="AA284" s="567"/>
      <c r="AB284" s="458"/>
      <c r="AC284" s="458"/>
      <c r="AD284" s="458"/>
      <c r="AE284" s="458"/>
      <c r="AF284" s="458"/>
      <c r="AG284" s="458"/>
      <c r="AH284" s="458"/>
      <c r="AI284" s="458"/>
      <c r="AJ284" s="458"/>
      <c r="AK284" s="458"/>
      <c r="AL284" s="458"/>
      <c r="AM284" s="458"/>
      <c r="AN284" s="458"/>
      <c r="AO284" s="191"/>
      <c r="AP284" s="192"/>
      <c r="AQ284" s="192"/>
      <c r="AR284" s="126"/>
    </row>
    <row r="285" spans="1:49" ht="9.75" customHeight="1">
      <c r="A285" s="910"/>
      <c r="B285" s="567"/>
      <c r="C285" s="562"/>
      <c r="D285" s="562"/>
      <c r="E285" s="562"/>
      <c r="F285" s="562"/>
      <c r="G285" s="562"/>
      <c r="H285" s="562"/>
      <c r="I285" s="562"/>
      <c r="J285" s="562"/>
      <c r="K285" s="562"/>
      <c r="L285" s="561"/>
      <c r="M285" s="562"/>
      <c r="N285" s="562"/>
      <c r="O285" s="558"/>
      <c r="P285" s="559"/>
      <c r="Q285" s="560"/>
      <c r="R285" s="910"/>
      <c r="S285" s="910"/>
      <c r="T285" s="910"/>
      <c r="U285" s="910"/>
      <c r="V285" s="910"/>
      <c r="W285" s="910"/>
      <c r="X285" s="910"/>
      <c r="Y285" s="910"/>
      <c r="Z285" s="910"/>
      <c r="AA285" s="567"/>
      <c r="AB285" s="458"/>
      <c r="AC285" s="458"/>
      <c r="AD285" s="458"/>
      <c r="AE285" s="458"/>
      <c r="AF285" s="458"/>
      <c r="AG285" s="458"/>
      <c r="AH285" s="458"/>
      <c r="AI285" s="458"/>
      <c r="AJ285" s="458"/>
      <c r="AK285" s="458"/>
      <c r="AL285" s="458"/>
      <c r="AM285" s="458"/>
      <c r="AN285" s="458"/>
      <c r="AO285" s="191"/>
      <c r="AP285" s="192"/>
      <c r="AQ285" s="192"/>
      <c r="AR285" s="126"/>
    </row>
    <row r="286" spans="1:49" ht="17.25" customHeight="1" thickBot="1">
      <c r="A286" s="910"/>
      <c r="B286" s="567"/>
      <c r="C286" s="899" t="s">
        <v>715</v>
      </c>
      <c r="D286" s="900"/>
      <c r="E286" s="900"/>
      <c r="F286" s="900"/>
      <c r="G286" s="900"/>
      <c r="H286" s="900"/>
      <c r="I286" s="900"/>
      <c r="J286" s="900"/>
      <c r="K286" s="900"/>
      <c r="L286" s="901">
        <f ca="1">ROUND(L269+L276+L284,3)</f>
        <v>178842.89799999999</v>
      </c>
      <c r="M286" s="902"/>
      <c r="N286" s="902"/>
      <c r="O286" s="903">
        <f ca="1">ROUND(O269+O276+O284,3)</f>
        <v>58983.525000000001</v>
      </c>
      <c r="P286" s="902"/>
      <c r="Q286" s="904"/>
      <c r="R286" s="910"/>
      <c r="S286" s="910"/>
      <c r="T286" s="910"/>
      <c r="U286" s="910"/>
      <c r="V286" s="910"/>
      <c r="W286" s="910"/>
      <c r="X286" s="910"/>
      <c r="Y286" s="910"/>
      <c r="Z286" s="910"/>
      <c r="AA286" s="567"/>
      <c r="AB286" s="458"/>
      <c r="AC286" s="458"/>
      <c r="AD286" s="458"/>
      <c r="AE286" s="458"/>
      <c r="AF286" s="458"/>
      <c r="AG286" s="458"/>
      <c r="AH286" s="458"/>
      <c r="AI286" s="458"/>
      <c r="AJ286" s="458"/>
      <c r="AK286" s="458"/>
      <c r="AL286" s="458"/>
      <c r="AM286" s="458"/>
      <c r="AN286" s="458"/>
      <c r="AO286" s="191"/>
      <c r="AP286" s="192"/>
      <c r="AQ286" s="192"/>
      <c r="AR286" s="126"/>
    </row>
    <row r="287" spans="1:49" ht="17.25" customHeight="1" thickTop="1">
      <c r="A287" s="910"/>
      <c r="B287" s="567"/>
      <c r="C287" s="562" t="s">
        <v>716</v>
      </c>
      <c r="D287" s="562"/>
      <c r="E287" s="562"/>
      <c r="F287" s="562"/>
      <c r="G287" s="562"/>
      <c r="H287" s="562"/>
      <c r="I287" s="564"/>
      <c r="J287" s="564"/>
      <c r="K287" s="564"/>
      <c r="L287" s="582">
        <f>Inputs!$F$233</f>
        <v>5000</v>
      </c>
      <c r="M287" s="583"/>
      <c r="N287" s="583"/>
      <c r="O287" s="604">
        <f ca="1">L288*O251</f>
        <v>183842.89799999999</v>
      </c>
      <c r="P287" s="616"/>
      <c r="Q287" s="605"/>
      <c r="R287" s="910"/>
      <c r="S287" s="910"/>
      <c r="T287" s="910"/>
      <c r="U287" s="910"/>
      <c r="V287" s="910"/>
      <c r="W287" s="910"/>
      <c r="X287" s="910"/>
      <c r="Y287" s="910"/>
      <c r="Z287" s="910"/>
      <c r="AA287" s="567"/>
      <c r="AB287" s="458"/>
      <c r="AC287" s="458"/>
      <c r="AD287" s="458"/>
      <c r="AE287" s="458"/>
      <c r="AF287" s="458"/>
      <c r="AG287" s="458"/>
      <c r="AH287" s="458"/>
      <c r="AI287" s="458"/>
      <c r="AJ287" s="458"/>
      <c r="AK287" s="458"/>
      <c r="AL287" s="458"/>
      <c r="AM287" s="458"/>
      <c r="AN287" s="458"/>
      <c r="AO287" s="191"/>
      <c r="AP287" s="192"/>
      <c r="AQ287" s="192"/>
      <c r="AR287" s="126"/>
    </row>
    <row r="288" spans="1:49" ht="17.25" customHeight="1">
      <c r="A288" s="910"/>
      <c r="B288" s="567"/>
      <c r="C288" s="562" t="s">
        <v>717</v>
      </c>
      <c r="D288" s="562"/>
      <c r="E288" s="562"/>
      <c r="F288" s="562"/>
      <c r="G288" s="562"/>
      <c r="H288" s="562"/>
      <c r="I288" s="559"/>
      <c r="J288" s="565"/>
      <c r="K288" s="565"/>
      <c r="L288" s="582">
        <f ca="1">ROUND(L286+L287,4)</f>
        <v>183842.89799999999</v>
      </c>
      <c r="M288" s="583"/>
      <c r="N288" s="583"/>
      <c r="O288" s="604">
        <f ca="1">ROUND(O286+O287,4)</f>
        <v>242826.42300000001</v>
      </c>
      <c r="P288" s="616"/>
      <c r="Q288" s="605"/>
      <c r="R288" s="910"/>
      <c r="S288" s="910"/>
      <c r="T288" s="910"/>
      <c r="U288" s="910"/>
      <c r="V288" s="910"/>
      <c r="W288" s="910"/>
      <c r="X288" s="910"/>
      <c r="Y288" s="910"/>
      <c r="Z288" s="910"/>
      <c r="AA288" s="567"/>
      <c r="AB288" s="458"/>
      <c r="AC288" s="458"/>
      <c r="AD288" s="458"/>
      <c r="AE288" s="458"/>
      <c r="AF288" s="458"/>
      <c r="AG288" s="458"/>
      <c r="AH288" s="458"/>
      <c r="AI288" s="458"/>
      <c r="AJ288" s="458"/>
      <c r="AK288" s="458"/>
      <c r="AL288" s="458"/>
      <c r="AM288" s="458"/>
      <c r="AN288" s="458"/>
      <c r="AO288" s="191"/>
      <c r="AP288" s="192"/>
      <c r="AQ288" s="192"/>
      <c r="AR288" s="126"/>
    </row>
    <row r="289" spans="1:44" ht="18" customHeight="1">
      <c r="A289" s="910"/>
      <c r="B289" s="191"/>
      <c r="C289" s="501" t="s">
        <v>735</v>
      </c>
      <c r="D289" s="261"/>
      <c r="E289" s="261"/>
      <c r="F289" s="261"/>
      <c r="G289" s="261"/>
      <c r="H289" s="261"/>
      <c r="I289" s="648">
        <f ca="1">ROUND(L287+L286+O286-LOOKUP(Enddatum,'Summary 03'!$J$8:$AA$8,'Summary 03'!$J$56:$AA$56),1)</f>
        <v>0</v>
      </c>
      <c r="J289" s="648"/>
      <c r="K289" s="575"/>
      <c r="L289" s="573"/>
      <c r="M289" s="574"/>
      <c r="N289" s="574"/>
      <c r="O289" s="573"/>
      <c r="P289" s="574"/>
      <c r="Q289" s="574"/>
      <c r="R289" s="910"/>
      <c r="S289" s="910"/>
      <c r="T289" s="910"/>
      <c r="U289" s="910"/>
      <c r="V289" s="910"/>
      <c r="W289" s="910"/>
      <c r="X289" s="910"/>
      <c r="Y289" s="910"/>
      <c r="Z289" s="910"/>
      <c r="AA289" s="567"/>
      <c r="AB289" s="574"/>
      <c r="AC289" s="574"/>
      <c r="AD289" s="574"/>
      <c r="AE289" s="458"/>
      <c r="AF289" s="458"/>
      <c r="AG289" s="458"/>
      <c r="AH289" s="458"/>
      <c r="AI289" s="458"/>
      <c r="AJ289" s="458"/>
      <c r="AK289" s="458"/>
      <c r="AL289" s="458"/>
      <c r="AM289" s="458"/>
      <c r="AN289" s="458"/>
      <c r="AO289" s="191"/>
      <c r="AP289" s="192"/>
      <c r="AQ289" s="192"/>
      <c r="AR289" s="126"/>
    </row>
    <row r="290" spans="1:44" s="830" customFormat="1" ht="17.25" customHeight="1">
      <c r="A290" s="910"/>
      <c r="B290" s="567"/>
      <c r="C290" s="567"/>
      <c r="D290" s="910"/>
      <c r="E290" s="910"/>
      <c r="F290" s="910"/>
      <c r="G290" s="910"/>
      <c r="H290" s="910"/>
      <c r="I290" s="910"/>
      <c r="J290" s="910"/>
      <c r="K290" s="910"/>
      <c r="L290" s="910"/>
      <c r="M290" s="910"/>
      <c r="N290" s="910"/>
      <c r="O290" s="910"/>
      <c r="P290" s="910"/>
      <c r="Q290" s="910"/>
      <c r="R290" s="910"/>
      <c r="S290" s="910"/>
      <c r="T290" s="910"/>
      <c r="U290" s="910"/>
      <c r="V290" s="910"/>
      <c r="W290" s="910"/>
      <c r="X290" s="910"/>
      <c r="Y290" s="910"/>
      <c r="Z290" s="910"/>
      <c r="AA290" s="910"/>
      <c r="AB290" s="567"/>
      <c r="AC290" s="567"/>
      <c r="AD290" s="567"/>
      <c r="AE290" s="567"/>
      <c r="AF290" s="567"/>
      <c r="AG290" s="567"/>
      <c r="AH290" s="567"/>
      <c r="AI290" s="567"/>
      <c r="AJ290" s="567"/>
      <c r="AK290" s="567"/>
      <c r="AL290" s="567"/>
      <c r="AM290" s="567"/>
      <c r="AN290" s="567"/>
      <c r="AO290" s="567"/>
      <c r="AP290" s="566"/>
      <c r="AQ290" s="566"/>
      <c r="AR290" s="831"/>
    </row>
    <row r="291" spans="1:44" s="911" customFormat="1" ht="17.25" customHeight="1">
      <c r="A291" s="910"/>
      <c r="B291" s="910"/>
      <c r="C291" s="910"/>
      <c r="D291" s="910"/>
      <c r="E291" s="910"/>
      <c r="F291" s="910"/>
      <c r="G291" s="910"/>
      <c r="H291" s="910"/>
      <c r="I291" s="910"/>
      <c r="J291" s="910"/>
      <c r="K291" s="910"/>
      <c r="L291" s="910"/>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0"/>
      <c r="AN291" s="910"/>
      <c r="AO291" s="910"/>
      <c r="AP291" s="566"/>
      <c r="AQ291" s="566"/>
      <c r="AR291" s="831"/>
    </row>
    <row r="292" spans="1:44" s="911" customFormat="1" ht="23.25" customHeight="1">
      <c r="A292" s="910"/>
      <c r="B292" s="910"/>
      <c r="C292" s="194" t="s">
        <v>846</v>
      </c>
      <c r="D292" s="767"/>
      <c r="E292" s="566"/>
      <c r="F292" s="566"/>
      <c r="G292" s="566"/>
      <c r="H292" s="566"/>
      <c r="I292" s="566"/>
      <c r="J292" s="566"/>
      <c r="K292" s="195" t="str">
        <f>"  all currency in " &amp;Currency_Label</f>
        <v xml:space="preserve">  all currency in USD</v>
      </c>
      <c r="L292" s="566"/>
      <c r="M292" s="566"/>
      <c r="N292" s="566"/>
      <c r="O292" s="566"/>
      <c r="P292" s="566"/>
      <c r="Q292" s="566"/>
      <c r="R292" s="566"/>
      <c r="S292" s="566"/>
      <c r="T292" s="566"/>
      <c r="U292" s="566"/>
      <c r="V292" s="566"/>
      <c r="W292" s="566"/>
      <c r="X292" s="566"/>
      <c r="Y292" s="566"/>
      <c r="Z292" s="566"/>
      <c r="AA292" s="566"/>
      <c r="AB292" s="566"/>
      <c r="AC292" s="566"/>
      <c r="AD292" s="566"/>
      <c r="AE292" s="566"/>
      <c r="AF292" s="566"/>
      <c r="AG292" s="566"/>
      <c r="AH292" s="566"/>
      <c r="AI292" s="566"/>
      <c r="AJ292" s="566"/>
      <c r="AK292" s="566"/>
      <c r="AL292" s="566"/>
      <c r="AM292" s="566"/>
      <c r="AN292" s="566"/>
      <c r="AO292" s="910"/>
      <c r="AP292" s="566"/>
      <c r="AQ292" s="566"/>
      <c r="AR292" s="831"/>
    </row>
    <row r="293" spans="1:44" s="911" customFormat="1" ht="13.5" customHeight="1">
      <c r="A293" s="910"/>
      <c r="B293" s="910"/>
      <c r="C293" s="195"/>
      <c r="D293" s="767"/>
      <c r="E293" s="566"/>
      <c r="F293" s="566"/>
      <c r="G293" s="566"/>
      <c r="H293" s="566"/>
      <c r="I293" s="566"/>
      <c r="J293" s="566"/>
      <c r="K293" s="566"/>
      <c r="L293" s="566"/>
      <c r="M293" s="566"/>
      <c r="N293" s="566"/>
      <c r="O293" s="566"/>
      <c r="P293" s="566"/>
      <c r="Q293" s="566"/>
      <c r="R293" s="566"/>
      <c r="S293" s="566"/>
      <c r="T293" s="566"/>
      <c r="U293" s="566"/>
      <c r="V293" s="566"/>
      <c r="W293" s="566"/>
      <c r="X293" s="566"/>
      <c r="Y293" s="566"/>
      <c r="Z293" s="566"/>
      <c r="AA293" s="566"/>
      <c r="AB293" s="566"/>
      <c r="AC293" s="566"/>
      <c r="AD293" s="566"/>
      <c r="AE293" s="566"/>
      <c r="AF293" s="566"/>
      <c r="AG293" s="566"/>
      <c r="AH293" s="566"/>
      <c r="AI293" s="566"/>
      <c r="AJ293" s="566"/>
      <c r="AK293" s="566"/>
      <c r="AL293" s="566"/>
      <c r="AM293" s="566"/>
      <c r="AN293" s="566"/>
      <c r="AO293" s="910"/>
      <c r="AP293" s="566"/>
      <c r="AQ293" s="566"/>
      <c r="AR293" s="831"/>
    </row>
    <row r="294" spans="1:44" s="911" customFormat="1" ht="17.25" customHeight="1">
      <c r="A294" s="910"/>
      <c r="B294" s="910"/>
      <c r="C294" s="566"/>
      <c r="D294" s="566"/>
      <c r="E294" s="566"/>
      <c r="F294" s="566"/>
      <c r="G294" s="566"/>
      <c r="H294" s="566"/>
      <c r="I294" s="566"/>
      <c r="J294" s="566"/>
      <c r="K294" s="566"/>
      <c r="L294" s="566"/>
      <c r="M294" s="566"/>
      <c r="N294" s="566"/>
      <c r="O294" s="566"/>
      <c r="P294" s="566"/>
      <c r="Q294" s="566"/>
      <c r="R294" s="566"/>
      <c r="S294" s="566"/>
      <c r="T294" s="566"/>
      <c r="U294" s="566"/>
      <c r="V294" s="566"/>
      <c r="W294" s="566"/>
      <c r="X294" s="566"/>
      <c r="Y294" s="566"/>
      <c r="Z294" s="566"/>
      <c r="AA294" s="566"/>
      <c r="AB294" s="566"/>
      <c r="AC294" s="566"/>
      <c r="AD294" s="566"/>
      <c r="AE294" s="566"/>
      <c r="AF294" s="566"/>
      <c r="AG294" s="566"/>
      <c r="AH294" s="566"/>
      <c r="AI294" s="566"/>
      <c r="AJ294" s="566"/>
      <c r="AK294" s="566"/>
      <c r="AL294" s="566"/>
      <c r="AM294" s="566"/>
      <c r="AN294" s="566"/>
      <c r="AO294" s="910"/>
      <c r="AP294" s="566"/>
      <c r="AQ294" s="566"/>
      <c r="AR294" s="831"/>
    </row>
    <row r="295" spans="1:44" s="911" customFormat="1" ht="17.25" customHeight="1">
      <c r="A295" s="910"/>
      <c r="B295" s="910"/>
      <c r="C295" s="566"/>
      <c r="D295" s="566"/>
      <c r="E295" s="566"/>
      <c r="F295" s="566"/>
      <c r="G295" s="566"/>
      <c r="H295" s="566"/>
      <c r="I295" s="566"/>
      <c r="J295" s="566"/>
      <c r="K295" s="566"/>
      <c r="L295" s="566"/>
      <c r="M295" s="566"/>
      <c r="N295" s="566"/>
      <c r="O295" s="566"/>
      <c r="P295" s="566"/>
      <c r="Q295" s="566"/>
      <c r="R295" s="566"/>
      <c r="S295" s="566"/>
      <c r="T295" s="566"/>
      <c r="U295" s="566"/>
      <c r="V295" s="566"/>
      <c r="W295" s="566"/>
      <c r="X295" s="566"/>
      <c r="Y295" s="566"/>
      <c r="Z295" s="566"/>
      <c r="AA295" s="566"/>
      <c r="AB295" s="566"/>
      <c r="AC295" s="566"/>
      <c r="AD295" s="566"/>
      <c r="AE295" s="566"/>
      <c r="AF295" s="566"/>
      <c r="AG295" s="566"/>
      <c r="AH295" s="566"/>
      <c r="AI295" s="566"/>
      <c r="AJ295" s="566"/>
      <c r="AK295" s="566"/>
      <c r="AL295" s="566"/>
      <c r="AM295" s="566"/>
      <c r="AN295" s="566"/>
      <c r="AO295" s="910"/>
      <c r="AP295" s="566"/>
      <c r="AQ295" s="566"/>
      <c r="AR295" s="831"/>
    </row>
    <row r="296" spans="1:44" s="911" customFormat="1" ht="17.25" customHeight="1">
      <c r="A296" s="910"/>
      <c r="B296" s="910"/>
      <c r="C296" s="566"/>
      <c r="D296" s="566"/>
      <c r="E296" s="566"/>
      <c r="F296" s="566"/>
      <c r="G296" s="566"/>
      <c r="H296" s="566"/>
      <c r="I296" s="566"/>
      <c r="J296" s="566"/>
      <c r="K296" s="566"/>
      <c r="L296" s="566"/>
      <c r="M296" s="566"/>
      <c r="N296" s="566"/>
      <c r="O296" s="566"/>
      <c r="P296" s="566"/>
      <c r="Q296" s="566"/>
      <c r="R296" s="566"/>
      <c r="S296" s="566"/>
      <c r="T296" s="566"/>
      <c r="U296" s="566"/>
      <c r="V296" s="566"/>
      <c r="W296" s="566"/>
      <c r="X296" s="566"/>
      <c r="Y296" s="566"/>
      <c r="Z296" s="566"/>
      <c r="AA296" s="566"/>
      <c r="AB296" s="566"/>
      <c r="AC296" s="566"/>
      <c r="AD296" s="566"/>
      <c r="AE296" s="566"/>
      <c r="AF296" s="566"/>
      <c r="AG296" s="566"/>
      <c r="AH296" s="566"/>
      <c r="AI296" s="566"/>
      <c r="AJ296" s="566"/>
      <c r="AK296" s="566"/>
      <c r="AL296" s="566"/>
      <c r="AM296" s="566"/>
      <c r="AN296" s="566"/>
      <c r="AO296" s="910"/>
      <c r="AP296" s="566"/>
      <c r="AQ296" s="566"/>
      <c r="AR296" s="831"/>
    </row>
    <row r="297" spans="1:44" s="911" customFormat="1" ht="17.25" customHeight="1">
      <c r="A297" s="910"/>
      <c r="B297" s="910"/>
      <c r="C297" s="566"/>
      <c r="D297" s="566"/>
      <c r="E297" s="566"/>
      <c r="F297" s="566"/>
      <c r="G297" s="566"/>
      <c r="H297" s="566"/>
      <c r="I297" s="566"/>
      <c r="J297" s="566"/>
      <c r="K297" s="566"/>
      <c r="L297" s="566"/>
      <c r="M297" s="566"/>
      <c r="N297" s="566"/>
      <c r="O297" s="566"/>
      <c r="P297" s="566"/>
      <c r="Q297" s="566"/>
      <c r="R297" s="566"/>
      <c r="S297" s="566"/>
      <c r="T297" s="566"/>
      <c r="U297" s="566"/>
      <c r="V297" s="566"/>
      <c r="W297" s="566"/>
      <c r="X297" s="566"/>
      <c r="Y297" s="566"/>
      <c r="Z297" s="566"/>
      <c r="AA297" s="566"/>
      <c r="AB297" s="566"/>
      <c r="AC297" s="566"/>
      <c r="AD297" s="566"/>
      <c r="AE297" s="566"/>
      <c r="AF297" s="566"/>
      <c r="AG297" s="566"/>
      <c r="AH297" s="566"/>
      <c r="AI297" s="566"/>
      <c r="AJ297" s="566"/>
      <c r="AK297" s="566"/>
      <c r="AL297" s="566"/>
      <c r="AM297" s="566"/>
      <c r="AN297" s="566"/>
      <c r="AO297" s="910"/>
      <c r="AP297" s="566"/>
      <c r="AQ297" s="566"/>
      <c r="AR297" s="831"/>
    </row>
    <row r="298" spans="1:44" s="911" customFormat="1" ht="17.25" customHeight="1">
      <c r="A298" s="910"/>
      <c r="B298" s="910"/>
      <c r="C298" s="566"/>
      <c r="D298" s="566"/>
      <c r="E298" s="566"/>
      <c r="F298" s="566"/>
      <c r="G298" s="566"/>
      <c r="H298" s="566"/>
      <c r="I298" s="566"/>
      <c r="J298" s="566"/>
      <c r="K298" s="566"/>
      <c r="L298" s="566"/>
      <c r="M298" s="566"/>
      <c r="N298" s="566"/>
      <c r="O298" s="566"/>
      <c r="P298" s="566"/>
      <c r="Q298" s="566"/>
      <c r="R298" s="566"/>
      <c r="S298" s="566"/>
      <c r="T298" s="566"/>
      <c r="U298" s="566"/>
      <c r="V298" s="566"/>
      <c r="W298" s="566"/>
      <c r="X298" s="566"/>
      <c r="Y298" s="566"/>
      <c r="Z298" s="566"/>
      <c r="AA298" s="566"/>
      <c r="AB298" s="566"/>
      <c r="AC298" s="566"/>
      <c r="AD298" s="566"/>
      <c r="AE298" s="566"/>
      <c r="AF298" s="566"/>
      <c r="AG298" s="566"/>
      <c r="AH298" s="566"/>
      <c r="AI298" s="566"/>
      <c r="AJ298" s="566"/>
      <c r="AK298" s="566"/>
      <c r="AL298" s="566"/>
      <c r="AM298" s="566"/>
      <c r="AN298" s="566"/>
      <c r="AO298" s="910"/>
      <c r="AP298" s="566"/>
      <c r="AQ298" s="566"/>
      <c r="AR298" s="831"/>
    </row>
    <row r="299" spans="1:44" s="911" customFormat="1" ht="17.25" customHeight="1">
      <c r="A299" s="910"/>
      <c r="B299" s="910"/>
      <c r="C299" s="566"/>
      <c r="D299" s="566"/>
      <c r="E299" s="566"/>
      <c r="F299" s="566"/>
      <c r="G299" s="566"/>
      <c r="H299" s="566"/>
      <c r="I299" s="566"/>
      <c r="J299" s="566"/>
      <c r="K299" s="566"/>
      <c r="L299" s="566"/>
      <c r="M299" s="566"/>
      <c r="N299" s="566"/>
      <c r="O299" s="566"/>
      <c r="P299" s="566"/>
      <c r="Q299" s="566"/>
      <c r="R299" s="566"/>
      <c r="S299" s="566"/>
      <c r="T299" s="566"/>
      <c r="U299" s="566"/>
      <c r="V299" s="566"/>
      <c r="W299" s="566"/>
      <c r="X299" s="566"/>
      <c r="Y299" s="566"/>
      <c r="Z299" s="566"/>
      <c r="AA299" s="566"/>
      <c r="AB299" s="566"/>
      <c r="AC299" s="566"/>
      <c r="AD299" s="566"/>
      <c r="AE299" s="566"/>
      <c r="AF299" s="566"/>
      <c r="AG299" s="566"/>
      <c r="AH299" s="566"/>
      <c r="AI299" s="566"/>
      <c r="AJ299" s="566"/>
      <c r="AK299" s="566"/>
      <c r="AL299" s="566"/>
      <c r="AM299" s="566"/>
      <c r="AN299" s="566"/>
      <c r="AO299" s="910"/>
      <c r="AP299" s="566"/>
      <c r="AQ299" s="566"/>
      <c r="AR299" s="831"/>
    </row>
    <row r="300" spans="1:44" s="911" customFormat="1" ht="17.25" customHeight="1">
      <c r="A300" s="910"/>
      <c r="B300" s="910"/>
      <c r="C300" s="566"/>
      <c r="D300" s="566"/>
      <c r="E300" s="566"/>
      <c r="F300" s="566"/>
      <c r="G300" s="566"/>
      <c r="H300" s="566"/>
      <c r="I300" s="566"/>
      <c r="J300" s="566"/>
      <c r="K300" s="566"/>
      <c r="L300" s="566"/>
      <c r="M300" s="566"/>
      <c r="N300" s="566"/>
      <c r="O300" s="566"/>
      <c r="P300" s="566"/>
      <c r="Q300" s="566"/>
      <c r="R300" s="566"/>
      <c r="S300" s="566"/>
      <c r="T300" s="566"/>
      <c r="U300" s="566"/>
      <c r="V300" s="566"/>
      <c r="W300" s="566"/>
      <c r="X300" s="566"/>
      <c r="Y300" s="566"/>
      <c r="Z300" s="566"/>
      <c r="AA300" s="566"/>
      <c r="AB300" s="566"/>
      <c r="AC300" s="566"/>
      <c r="AD300" s="566"/>
      <c r="AE300" s="566"/>
      <c r="AF300" s="566"/>
      <c r="AG300" s="566"/>
      <c r="AH300" s="566"/>
      <c r="AI300" s="566"/>
      <c r="AJ300" s="566"/>
      <c r="AK300" s="566"/>
      <c r="AL300" s="566"/>
      <c r="AM300" s="566"/>
      <c r="AN300" s="566"/>
      <c r="AO300" s="910"/>
      <c r="AP300" s="566"/>
      <c r="AQ300" s="566"/>
      <c r="AR300" s="831"/>
    </row>
    <row r="301" spans="1:44" s="911" customFormat="1" ht="17.25" customHeight="1">
      <c r="A301" s="910"/>
      <c r="B301" s="910"/>
      <c r="C301" s="566"/>
      <c r="D301" s="566"/>
      <c r="E301" s="566"/>
      <c r="F301" s="566"/>
      <c r="G301" s="566"/>
      <c r="H301" s="566"/>
      <c r="I301" s="566"/>
      <c r="J301" s="566"/>
      <c r="K301" s="566"/>
      <c r="L301" s="566"/>
      <c r="M301" s="566"/>
      <c r="N301" s="566"/>
      <c r="O301" s="566"/>
      <c r="P301" s="566"/>
      <c r="Q301" s="566"/>
      <c r="R301" s="566"/>
      <c r="S301" s="566"/>
      <c r="T301" s="566"/>
      <c r="U301" s="566"/>
      <c r="V301" s="566"/>
      <c r="W301" s="566"/>
      <c r="X301" s="566"/>
      <c r="Y301" s="566"/>
      <c r="Z301" s="566"/>
      <c r="AA301" s="566"/>
      <c r="AB301" s="566"/>
      <c r="AC301" s="566"/>
      <c r="AD301" s="566"/>
      <c r="AE301" s="566"/>
      <c r="AF301" s="566"/>
      <c r="AG301" s="566"/>
      <c r="AH301" s="566"/>
      <c r="AI301" s="566"/>
      <c r="AJ301" s="566"/>
      <c r="AK301" s="566"/>
      <c r="AL301" s="566"/>
      <c r="AM301" s="566"/>
      <c r="AN301" s="566"/>
      <c r="AO301" s="910"/>
      <c r="AP301" s="566"/>
      <c r="AQ301" s="566"/>
      <c r="AR301" s="831"/>
    </row>
    <row r="302" spans="1:44" s="911" customFormat="1" ht="17.25" customHeight="1">
      <c r="A302" s="910"/>
      <c r="B302" s="910"/>
      <c r="C302" s="566"/>
      <c r="D302" s="566"/>
      <c r="E302" s="566"/>
      <c r="F302" s="566"/>
      <c r="G302" s="566"/>
      <c r="H302" s="566"/>
      <c r="I302" s="566"/>
      <c r="J302" s="566"/>
      <c r="K302" s="566"/>
      <c r="L302" s="566"/>
      <c r="M302" s="566"/>
      <c r="N302" s="566"/>
      <c r="O302" s="566"/>
      <c r="P302" s="566"/>
      <c r="Q302" s="566"/>
      <c r="R302" s="566"/>
      <c r="S302" s="566"/>
      <c r="T302" s="566"/>
      <c r="U302" s="566"/>
      <c r="V302" s="566"/>
      <c r="W302" s="566"/>
      <c r="X302" s="566"/>
      <c r="Y302" s="566"/>
      <c r="Z302" s="566"/>
      <c r="AA302" s="566"/>
      <c r="AB302" s="566"/>
      <c r="AC302" s="566"/>
      <c r="AD302" s="566"/>
      <c r="AE302" s="566"/>
      <c r="AF302" s="566"/>
      <c r="AG302" s="566"/>
      <c r="AH302" s="566"/>
      <c r="AI302" s="566"/>
      <c r="AJ302" s="566"/>
      <c r="AK302" s="566"/>
      <c r="AL302" s="566"/>
      <c r="AM302" s="566"/>
      <c r="AN302" s="566"/>
      <c r="AO302" s="910"/>
      <c r="AP302" s="566"/>
      <c r="AQ302" s="566"/>
      <c r="AR302" s="831"/>
    </row>
    <row r="303" spans="1:44" s="911" customFormat="1" ht="17.25" customHeight="1">
      <c r="A303" s="910"/>
      <c r="B303" s="910"/>
      <c r="C303" s="566"/>
      <c r="D303" s="566"/>
      <c r="E303" s="566"/>
      <c r="F303" s="566"/>
      <c r="G303" s="566"/>
      <c r="H303" s="566"/>
      <c r="I303" s="566"/>
      <c r="J303" s="566"/>
      <c r="K303" s="566"/>
      <c r="L303" s="566"/>
      <c r="M303" s="566"/>
      <c r="N303" s="566"/>
      <c r="O303" s="566"/>
      <c r="P303" s="566"/>
      <c r="Q303" s="566"/>
      <c r="R303" s="566"/>
      <c r="S303" s="566"/>
      <c r="T303" s="566"/>
      <c r="U303" s="566"/>
      <c r="V303" s="566"/>
      <c r="W303" s="566"/>
      <c r="X303" s="566"/>
      <c r="Y303" s="566"/>
      <c r="Z303" s="566"/>
      <c r="AA303" s="566"/>
      <c r="AB303" s="566"/>
      <c r="AC303" s="566"/>
      <c r="AD303" s="566"/>
      <c r="AE303" s="566"/>
      <c r="AF303" s="566"/>
      <c r="AG303" s="566"/>
      <c r="AH303" s="566"/>
      <c r="AI303" s="566"/>
      <c r="AJ303" s="566"/>
      <c r="AK303" s="566"/>
      <c r="AL303" s="566"/>
      <c r="AM303" s="566"/>
      <c r="AN303" s="566"/>
      <c r="AO303" s="910"/>
      <c r="AP303" s="566"/>
      <c r="AQ303" s="566"/>
      <c r="AR303" s="831"/>
    </row>
    <row r="304" spans="1:44" s="911" customFormat="1" ht="17.25" customHeight="1">
      <c r="A304" s="910"/>
      <c r="B304" s="910"/>
      <c r="C304" s="566"/>
      <c r="D304" s="566"/>
      <c r="E304" s="566"/>
      <c r="F304" s="566"/>
      <c r="G304" s="566"/>
      <c r="H304" s="566"/>
      <c r="I304" s="566"/>
      <c r="J304" s="566"/>
      <c r="K304" s="566"/>
      <c r="L304" s="566"/>
      <c r="M304" s="566"/>
      <c r="N304" s="566"/>
      <c r="O304" s="566"/>
      <c r="P304" s="566"/>
      <c r="Q304" s="566"/>
      <c r="R304" s="566"/>
      <c r="S304" s="566"/>
      <c r="T304" s="566"/>
      <c r="U304" s="566"/>
      <c r="V304" s="566"/>
      <c r="W304" s="566"/>
      <c r="X304" s="566"/>
      <c r="Y304" s="566"/>
      <c r="Z304" s="566"/>
      <c r="AA304" s="566"/>
      <c r="AB304" s="566"/>
      <c r="AC304" s="566"/>
      <c r="AD304" s="566"/>
      <c r="AE304" s="566"/>
      <c r="AF304" s="566"/>
      <c r="AG304" s="566"/>
      <c r="AH304" s="566"/>
      <c r="AI304" s="566"/>
      <c r="AJ304" s="566"/>
      <c r="AK304" s="566"/>
      <c r="AL304" s="566"/>
      <c r="AM304" s="566"/>
      <c r="AN304" s="566"/>
      <c r="AO304" s="910"/>
      <c r="AP304" s="566"/>
      <c r="AQ304" s="566"/>
      <c r="AR304" s="831"/>
    </row>
    <row r="305" spans="1:49" s="911" customFormat="1" ht="17.25" customHeight="1">
      <c r="A305" s="910"/>
      <c r="B305" s="910"/>
      <c r="C305" s="566"/>
      <c r="D305" s="566"/>
      <c r="E305" s="566"/>
      <c r="F305" s="566"/>
      <c r="G305" s="566"/>
      <c r="H305" s="566"/>
      <c r="I305" s="566"/>
      <c r="J305" s="566"/>
      <c r="K305" s="566"/>
      <c r="L305" s="566"/>
      <c r="M305" s="566"/>
      <c r="N305" s="566"/>
      <c r="O305" s="566"/>
      <c r="P305" s="566"/>
      <c r="Q305" s="566"/>
      <c r="R305" s="566"/>
      <c r="S305" s="566"/>
      <c r="T305" s="566"/>
      <c r="U305" s="566"/>
      <c r="V305" s="566"/>
      <c r="W305" s="566"/>
      <c r="X305" s="566"/>
      <c r="Y305" s="566"/>
      <c r="Z305" s="566"/>
      <c r="AA305" s="566"/>
      <c r="AB305" s="566"/>
      <c r="AC305" s="566"/>
      <c r="AD305" s="566"/>
      <c r="AE305" s="566"/>
      <c r="AF305" s="566"/>
      <c r="AG305" s="566"/>
      <c r="AH305" s="566"/>
      <c r="AI305" s="566"/>
      <c r="AJ305" s="566"/>
      <c r="AK305" s="566"/>
      <c r="AL305" s="566"/>
      <c r="AM305" s="566"/>
      <c r="AN305" s="566"/>
      <c r="AO305" s="910"/>
      <c r="AP305" s="566"/>
      <c r="AQ305" s="566"/>
      <c r="AR305" s="831"/>
    </row>
    <row r="306" spans="1:49" s="911" customFormat="1" ht="17.25" customHeight="1">
      <c r="A306" s="910"/>
      <c r="B306" s="910"/>
      <c r="C306" s="566"/>
      <c r="D306" s="566"/>
      <c r="E306" s="566"/>
      <c r="F306" s="566"/>
      <c r="G306" s="566"/>
      <c r="H306" s="566"/>
      <c r="I306" s="566"/>
      <c r="J306" s="566"/>
      <c r="K306" s="566"/>
      <c r="L306" s="566"/>
      <c r="M306" s="566"/>
      <c r="N306" s="566"/>
      <c r="O306" s="566"/>
      <c r="P306" s="566"/>
      <c r="Q306" s="566"/>
      <c r="R306" s="566"/>
      <c r="S306" s="566"/>
      <c r="T306" s="566"/>
      <c r="U306" s="566"/>
      <c r="V306" s="566"/>
      <c r="W306" s="566"/>
      <c r="X306" s="566"/>
      <c r="Y306" s="566"/>
      <c r="Z306" s="566"/>
      <c r="AA306" s="566"/>
      <c r="AB306" s="566"/>
      <c r="AC306" s="566"/>
      <c r="AD306" s="566"/>
      <c r="AE306" s="566"/>
      <c r="AF306" s="566"/>
      <c r="AG306" s="566"/>
      <c r="AH306" s="566"/>
      <c r="AI306" s="566"/>
      <c r="AJ306" s="566"/>
      <c r="AK306" s="566"/>
      <c r="AL306" s="566"/>
      <c r="AM306" s="566"/>
      <c r="AN306" s="566"/>
      <c r="AO306" s="910"/>
      <c r="AP306" s="566"/>
      <c r="AQ306" s="566"/>
      <c r="AR306" s="831"/>
    </row>
    <row r="307" spans="1:49" s="911" customFormat="1" ht="17.25" customHeight="1">
      <c r="A307" s="910"/>
      <c r="B307" s="910"/>
      <c r="C307" s="566"/>
      <c r="D307" s="566"/>
      <c r="E307" s="566"/>
      <c r="F307" s="566"/>
      <c r="G307" s="566"/>
      <c r="H307" s="566"/>
      <c r="I307" s="566"/>
      <c r="J307" s="566"/>
      <c r="K307" s="566"/>
      <c r="L307" s="566"/>
      <c r="M307" s="566"/>
      <c r="N307" s="566"/>
      <c r="O307" s="566"/>
      <c r="P307" s="566"/>
      <c r="Q307" s="566"/>
      <c r="R307" s="566"/>
      <c r="S307" s="566"/>
      <c r="T307" s="566"/>
      <c r="U307" s="566"/>
      <c r="V307" s="566"/>
      <c r="W307" s="566"/>
      <c r="X307" s="566"/>
      <c r="Y307" s="566"/>
      <c r="Z307" s="566"/>
      <c r="AA307" s="566"/>
      <c r="AB307" s="566"/>
      <c r="AC307" s="566"/>
      <c r="AD307" s="566"/>
      <c r="AE307" s="566"/>
      <c r="AF307" s="566"/>
      <c r="AG307" s="566"/>
      <c r="AH307" s="566"/>
      <c r="AI307" s="566"/>
      <c r="AJ307" s="566"/>
      <c r="AK307" s="566"/>
      <c r="AL307" s="566"/>
      <c r="AM307" s="566"/>
      <c r="AN307" s="566"/>
      <c r="AO307" s="910"/>
      <c r="AP307" s="566"/>
      <c r="AQ307" s="566"/>
      <c r="AR307" s="831"/>
    </row>
    <row r="308" spans="1:49" s="911" customFormat="1" ht="17.25" customHeight="1">
      <c r="A308" s="910"/>
      <c r="B308" s="910"/>
      <c r="C308" s="566"/>
      <c r="D308" s="566"/>
      <c r="E308" s="566"/>
      <c r="F308" s="566"/>
      <c r="G308" s="566"/>
      <c r="H308" s="566"/>
      <c r="I308" s="566"/>
      <c r="J308" s="566"/>
      <c r="K308" s="566"/>
      <c r="L308" s="566"/>
      <c r="M308" s="566"/>
      <c r="N308" s="566"/>
      <c r="O308" s="566"/>
      <c r="P308" s="566"/>
      <c r="Q308" s="566"/>
      <c r="R308" s="566"/>
      <c r="S308" s="566"/>
      <c r="T308" s="566"/>
      <c r="U308" s="566"/>
      <c r="V308" s="566"/>
      <c r="W308" s="566"/>
      <c r="X308" s="566"/>
      <c r="Y308" s="566"/>
      <c r="Z308" s="566"/>
      <c r="AA308" s="566"/>
      <c r="AB308" s="566"/>
      <c r="AC308" s="566"/>
      <c r="AD308" s="566"/>
      <c r="AE308" s="566"/>
      <c r="AF308" s="566"/>
      <c r="AG308" s="566"/>
      <c r="AH308" s="566"/>
      <c r="AI308" s="566"/>
      <c r="AJ308" s="566"/>
      <c r="AK308" s="566"/>
      <c r="AL308" s="566"/>
      <c r="AM308" s="566"/>
      <c r="AN308" s="566"/>
      <c r="AO308" s="910"/>
      <c r="AP308" s="566"/>
      <c r="AQ308" s="566"/>
      <c r="AR308" s="831"/>
    </row>
    <row r="309" spans="1:49" s="911" customFormat="1" ht="17.25" customHeight="1">
      <c r="A309" s="910"/>
      <c r="B309" s="910"/>
      <c r="C309" s="566"/>
      <c r="D309" s="566"/>
      <c r="E309" s="566"/>
      <c r="F309" s="566"/>
      <c r="G309" s="566"/>
      <c r="H309" s="566"/>
      <c r="I309" s="566"/>
      <c r="J309" s="566"/>
      <c r="K309" s="566"/>
      <c r="L309" s="566"/>
      <c r="M309" s="566"/>
      <c r="N309" s="566"/>
      <c r="O309" s="566"/>
      <c r="P309" s="566"/>
      <c r="Q309" s="566"/>
      <c r="R309" s="566"/>
      <c r="S309" s="566"/>
      <c r="T309" s="566"/>
      <c r="U309" s="566"/>
      <c r="V309" s="566"/>
      <c r="W309" s="566"/>
      <c r="X309" s="566"/>
      <c r="Y309" s="566"/>
      <c r="Z309" s="566"/>
      <c r="AA309" s="566"/>
      <c r="AB309" s="566"/>
      <c r="AC309" s="566"/>
      <c r="AD309" s="566"/>
      <c r="AE309" s="566"/>
      <c r="AF309" s="566"/>
      <c r="AG309" s="566"/>
      <c r="AH309" s="566"/>
      <c r="AI309" s="566"/>
      <c r="AJ309" s="566"/>
      <c r="AK309" s="566"/>
      <c r="AL309" s="566"/>
      <c r="AM309" s="566"/>
      <c r="AN309" s="566"/>
      <c r="AO309" s="910"/>
      <c r="AP309" s="566"/>
      <c r="AQ309" s="566"/>
      <c r="AR309" s="831"/>
    </row>
    <row r="310" spans="1:49" s="911" customFormat="1" ht="17.25" customHeight="1">
      <c r="A310" s="910"/>
      <c r="B310" s="910"/>
      <c r="C310" s="566"/>
      <c r="D310" s="566"/>
      <c r="E310" s="566"/>
      <c r="F310" s="566"/>
      <c r="G310" s="566"/>
      <c r="H310" s="566"/>
      <c r="I310" s="566"/>
      <c r="J310" s="566"/>
      <c r="K310" s="566"/>
      <c r="L310" s="566"/>
      <c r="M310" s="566"/>
      <c r="N310" s="566"/>
      <c r="O310" s="566"/>
      <c r="P310" s="566"/>
      <c r="Q310" s="566"/>
      <c r="R310" s="566"/>
      <c r="S310" s="566"/>
      <c r="T310" s="566"/>
      <c r="U310" s="566"/>
      <c r="V310" s="566"/>
      <c r="W310" s="566"/>
      <c r="X310" s="566"/>
      <c r="Y310" s="566"/>
      <c r="Z310" s="566"/>
      <c r="AA310" s="566"/>
      <c r="AB310" s="566"/>
      <c r="AC310" s="566"/>
      <c r="AD310" s="566"/>
      <c r="AE310" s="566"/>
      <c r="AF310" s="566"/>
      <c r="AG310" s="566"/>
      <c r="AH310" s="566"/>
      <c r="AI310" s="566"/>
      <c r="AJ310" s="566"/>
      <c r="AK310" s="566"/>
      <c r="AL310" s="566"/>
      <c r="AM310" s="566"/>
      <c r="AN310" s="566"/>
      <c r="AO310" s="910"/>
      <c r="AP310" s="566"/>
      <c r="AQ310" s="566"/>
      <c r="AR310" s="831"/>
    </row>
    <row r="311" spans="1:49" s="911" customFormat="1" ht="17.25" customHeight="1">
      <c r="A311" s="910"/>
      <c r="B311" s="910"/>
      <c r="C311" s="566"/>
      <c r="D311" s="566"/>
      <c r="E311" s="566"/>
      <c r="F311" s="566"/>
      <c r="G311" s="566"/>
      <c r="H311" s="566"/>
      <c r="I311" s="566"/>
      <c r="J311" s="566"/>
      <c r="K311" s="566"/>
      <c r="L311" s="566"/>
      <c r="M311" s="566"/>
      <c r="N311" s="566"/>
      <c r="O311" s="566"/>
      <c r="P311" s="566"/>
      <c r="Q311" s="566"/>
      <c r="R311" s="566"/>
      <c r="S311" s="566"/>
      <c r="T311" s="566"/>
      <c r="U311" s="566"/>
      <c r="V311" s="566"/>
      <c r="W311" s="566"/>
      <c r="X311" s="566"/>
      <c r="Y311" s="566"/>
      <c r="Z311" s="566"/>
      <c r="AA311" s="566"/>
      <c r="AB311" s="566"/>
      <c r="AC311" s="566"/>
      <c r="AD311" s="566"/>
      <c r="AE311" s="566"/>
      <c r="AF311" s="566"/>
      <c r="AG311" s="566"/>
      <c r="AH311" s="566"/>
      <c r="AI311" s="566"/>
      <c r="AJ311" s="566"/>
      <c r="AK311" s="566"/>
      <c r="AL311" s="566"/>
      <c r="AM311" s="566"/>
      <c r="AN311" s="566"/>
      <c r="AO311" s="910"/>
      <c r="AP311" s="566"/>
      <c r="AQ311" s="566"/>
      <c r="AR311" s="831"/>
    </row>
    <row r="312" spans="1:49" s="911" customFormat="1" ht="17.25" customHeight="1">
      <c r="A312" s="910"/>
      <c r="B312" s="910"/>
      <c r="C312" s="566"/>
      <c r="D312" s="566"/>
      <c r="E312" s="566"/>
      <c r="F312" s="566"/>
      <c r="G312" s="566"/>
      <c r="H312" s="566"/>
      <c r="I312" s="566"/>
      <c r="J312" s="566"/>
      <c r="K312" s="566"/>
      <c r="L312" s="566"/>
      <c r="M312" s="566"/>
      <c r="N312" s="566"/>
      <c r="O312" s="566"/>
      <c r="P312" s="566"/>
      <c r="Q312" s="566"/>
      <c r="R312" s="566"/>
      <c r="S312" s="566"/>
      <c r="T312" s="566"/>
      <c r="U312" s="566"/>
      <c r="V312" s="566"/>
      <c r="W312" s="566"/>
      <c r="X312" s="566"/>
      <c r="Y312" s="566"/>
      <c r="Z312" s="566"/>
      <c r="AA312" s="566"/>
      <c r="AB312" s="566"/>
      <c r="AC312" s="566"/>
      <c r="AD312" s="566"/>
      <c r="AE312" s="566"/>
      <c r="AF312" s="566"/>
      <c r="AG312" s="566"/>
      <c r="AH312" s="566"/>
      <c r="AI312" s="566"/>
      <c r="AJ312" s="566"/>
      <c r="AK312" s="566"/>
      <c r="AL312" s="566"/>
      <c r="AM312" s="566"/>
      <c r="AN312" s="566"/>
      <c r="AO312" s="910"/>
      <c r="AP312" s="566"/>
      <c r="AQ312" s="566"/>
      <c r="AR312" s="831"/>
    </row>
    <row r="313" spans="1:49" s="911" customFormat="1" ht="17.25" customHeight="1">
      <c r="A313" s="910"/>
      <c r="B313" s="910"/>
      <c r="C313" s="566"/>
      <c r="D313" s="566"/>
      <c r="E313" s="566"/>
      <c r="F313" s="566"/>
      <c r="G313" s="566"/>
      <c r="H313" s="566"/>
      <c r="I313" s="566"/>
      <c r="J313" s="566"/>
      <c r="K313" s="566"/>
      <c r="L313" s="566"/>
      <c r="M313" s="566"/>
      <c r="N313" s="566"/>
      <c r="O313" s="566"/>
      <c r="P313" s="566"/>
      <c r="Q313" s="566"/>
      <c r="R313" s="566"/>
      <c r="S313" s="566"/>
      <c r="T313" s="566"/>
      <c r="U313" s="566"/>
      <c r="V313" s="566"/>
      <c r="W313" s="566"/>
      <c r="X313" s="566"/>
      <c r="Y313" s="566"/>
      <c r="Z313" s="566"/>
      <c r="AA313" s="566"/>
      <c r="AB313" s="566"/>
      <c r="AC313" s="566"/>
      <c r="AD313" s="566"/>
      <c r="AE313" s="566"/>
      <c r="AF313" s="566"/>
      <c r="AG313" s="566"/>
      <c r="AH313" s="566"/>
      <c r="AI313" s="566"/>
      <c r="AJ313" s="566"/>
      <c r="AK313" s="566"/>
      <c r="AL313" s="566"/>
      <c r="AM313" s="566"/>
      <c r="AN313" s="566"/>
      <c r="AO313" s="910"/>
      <c r="AP313" s="566"/>
      <c r="AQ313" s="566"/>
      <c r="AR313" s="831"/>
    </row>
    <row r="314" spans="1:49" s="911" customFormat="1" ht="17.25" customHeight="1">
      <c r="A314" s="910"/>
      <c r="B314" s="910"/>
      <c r="C314" s="910"/>
      <c r="D314" s="910"/>
      <c r="E314" s="910"/>
      <c r="F314" s="910"/>
      <c r="G314" s="910"/>
      <c r="H314" s="910"/>
      <c r="I314" s="910"/>
      <c r="J314" s="910"/>
      <c r="K314" s="910"/>
      <c r="L314" s="910"/>
      <c r="M314" s="910"/>
      <c r="N314" s="910"/>
      <c r="O314" s="910"/>
      <c r="P314" s="910"/>
      <c r="Q314" s="910"/>
      <c r="R314" s="910"/>
      <c r="S314" s="910"/>
      <c r="T314" s="910"/>
      <c r="U314" s="910"/>
      <c r="V314" s="910"/>
      <c r="W314" s="910"/>
      <c r="X314" s="910"/>
      <c r="Y314" s="910"/>
      <c r="Z314" s="910"/>
      <c r="AA314" s="910"/>
      <c r="AB314" s="910"/>
      <c r="AC314" s="910"/>
      <c r="AD314" s="910"/>
      <c r="AE314" s="910"/>
      <c r="AF314" s="910"/>
      <c r="AG314" s="910"/>
      <c r="AH314" s="910"/>
      <c r="AI314" s="910"/>
      <c r="AJ314" s="910"/>
      <c r="AK314" s="910"/>
      <c r="AL314" s="910"/>
      <c r="AM314" s="910"/>
      <c r="AN314" s="910"/>
      <c r="AO314" s="910"/>
      <c r="AP314" s="566"/>
      <c r="AQ314" s="566"/>
      <c r="AR314" s="831"/>
    </row>
    <row r="315" spans="1:49" ht="17.25" customHeight="1">
      <c r="A315" s="910"/>
      <c r="B315" s="567"/>
      <c r="C315" s="567"/>
      <c r="D315" s="567"/>
      <c r="E315" s="567"/>
      <c r="F315" s="567"/>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191"/>
      <c r="AE315" s="191"/>
      <c r="AF315" s="191"/>
      <c r="AG315" s="191"/>
      <c r="AH315" s="191"/>
      <c r="AI315" s="191"/>
      <c r="AJ315" s="191"/>
      <c r="AK315" s="191"/>
      <c r="AL315" s="191"/>
      <c r="AM315" s="191"/>
      <c r="AN315" s="191"/>
      <c r="AO315" s="191"/>
      <c r="AP315" s="192"/>
      <c r="AQ315" s="192"/>
      <c r="AR315" s="126"/>
    </row>
    <row r="316" spans="1:49" ht="22.5" customHeight="1">
      <c r="A316" s="910"/>
      <c r="B316" s="191"/>
      <c r="C316" s="194" t="s">
        <v>399</v>
      </c>
      <c r="D316" s="767"/>
      <c r="E316" s="767"/>
      <c r="F316" s="767"/>
      <c r="G316" s="767"/>
      <c r="H316" s="195"/>
      <c r="I316" s="767"/>
      <c r="J316" s="507"/>
      <c r="K316" s="767"/>
      <c r="L316" s="767"/>
      <c r="M316" s="767"/>
      <c r="N316" s="767"/>
      <c r="O316" s="767"/>
      <c r="P316" s="767"/>
      <c r="Q316" s="767"/>
      <c r="R316" s="767"/>
      <c r="S316" s="767"/>
      <c r="T316" s="767"/>
      <c r="U316" s="767"/>
      <c r="V316" s="767"/>
      <c r="W316" s="767"/>
      <c r="X316" s="767"/>
      <c r="Y316" s="767"/>
      <c r="Z316" s="767"/>
      <c r="AA316" s="767"/>
      <c r="AB316" s="767"/>
      <c r="AC316" s="767"/>
      <c r="AD316" s="767"/>
      <c r="AE316" s="767"/>
      <c r="AF316" s="767"/>
      <c r="AG316" s="767"/>
      <c r="AH316" s="767"/>
      <c r="AI316" s="767"/>
      <c r="AJ316" s="767"/>
      <c r="AK316" s="767"/>
      <c r="AL316" s="767"/>
      <c r="AM316" s="767"/>
      <c r="AN316" s="767"/>
      <c r="AO316" s="567"/>
      <c r="AP316" s="192"/>
      <c r="AQ316" s="192"/>
      <c r="AR316" s="126"/>
      <c r="AW316" s="384"/>
    </row>
    <row r="317" spans="1:49" ht="12" customHeight="1">
      <c r="A317" s="910"/>
      <c r="B317" s="191"/>
      <c r="C317" s="195" t="str">
        <f>"  all currency in " &amp;Currency_Label</f>
        <v xml:space="preserve">  all currency in USD</v>
      </c>
      <c r="D317" s="767"/>
      <c r="E317" s="767"/>
      <c r="F317" s="195" t="str">
        <f>"as per end of " &amp;Inputs!$I$20</f>
        <v>as per end of NOV</v>
      </c>
      <c r="G317" s="767"/>
      <c r="H317" s="195"/>
      <c r="I317" s="767"/>
      <c r="J317" s="767"/>
      <c r="K317" s="767"/>
      <c r="L317" s="767"/>
      <c r="M317" s="767"/>
      <c r="N317" s="767"/>
      <c r="O317" s="767"/>
      <c r="P317" s="767"/>
      <c r="Q317" s="767"/>
      <c r="R317" s="767"/>
      <c r="S317" s="767"/>
      <c r="T317" s="767"/>
      <c r="U317" s="767"/>
      <c r="V317" s="767"/>
      <c r="W317" s="767"/>
      <c r="X317" s="767"/>
      <c r="Y317" s="767"/>
      <c r="Z317" s="767"/>
      <c r="AA317" s="767"/>
      <c r="AB317" s="767"/>
      <c r="AC317" s="767"/>
      <c r="AD317" s="767"/>
      <c r="AE317" s="767"/>
      <c r="AF317" s="767"/>
      <c r="AG317" s="767"/>
      <c r="AH317" s="767"/>
      <c r="AI317" s="767"/>
      <c r="AJ317" s="767"/>
      <c r="AK317" s="767"/>
      <c r="AL317" s="767"/>
      <c r="AM317" s="767"/>
      <c r="AN317" s="767"/>
      <c r="AO317" s="567"/>
      <c r="AP317" s="192"/>
      <c r="AQ317" s="192"/>
      <c r="AR317" s="40"/>
    </row>
    <row r="318" spans="1:49" s="911" customFormat="1" ht="12" customHeight="1">
      <c r="A318" s="910"/>
      <c r="B318" s="910"/>
      <c r="C318" s="195"/>
      <c r="D318" s="767"/>
      <c r="E318" s="767"/>
      <c r="F318" s="195"/>
      <c r="G318" s="767"/>
      <c r="H318" s="195"/>
      <c r="I318" s="767"/>
      <c r="J318" s="767"/>
      <c r="K318" s="767"/>
      <c r="L318" s="767"/>
      <c r="M318" s="767"/>
      <c r="N318" s="767"/>
      <c r="O318" s="767"/>
      <c r="P318" s="767"/>
      <c r="Q318" s="767"/>
      <c r="R318" s="767"/>
      <c r="S318" s="767"/>
      <c r="T318" s="767"/>
      <c r="U318" s="767"/>
      <c r="V318" s="767"/>
      <c r="W318" s="767"/>
      <c r="X318" s="767"/>
      <c r="Y318" s="767"/>
      <c r="Z318" s="767"/>
      <c r="AA318" s="767"/>
      <c r="AB318" s="767"/>
      <c r="AC318" s="767"/>
      <c r="AD318" s="767"/>
      <c r="AE318" s="767"/>
      <c r="AF318" s="767"/>
      <c r="AG318" s="767"/>
      <c r="AH318" s="767"/>
      <c r="AI318" s="767"/>
      <c r="AJ318" s="767"/>
      <c r="AK318" s="767"/>
      <c r="AL318" s="767"/>
      <c r="AM318" s="767"/>
      <c r="AN318" s="767"/>
      <c r="AO318" s="910"/>
      <c r="AP318" s="566"/>
      <c r="AQ318" s="566"/>
      <c r="AR318" s="40"/>
    </row>
    <row r="319" spans="1:49" ht="17.25" customHeight="1">
      <c r="A319" s="910"/>
      <c r="B319" s="191"/>
      <c r="C319" s="194" t="s">
        <v>741</v>
      </c>
      <c r="D319" s="767"/>
      <c r="E319" s="355"/>
      <c r="F319" s="355"/>
      <c r="G319" s="355"/>
      <c r="H319" s="767"/>
      <c r="I319" s="767"/>
      <c r="J319" s="596" t="str">
        <f>'Summary 02'!$V$5</f>
        <v>FY 2018</v>
      </c>
      <c r="K319" s="407"/>
      <c r="L319" s="596" t="str">
        <f>'Summary 02'!$AA$5</f>
        <v>FY 2019</v>
      </c>
      <c r="M319" s="407"/>
      <c r="N319" s="365" t="s">
        <v>944</v>
      </c>
      <c r="O319" s="407"/>
      <c r="P319" s="596"/>
      <c r="Q319" s="407"/>
      <c r="R319" s="596"/>
      <c r="S319" s="407"/>
      <c r="T319" s="767"/>
      <c r="U319" s="767"/>
      <c r="V319" s="194" t="s">
        <v>742</v>
      </c>
      <c r="W319" s="767"/>
      <c r="X319" s="767"/>
      <c r="Y319" s="355"/>
      <c r="AA319" s="767"/>
      <c r="AB319" s="767"/>
      <c r="AC319" s="767"/>
      <c r="AD319" s="767"/>
      <c r="AE319" s="596" t="str">
        <f>'Summary 02'!$V$5</f>
        <v>FY 2018</v>
      </c>
      <c r="AF319" s="407"/>
      <c r="AG319" s="596" t="str">
        <f>'Summary 02'!$AA$5</f>
        <v>FY 2019</v>
      </c>
      <c r="AH319" s="407"/>
      <c r="AI319" s="365" t="s">
        <v>944</v>
      </c>
      <c r="AJ319" s="407"/>
      <c r="AK319" s="596"/>
      <c r="AL319" s="407"/>
      <c r="AM319" s="596"/>
      <c r="AN319" s="407"/>
      <c r="AO319" s="567"/>
      <c r="AP319" s="192"/>
      <c r="AQ319" s="192"/>
      <c r="AR319" s="40"/>
    </row>
    <row r="320" spans="1:49" ht="9.75" customHeight="1">
      <c r="A320" s="910"/>
      <c r="B320" s="191"/>
      <c r="C320" s="195"/>
      <c r="D320" s="195"/>
      <c r="E320" s="767"/>
      <c r="F320" s="767"/>
      <c r="G320" s="767"/>
      <c r="H320" s="767"/>
      <c r="I320" s="767"/>
      <c r="J320" s="767"/>
      <c r="K320" s="597"/>
      <c r="L320" s="598"/>
      <c r="M320" s="599"/>
      <c r="N320" s="767"/>
      <c r="O320" s="767"/>
      <c r="P320" s="767"/>
      <c r="Q320" s="767"/>
      <c r="R320" s="767"/>
      <c r="S320" s="767"/>
      <c r="T320" s="767"/>
      <c r="U320" s="767"/>
      <c r="V320" s="767"/>
      <c r="W320" s="767"/>
      <c r="X320" s="767"/>
      <c r="Y320" s="767"/>
      <c r="AA320" s="767"/>
      <c r="AB320" s="767"/>
      <c r="AC320" s="767"/>
      <c r="AD320" s="767"/>
      <c r="AE320" s="767"/>
      <c r="AF320" s="597"/>
      <c r="AG320" s="598"/>
      <c r="AH320" s="599"/>
      <c r="AI320" s="767"/>
      <c r="AJ320" s="767"/>
      <c r="AK320" s="767"/>
      <c r="AL320" s="767"/>
      <c r="AM320" s="767"/>
      <c r="AN320" s="767"/>
      <c r="AO320" s="567"/>
      <c r="AP320" s="192"/>
      <c r="AQ320" s="192"/>
      <c r="AR320" s="40"/>
    </row>
    <row r="321" spans="1:44" ht="17.25" customHeight="1">
      <c r="A321" s="910"/>
      <c r="B321" s="191"/>
      <c r="C321" s="199" t="s">
        <v>930</v>
      </c>
      <c r="D321" s="567"/>
      <c r="E321" s="567"/>
      <c r="F321" s="567"/>
      <c r="G321" s="567"/>
      <c r="H321" s="567"/>
      <c r="I321" s="567"/>
      <c r="J321" s="600">
        <f>SUM(J322:K325)</f>
        <v>616669.44444444438</v>
      </c>
      <c r="K321" s="601"/>
      <c r="L321" s="602">
        <f>SUM(L322:M325)</f>
        <v>578483.33333333337</v>
      </c>
      <c r="M321" s="603"/>
      <c r="N321" s="767"/>
      <c r="O321" s="767"/>
      <c r="P321" s="767"/>
      <c r="Q321" s="767"/>
      <c r="R321" s="767"/>
      <c r="S321" s="767"/>
      <c r="T321" s="562"/>
      <c r="U321" s="767"/>
      <c r="V321" s="199" t="s">
        <v>485</v>
      </c>
      <c r="W321" s="567"/>
      <c r="X321" s="567"/>
      <c r="Y321" s="567"/>
      <c r="Z321" s="567"/>
      <c r="AA321" s="567"/>
      <c r="AB321" s="567"/>
      <c r="AC321" s="567"/>
      <c r="AD321" s="567"/>
      <c r="AE321" s="600">
        <f ca="1">SUM(AE322:AF327)</f>
        <v>156016.77971847091</v>
      </c>
      <c r="AF321" s="601"/>
      <c r="AG321" s="602">
        <f ca="1">SUM(AG322:AH327)</f>
        <v>161066.05774335121</v>
      </c>
      <c r="AH321" s="603"/>
      <c r="AI321" s="767"/>
      <c r="AJ321" s="767"/>
      <c r="AK321" s="767"/>
      <c r="AL321" s="767"/>
      <c r="AM321" s="767"/>
      <c r="AN321" s="767"/>
      <c r="AO321" s="567"/>
      <c r="AP321" s="192"/>
      <c r="AQ321" s="192"/>
      <c r="AR321" s="40"/>
    </row>
    <row r="322" spans="1:44" ht="17.25" customHeight="1">
      <c r="A322" s="910"/>
      <c r="B322" s="191"/>
      <c r="C322" s="185"/>
      <c r="D322" s="767"/>
      <c r="E322" s="767"/>
      <c r="F322" s="767"/>
      <c r="G322" s="767"/>
      <c r="H322" s="767"/>
      <c r="I322" s="767"/>
      <c r="J322" s="582"/>
      <c r="K322" s="583"/>
      <c r="L322" s="604"/>
      <c r="M322" s="605"/>
      <c r="N322" s="911"/>
      <c r="O322" s="911"/>
      <c r="P322" s="911"/>
      <c r="Q322" s="911"/>
      <c r="R322" s="911"/>
      <c r="S322" s="911"/>
      <c r="U322" s="767"/>
      <c r="V322" s="566" t="s">
        <v>744</v>
      </c>
      <c r="W322" s="562"/>
      <c r="X322" s="562"/>
      <c r="Y322" s="562"/>
      <c r="Z322" s="767"/>
      <c r="AA322" s="562"/>
      <c r="AB322" s="562"/>
      <c r="AC322" s="562"/>
      <c r="AD322" s="562"/>
      <c r="AE322" s="582">
        <f ca="1">'Summary 04'!V24+'Summary 04'!V25</f>
        <v>44122.79846422949</v>
      </c>
      <c r="AF322" s="583"/>
      <c r="AG322" s="604">
        <f ca="1">'Summary 04'!AA24+'Summary 04'!AA25</f>
        <v>50854.227507145377</v>
      </c>
      <c r="AH322" s="605"/>
      <c r="AI322" s="911"/>
      <c r="AJ322" s="911"/>
      <c r="AK322" s="911"/>
      <c r="AL322" s="911"/>
      <c r="AM322" s="911"/>
      <c r="AN322" s="911"/>
      <c r="AO322" s="567"/>
      <c r="AP322" s="192"/>
      <c r="AQ322" s="192"/>
      <c r="AR322" s="40"/>
    </row>
    <row r="323" spans="1:44" ht="17.25" customHeight="1">
      <c r="A323" s="910"/>
      <c r="B323" s="191"/>
      <c r="C323" s="185" t="str">
        <f>IFS!C113</f>
        <v>Intangible Assets</v>
      </c>
      <c r="D323" s="562"/>
      <c r="E323" s="562"/>
      <c r="F323" s="562"/>
      <c r="G323" s="562"/>
      <c r="H323" s="562"/>
      <c r="I323" s="562"/>
      <c r="J323" s="582">
        <f>'Summary 04'!V10</f>
        <v>71849.999999999956</v>
      </c>
      <c r="K323" s="583"/>
      <c r="L323" s="604">
        <f>'Summary 04'!AA10</f>
        <v>64149.99999999992</v>
      </c>
      <c r="M323" s="605"/>
      <c r="N323" s="767"/>
      <c r="O323" s="767"/>
      <c r="P323" s="767"/>
      <c r="Q323" s="767"/>
      <c r="R323" s="767"/>
      <c r="S323" s="767"/>
      <c r="T323" s="562"/>
      <c r="U323" s="767"/>
      <c r="V323" s="566" t="s">
        <v>403</v>
      </c>
      <c r="W323" s="562"/>
      <c r="X323" s="562"/>
      <c r="Y323" s="562"/>
      <c r="Z323" s="767"/>
      <c r="AA323" s="562"/>
      <c r="AB323" s="562"/>
      <c r="AC323" s="562"/>
      <c r="AD323" s="562"/>
      <c r="AE323" s="582">
        <f ca="1">'Summary 04'!V22</f>
        <v>0</v>
      </c>
      <c r="AF323" s="583"/>
      <c r="AG323" s="604">
        <f ca="1">'Summary 04'!AA22</f>
        <v>0</v>
      </c>
      <c r="AH323" s="605"/>
      <c r="AI323" s="767"/>
      <c r="AJ323" s="767"/>
      <c r="AK323" s="767"/>
      <c r="AL323" s="767"/>
      <c r="AM323" s="767"/>
      <c r="AN323" s="767"/>
      <c r="AO323" s="567"/>
      <c r="AP323" s="192"/>
      <c r="AQ323" s="192"/>
      <c r="AR323" s="40"/>
    </row>
    <row r="324" spans="1:44" ht="17.25" customHeight="1">
      <c r="A324" s="910"/>
      <c r="B324" s="191"/>
      <c r="C324" s="185" t="str">
        <f>IFS!C114</f>
        <v>Tangible Assets</v>
      </c>
      <c r="D324" s="562"/>
      <c r="E324" s="562"/>
      <c r="F324" s="562"/>
      <c r="G324" s="562"/>
      <c r="H324" s="562"/>
      <c r="I324" s="562"/>
      <c r="J324" s="582">
        <f>'Summary 04'!V11</f>
        <v>489819.44444444438</v>
      </c>
      <c r="K324" s="583"/>
      <c r="L324" s="604">
        <f>'Summary 04'!AA11</f>
        <v>448083.33333333343</v>
      </c>
      <c r="M324" s="605"/>
      <c r="N324" s="767"/>
      <c r="O324" s="767"/>
      <c r="P324" s="767"/>
      <c r="Q324" s="767"/>
      <c r="R324" s="767"/>
      <c r="S324" s="767"/>
      <c r="T324" s="562"/>
      <c r="U324" s="767"/>
      <c r="V324" s="566" t="s">
        <v>425</v>
      </c>
      <c r="W324" s="562"/>
      <c r="X324" s="562"/>
      <c r="Y324" s="562"/>
      <c r="Z324" s="767"/>
      <c r="AA324" s="562"/>
      <c r="AB324" s="562"/>
      <c r="AC324" s="562"/>
      <c r="AD324" s="562"/>
      <c r="AE324" s="582">
        <f>'Summary 04'!V27</f>
        <v>8500</v>
      </c>
      <c r="AF324" s="583"/>
      <c r="AG324" s="604">
        <f>'Summary 04'!AA27</f>
        <v>8500</v>
      </c>
      <c r="AH324" s="605"/>
      <c r="AI324" s="767"/>
      <c r="AJ324" s="767"/>
      <c r="AK324" s="767"/>
      <c r="AL324" s="767"/>
      <c r="AM324" s="767"/>
      <c r="AN324" s="767"/>
      <c r="AO324" s="567"/>
      <c r="AP324" s="192"/>
      <c r="AQ324" s="192"/>
      <c r="AR324" s="40"/>
    </row>
    <row r="325" spans="1:44" s="830" customFormat="1" ht="17.25" customHeight="1">
      <c r="A325" s="910"/>
      <c r="B325" s="567"/>
      <c r="C325" s="185" t="str">
        <f>IFS!C115</f>
        <v>Financial Assets / Investments</v>
      </c>
      <c r="D325" s="562"/>
      <c r="E325" s="562"/>
      <c r="F325" s="562"/>
      <c r="G325" s="562"/>
      <c r="H325" s="562"/>
      <c r="I325" s="562"/>
      <c r="J325" s="582">
        <f>'Summary 04'!V12</f>
        <v>55000</v>
      </c>
      <c r="K325" s="583"/>
      <c r="L325" s="604">
        <f>'Summary 04'!AA12</f>
        <v>66250</v>
      </c>
      <c r="M325" s="605"/>
      <c r="N325" s="767"/>
      <c r="O325" s="767"/>
      <c r="P325" s="767"/>
      <c r="Q325" s="767"/>
      <c r="R325" s="767"/>
      <c r="S325" s="767"/>
      <c r="T325" s="562"/>
      <c r="U325" s="767"/>
      <c r="V325" s="185" t="str">
        <f>Name_VAT</f>
        <v>VAT</v>
      </c>
      <c r="W325" s="767"/>
      <c r="X325" s="767"/>
      <c r="Y325" s="767"/>
      <c r="Z325" s="767"/>
      <c r="AA325" s="767"/>
      <c r="AB325" s="767"/>
      <c r="AC325" s="767"/>
      <c r="AD325" s="767"/>
      <c r="AE325" s="582">
        <f ca="1">'Summary 04'!V30+'Summary 04'!V32</f>
        <v>42271.01276938006</v>
      </c>
      <c r="AF325" s="583"/>
      <c r="AG325" s="604">
        <f ca="1">'Summary 04'!AA30+'Summary 04'!AA32</f>
        <v>44901.529936894876</v>
      </c>
      <c r="AH325" s="605"/>
      <c r="AI325" s="767"/>
      <c r="AJ325" s="767"/>
      <c r="AK325" s="767"/>
      <c r="AL325" s="767"/>
      <c r="AM325" s="767"/>
      <c r="AN325" s="767"/>
      <c r="AO325" s="567"/>
      <c r="AP325" s="566"/>
      <c r="AQ325" s="566"/>
      <c r="AR325" s="40"/>
    </row>
    <row r="326" spans="1:44" s="830" customFormat="1" ht="17.25" customHeight="1">
      <c r="A326" s="910"/>
      <c r="B326" s="567"/>
      <c r="C326" s="185"/>
      <c r="D326" s="767"/>
      <c r="E326" s="767"/>
      <c r="F326" s="767"/>
      <c r="G326" s="767"/>
      <c r="H326" s="767"/>
      <c r="I326" s="767"/>
      <c r="J326" s="582"/>
      <c r="K326" s="583"/>
      <c r="L326" s="604"/>
      <c r="M326" s="605"/>
      <c r="N326" s="767"/>
      <c r="O326" s="767"/>
      <c r="P326" s="767"/>
      <c r="Q326" s="767"/>
      <c r="R326" s="767"/>
      <c r="S326" s="767"/>
      <c r="T326" s="767"/>
      <c r="U326" s="767"/>
      <c r="V326" s="566" t="str">
        <f>CHOOSE(language,"Taxes on Profit","Taxes on Income")</f>
        <v>Taxes on Income</v>
      </c>
      <c r="W326" s="767"/>
      <c r="X326" s="767"/>
      <c r="Y326" s="767"/>
      <c r="Z326" s="767"/>
      <c r="AA326" s="767"/>
      <c r="AB326" s="767"/>
      <c r="AC326" s="767"/>
      <c r="AD326" s="767"/>
      <c r="AE326" s="582">
        <f ca="1">'Summary 04'!V31</f>
        <v>8863.8018181946863</v>
      </c>
      <c r="AF326" s="583"/>
      <c r="AG326" s="604">
        <f ca="1">'Summary 04'!AA31</f>
        <v>8345.9877993109476</v>
      </c>
      <c r="AH326" s="605"/>
      <c r="AI326" s="767"/>
      <c r="AJ326" s="767"/>
      <c r="AK326" s="767"/>
      <c r="AL326" s="767"/>
      <c r="AM326" s="767"/>
      <c r="AN326" s="767"/>
      <c r="AO326" s="567"/>
      <c r="AP326" s="566"/>
      <c r="AQ326" s="566"/>
      <c r="AR326" s="40"/>
    </row>
    <row r="327" spans="1:44" s="830" customFormat="1" ht="17.25" customHeight="1">
      <c r="A327" s="910"/>
      <c r="B327" s="567"/>
      <c r="C327" s="199" t="s">
        <v>479</v>
      </c>
      <c r="D327" s="567"/>
      <c r="E327" s="567"/>
      <c r="F327" s="567"/>
      <c r="G327" s="567"/>
      <c r="H327" s="567"/>
      <c r="I327" s="567"/>
      <c r="J327" s="600">
        <f ca="1">SUM(J328:K333)</f>
        <v>252696.20617999998</v>
      </c>
      <c r="K327" s="601"/>
      <c r="L327" s="602">
        <f ca="1">SUM(L328:M333)</f>
        <v>314476.66835000005</v>
      </c>
      <c r="M327" s="603"/>
      <c r="N327" s="767"/>
      <c r="O327" s="767"/>
      <c r="P327" s="767"/>
      <c r="Q327" s="767"/>
      <c r="R327" s="767"/>
      <c r="S327" s="767"/>
      <c r="T327" s="767"/>
      <c r="U327" s="767"/>
      <c r="V327" s="185" t="s">
        <v>745</v>
      </c>
      <c r="W327" s="767"/>
      <c r="X327" s="767"/>
      <c r="Y327" s="767"/>
      <c r="Z327" s="767"/>
      <c r="AA327" s="767"/>
      <c r="AB327" s="767"/>
      <c r="AC327" s="767"/>
      <c r="AD327" s="767"/>
      <c r="AE327" s="582">
        <f>'Summary 04'!V23+'Summary 04'!V26+'Summary 04'!V28+'Summary 04'!V29</f>
        <v>52259.166666666664</v>
      </c>
      <c r="AF327" s="583"/>
      <c r="AG327" s="604">
        <f>'Summary 04'!AA23+'Summary 04'!AA26+'Summary 04'!AA28+'Summary 04'!AA29</f>
        <v>48464.3125</v>
      </c>
      <c r="AH327" s="605"/>
      <c r="AI327" s="767"/>
      <c r="AJ327" s="767"/>
      <c r="AK327" s="767"/>
      <c r="AL327" s="767"/>
      <c r="AM327" s="767"/>
      <c r="AN327" s="767"/>
      <c r="AO327" s="567"/>
      <c r="AP327" s="566"/>
      <c r="AQ327" s="566"/>
      <c r="AR327" s="40"/>
    </row>
    <row r="328" spans="1:44" ht="17.25" customHeight="1">
      <c r="A328" s="910"/>
      <c r="B328" s="191"/>
      <c r="C328" s="185"/>
      <c r="D328" s="767"/>
      <c r="E328" s="767"/>
      <c r="F328" s="767"/>
      <c r="G328" s="767"/>
      <c r="H328" s="767"/>
      <c r="I328" s="767"/>
      <c r="J328" s="582"/>
      <c r="K328" s="583"/>
      <c r="L328" s="604"/>
      <c r="M328" s="605"/>
      <c r="N328" s="767"/>
      <c r="O328" s="767"/>
      <c r="P328" s="767"/>
      <c r="Q328" s="767"/>
      <c r="R328" s="767"/>
      <c r="S328" s="767"/>
      <c r="T328" s="562"/>
      <c r="U328" s="767"/>
      <c r="V328" s="185"/>
      <c r="W328" s="767"/>
      <c r="X328" s="767"/>
      <c r="Y328" s="767"/>
      <c r="Z328" s="767"/>
      <c r="AA328" s="767"/>
      <c r="AB328" s="767"/>
      <c r="AC328" s="767"/>
      <c r="AD328" s="767"/>
      <c r="AE328" s="582"/>
      <c r="AF328" s="583"/>
      <c r="AG328" s="604"/>
      <c r="AH328" s="605"/>
      <c r="AI328" s="767"/>
      <c r="AJ328" s="767"/>
      <c r="AK328" s="767"/>
      <c r="AL328" s="767"/>
      <c r="AM328" s="767"/>
      <c r="AN328" s="767"/>
      <c r="AO328" s="567"/>
      <c r="AP328" s="192"/>
      <c r="AQ328" s="192"/>
      <c r="AR328" s="40"/>
    </row>
    <row r="329" spans="1:44" ht="17.25" customHeight="1">
      <c r="A329" s="910"/>
      <c r="B329" s="191"/>
      <c r="C329" s="185" t="str">
        <f>IFS!C118</f>
        <v>Inventory</v>
      </c>
      <c r="D329" s="562"/>
      <c r="E329" s="562"/>
      <c r="F329" s="562"/>
      <c r="G329" s="562"/>
      <c r="H329" s="562"/>
      <c r="I329" s="562"/>
      <c r="J329" s="582">
        <f>'Summary 04'!V15</f>
        <v>17845</v>
      </c>
      <c r="K329" s="583"/>
      <c r="L329" s="604">
        <f>'Summary 04'!AA15</f>
        <v>20240</v>
      </c>
      <c r="M329" s="605"/>
      <c r="N329" s="767"/>
      <c r="O329" s="767"/>
      <c r="P329" s="767"/>
      <c r="Q329" s="767"/>
      <c r="R329" s="767"/>
      <c r="S329" s="767"/>
      <c r="T329" s="562"/>
      <c r="U329" s="767"/>
      <c r="V329" s="199" t="s">
        <v>408</v>
      </c>
      <c r="W329" s="567"/>
      <c r="X329" s="567"/>
      <c r="Y329" s="567"/>
      <c r="Z329" s="567"/>
      <c r="AA329" s="567"/>
      <c r="AB329" s="567"/>
      <c r="AC329" s="567"/>
      <c r="AD329" s="567"/>
      <c r="AE329" s="600">
        <f ca="1">'Summary 04'!V43</f>
        <v>394500</v>
      </c>
      <c r="AF329" s="601"/>
      <c r="AG329" s="602">
        <f ca="1">'Summary 04'!AA43</f>
        <v>335237.76816925389</v>
      </c>
      <c r="AH329" s="603"/>
      <c r="AI329" s="767"/>
      <c r="AJ329" s="767"/>
      <c r="AK329" s="767"/>
      <c r="AL329" s="767"/>
      <c r="AM329" s="767"/>
      <c r="AN329" s="767"/>
      <c r="AO329" s="567"/>
      <c r="AP329" s="192"/>
      <c r="AQ329" s="192"/>
      <c r="AR329" s="40"/>
    </row>
    <row r="330" spans="1:44" ht="17.25" customHeight="1">
      <c r="A330" s="910"/>
      <c r="B330" s="191"/>
      <c r="C330" s="185" t="str">
        <f>IFS!C119</f>
        <v>Changes in advance payments</v>
      </c>
      <c r="D330" s="562"/>
      <c r="E330" s="562"/>
      <c r="F330" s="562"/>
      <c r="G330" s="562"/>
      <c r="H330" s="562"/>
      <c r="I330" s="562"/>
      <c r="J330" s="582">
        <f>'Summary 04'!V16</f>
        <v>10000</v>
      </c>
      <c r="K330" s="583"/>
      <c r="L330" s="604">
        <f>'Summary 04'!AA16</f>
        <v>5000</v>
      </c>
      <c r="M330" s="605"/>
      <c r="N330" s="911"/>
      <c r="O330" s="911"/>
      <c r="P330" s="911"/>
      <c r="Q330" s="911"/>
      <c r="R330" s="911"/>
      <c r="S330" s="911"/>
      <c r="U330" s="767"/>
      <c r="V330" s="185"/>
      <c r="W330" s="562"/>
      <c r="X330" s="562"/>
      <c r="Y330" s="562"/>
      <c r="Z330" s="767"/>
      <c r="AA330" s="562"/>
      <c r="AB330" s="562"/>
      <c r="AC330" s="562"/>
      <c r="AD330" s="562"/>
      <c r="AE330" s="556"/>
      <c r="AF330" s="554"/>
      <c r="AG330" s="557"/>
      <c r="AH330" s="555"/>
      <c r="AI330" s="911"/>
      <c r="AJ330" s="911"/>
      <c r="AK330" s="911"/>
      <c r="AL330" s="911"/>
      <c r="AM330" s="911"/>
      <c r="AN330" s="911"/>
      <c r="AO330" s="567"/>
      <c r="AP330" s="192"/>
      <c r="AQ330" s="192"/>
      <c r="AR330" s="40"/>
    </row>
    <row r="331" spans="1:44" ht="17.25" customHeight="1">
      <c r="A331" s="910"/>
      <c r="B331" s="191"/>
      <c r="C331" s="185" t="str">
        <f>IFS!C120</f>
        <v>Accounts receivables</v>
      </c>
      <c r="D331" s="562"/>
      <c r="E331" s="562"/>
      <c r="F331" s="562"/>
      <c r="G331" s="562"/>
      <c r="H331" s="562"/>
      <c r="I331" s="562"/>
      <c r="J331" s="582">
        <f>'Summary 04'!V17</f>
        <v>35359.53</v>
      </c>
      <c r="K331" s="583"/>
      <c r="L331" s="604">
        <f>'Summary 04'!AA17</f>
        <v>39966.375000000058</v>
      </c>
      <c r="M331" s="605"/>
      <c r="N331" s="767"/>
      <c r="O331" s="767"/>
      <c r="P331" s="767"/>
      <c r="Q331" s="767"/>
      <c r="R331" s="767"/>
      <c r="S331" s="767"/>
      <c r="T331" s="562"/>
      <c r="U331" s="767"/>
      <c r="V331" s="199" t="s">
        <v>414</v>
      </c>
      <c r="W331" s="567"/>
      <c r="X331" s="567"/>
      <c r="Y331" s="567"/>
      <c r="Z331" s="567"/>
      <c r="AA331" s="567"/>
      <c r="AB331" s="567"/>
      <c r="AC331" s="567"/>
      <c r="AD331" s="567"/>
      <c r="AE331" s="600">
        <f ca="1">SUM(AE332:AF333)</f>
        <v>318848.870909121</v>
      </c>
      <c r="AF331" s="601"/>
      <c r="AG331" s="602">
        <f ca="1">SUM(AG332:AH333)</f>
        <v>396656.17577417986</v>
      </c>
      <c r="AH331" s="603"/>
      <c r="AI331" s="767"/>
      <c r="AJ331" s="767"/>
      <c r="AK331" s="767"/>
      <c r="AL331" s="767"/>
      <c r="AM331" s="767"/>
      <c r="AN331" s="767"/>
      <c r="AO331" s="567"/>
      <c r="AP331" s="192"/>
      <c r="AQ331" s="192"/>
      <c r="AR331" s="40"/>
    </row>
    <row r="332" spans="1:44" ht="15" customHeight="1">
      <c r="A332" s="910"/>
      <c r="B332" s="191"/>
      <c r="C332" s="185" t="str">
        <f>IFS!C121</f>
        <v>VAT owed to company</v>
      </c>
      <c r="D332" s="562"/>
      <c r="E332" s="562"/>
      <c r="F332" s="562"/>
      <c r="G332" s="562"/>
      <c r="H332" s="562"/>
      <c r="I332" s="562"/>
      <c r="J332" s="582">
        <f>'Summary 04'!V18</f>
        <v>5648.7780000000021</v>
      </c>
      <c r="K332" s="583"/>
      <c r="L332" s="604">
        <f>'Summary 04'!AA18</f>
        <v>6443.8700000000026</v>
      </c>
      <c r="M332" s="605"/>
      <c r="N332" s="767"/>
      <c r="O332" s="767"/>
      <c r="P332" s="767"/>
      <c r="Q332" s="767"/>
      <c r="R332" s="767"/>
      <c r="S332" s="767"/>
      <c r="T332" s="562"/>
      <c r="U332" s="767"/>
      <c r="V332" s="566" t="s">
        <v>683</v>
      </c>
      <c r="W332" s="562"/>
      <c r="X332" s="562"/>
      <c r="Y332" s="562"/>
      <c r="Z332" s="767"/>
      <c r="AA332" s="562"/>
      <c r="AB332" s="562"/>
      <c r="AC332" s="562"/>
      <c r="AD332" s="562"/>
      <c r="AE332" s="582">
        <f ca="1">'Summary 04'!V47</f>
        <v>145000</v>
      </c>
      <c r="AF332" s="583"/>
      <c r="AG332" s="604">
        <f ca="1">'Summary 04'!AA47</f>
        <v>145000</v>
      </c>
      <c r="AH332" s="605"/>
      <c r="AI332" s="767"/>
      <c r="AJ332" s="767"/>
      <c r="AK332" s="767"/>
      <c r="AL332" s="767"/>
      <c r="AM332" s="767"/>
      <c r="AN332" s="767"/>
      <c r="AO332" s="567"/>
      <c r="AP332" s="192"/>
      <c r="AQ332" s="192"/>
      <c r="AR332" s="40"/>
    </row>
    <row r="333" spans="1:44" ht="17.25" customHeight="1">
      <c r="A333" s="910"/>
      <c r="B333" s="567"/>
      <c r="C333" s="185" t="str">
        <f>IFS!C122</f>
        <v>Cash at bank</v>
      </c>
      <c r="D333" s="574"/>
      <c r="E333" s="574"/>
      <c r="F333" s="574"/>
      <c r="G333" s="574"/>
      <c r="H333" s="574"/>
      <c r="I333" s="574"/>
      <c r="J333" s="582">
        <f ca="1">'Summary 04'!V19</f>
        <v>183842.89817999999</v>
      </c>
      <c r="K333" s="583"/>
      <c r="L333" s="604">
        <f ca="1">'Summary 04'!AA19</f>
        <v>242826.42335</v>
      </c>
      <c r="M333" s="605"/>
      <c r="N333" s="767"/>
      <c r="O333" s="767"/>
      <c r="P333" s="767"/>
      <c r="Q333" s="767"/>
      <c r="R333" s="767"/>
      <c r="S333" s="767"/>
      <c r="T333" s="574"/>
      <c r="U333" s="767"/>
      <c r="V333" s="566" t="s">
        <v>743</v>
      </c>
      <c r="W333" s="562"/>
      <c r="X333" s="562"/>
      <c r="Y333" s="562"/>
      <c r="Z333" s="767"/>
      <c r="AA333" s="562"/>
      <c r="AB333" s="562"/>
      <c r="AC333" s="562"/>
      <c r="AD333" s="767"/>
      <c r="AE333" s="582">
        <f ca="1">'Summary 04'!V48</f>
        <v>173848.87090912097</v>
      </c>
      <c r="AF333" s="583"/>
      <c r="AG333" s="604">
        <f ca="1">'Summary 04'!AA48</f>
        <v>251656.17577417989</v>
      </c>
      <c r="AH333" s="605"/>
      <c r="AI333" s="767"/>
      <c r="AJ333" s="767"/>
      <c r="AK333" s="767"/>
      <c r="AL333" s="767"/>
      <c r="AM333" s="767"/>
      <c r="AN333" s="767"/>
      <c r="AO333" s="567"/>
      <c r="AP333" s="566"/>
      <c r="AQ333" s="566"/>
      <c r="AR333" s="40"/>
    </row>
    <row r="334" spans="1:44" ht="12.75" customHeight="1">
      <c r="A334" s="910"/>
      <c r="B334" s="567"/>
      <c r="C334" s="185"/>
      <c r="D334" s="574"/>
      <c r="E334" s="574"/>
      <c r="F334" s="574"/>
      <c r="G334" s="574"/>
      <c r="H334" s="574"/>
      <c r="I334" s="574"/>
      <c r="J334" s="582"/>
      <c r="K334" s="583"/>
      <c r="L334" s="604"/>
      <c r="M334" s="605"/>
      <c r="N334" s="767"/>
      <c r="O334" s="767"/>
      <c r="P334" s="767"/>
      <c r="Q334" s="767"/>
      <c r="R334" s="767"/>
      <c r="S334" s="767"/>
      <c r="T334" s="574"/>
      <c r="U334" s="767"/>
      <c r="V334" s="185"/>
      <c r="W334" s="574"/>
      <c r="X334" s="574"/>
      <c r="Y334" s="574"/>
      <c r="Z334" s="767"/>
      <c r="AA334" s="574"/>
      <c r="AB334" s="574"/>
      <c r="AC334" s="574"/>
      <c r="AD334" s="574"/>
      <c r="AE334" s="582"/>
      <c r="AF334" s="583"/>
      <c r="AG334" s="604"/>
      <c r="AH334" s="605"/>
      <c r="AI334" s="767"/>
      <c r="AJ334" s="767"/>
      <c r="AK334" s="767"/>
      <c r="AL334" s="767"/>
      <c r="AM334" s="767"/>
      <c r="AN334" s="767"/>
      <c r="AO334" s="567"/>
      <c r="AP334" s="566"/>
      <c r="AQ334" s="566"/>
      <c r="AR334" s="40"/>
    </row>
    <row r="335" spans="1:44" ht="17.25" customHeight="1" thickBot="1">
      <c r="A335" s="910"/>
      <c r="B335" s="191"/>
      <c r="C335" s="201" t="s">
        <v>739</v>
      </c>
      <c r="D335" s="563"/>
      <c r="E335" s="563"/>
      <c r="F335" s="563"/>
      <c r="G335" s="563"/>
      <c r="H335" s="563"/>
      <c r="I335" s="563"/>
      <c r="J335" s="606">
        <f ca="1">J321+J327</f>
        <v>869365.65062444436</v>
      </c>
      <c r="K335" s="607"/>
      <c r="L335" s="608">
        <f ca="1">L321+L327</f>
        <v>892960.00168333342</v>
      </c>
      <c r="M335" s="609"/>
      <c r="N335" s="767"/>
      <c r="O335" s="767"/>
      <c r="P335" s="767"/>
      <c r="Q335" s="767"/>
      <c r="R335" s="767"/>
      <c r="S335" s="767"/>
      <c r="T335" s="562"/>
      <c r="U335" s="767"/>
      <c r="V335" s="201" t="s">
        <v>758</v>
      </c>
      <c r="W335" s="563"/>
      <c r="X335" s="563"/>
      <c r="Y335" s="563"/>
      <c r="Z335" s="563"/>
      <c r="AA335" s="563"/>
      <c r="AB335" s="563"/>
      <c r="AC335" s="563"/>
      <c r="AD335" s="563"/>
      <c r="AE335" s="606">
        <f ca="1">AE321+AE329+AE331</f>
        <v>869365.65062759188</v>
      </c>
      <c r="AF335" s="607"/>
      <c r="AG335" s="608">
        <f ca="1">AG321+AG329+AG331</f>
        <v>892960.0016867849</v>
      </c>
      <c r="AH335" s="609"/>
      <c r="AI335" s="767"/>
      <c r="AJ335" s="767"/>
      <c r="AK335" s="767"/>
      <c r="AL335" s="767"/>
      <c r="AM335" s="767"/>
      <c r="AN335" s="767"/>
      <c r="AO335" s="567"/>
      <c r="AP335" s="192"/>
      <c r="AQ335" s="192"/>
      <c r="AR335" s="126"/>
    </row>
    <row r="336" spans="1:44" ht="17.25" customHeight="1" thickTop="1">
      <c r="A336" s="910"/>
      <c r="B336" s="191"/>
      <c r="C336" s="562"/>
      <c r="D336" s="562"/>
      <c r="E336" s="562"/>
      <c r="F336" s="562"/>
      <c r="G336" s="562"/>
      <c r="H336" s="562"/>
      <c r="I336" s="562"/>
      <c r="J336" s="562"/>
      <c r="K336" s="562"/>
      <c r="L336" s="562"/>
      <c r="M336" s="562"/>
      <c r="N336" s="767"/>
      <c r="O336" s="767"/>
      <c r="P336" s="767"/>
      <c r="Q336" s="767"/>
      <c r="R336" s="767"/>
      <c r="S336" s="767"/>
      <c r="T336" s="562"/>
      <c r="U336" s="767"/>
      <c r="V336" s="562"/>
      <c r="W336" s="570"/>
      <c r="X336" s="562"/>
      <c r="Y336" s="562"/>
      <c r="Z336" s="562"/>
      <c r="AA336" s="562"/>
      <c r="AB336" s="562"/>
      <c r="AC336" s="562"/>
      <c r="AD336" s="562"/>
      <c r="AE336" s="562"/>
      <c r="AF336" s="562"/>
      <c r="AG336" s="562"/>
      <c r="AH336" s="562"/>
      <c r="AI336" s="767"/>
      <c r="AJ336" s="767"/>
      <c r="AK336" s="767"/>
      <c r="AL336" s="767"/>
      <c r="AM336" s="767"/>
      <c r="AN336" s="767"/>
      <c r="AO336" s="567"/>
      <c r="AP336" s="192"/>
      <c r="AQ336" s="192"/>
      <c r="AR336" s="126"/>
    </row>
    <row r="337" spans="1:44" ht="17.25" customHeight="1">
      <c r="A337" s="910"/>
      <c r="B337" s="191"/>
      <c r="C337" s="260" t="s">
        <v>740</v>
      </c>
      <c r="D337" s="261"/>
      <c r="E337" s="261"/>
      <c r="F337" s="261"/>
      <c r="G337" s="261"/>
      <c r="H337" s="261"/>
      <c r="I337" s="261"/>
      <c r="J337" s="648">
        <f ca="1">ROUND(J335-AE335,1)</f>
        <v>0</v>
      </c>
      <c r="K337" s="648"/>
      <c r="L337" s="648">
        <f ca="1">ROUND(L335-AG335,1)</f>
        <v>0</v>
      </c>
      <c r="M337" s="648"/>
      <c r="N337" s="767"/>
      <c r="O337" s="767"/>
      <c r="P337" s="767"/>
      <c r="Q337" s="767"/>
      <c r="R337" s="767"/>
      <c r="S337" s="767"/>
      <c r="T337" s="458"/>
      <c r="U337" s="458"/>
      <c r="V337" s="458"/>
      <c r="W337" s="254"/>
      <c r="X337" s="458"/>
      <c r="Y337" s="458"/>
      <c r="Z337" s="458"/>
      <c r="AA337" s="458"/>
      <c r="AB337" s="254"/>
      <c r="AD337" s="458"/>
      <c r="AE337" s="458"/>
      <c r="AF337" s="458"/>
      <c r="AG337" s="458"/>
      <c r="AH337" s="458"/>
      <c r="AI337" s="767"/>
      <c r="AJ337" s="767"/>
      <c r="AK337" s="767"/>
      <c r="AL337" s="767"/>
      <c r="AM337" s="767"/>
      <c r="AN337" s="767"/>
      <c r="AO337" s="191"/>
      <c r="AP337" s="192"/>
      <c r="AQ337" s="536"/>
      <c r="AR337" s="126"/>
    </row>
    <row r="338" spans="1:44" ht="17.25" customHeight="1">
      <c r="A338" s="910"/>
      <c r="B338" s="191"/>
      <c r="C338" s="458"/>
      <c r="D338" s="458"/>
      <c r="E338" s="458"/>
      <c r="F338" s="458"/>
      <c r="G338" s="458"/>
      <c r="H338" s="458"/>
      <c r="I338" s="458"/>
      <c r="J338" s="458"/>
      <c r="K338" s="458"/>
      <c r="L338" s="458"/>
      <c r="M338" s="458"/>
      <c r="N338" s="767"/>
      <c r="O338" s="767"/>
      <c r="P338" s="767"/>
      <c r="Q338" s="767"/>
      <c r="R338" s="767"/>
      <c r="S338" s="767"/>
      <c r="T338" s="458"/>
      <c r="U338" s="458"/>
      <c r="V338" s="458"/>
      <c r="W338" s="458"/>
      <c r="X338" s="458"/>
      <c r="Y338" s="458"/>
      <c r="Z338" s="458"/>
      <c r="AA338" s="458"/>
      <c r="AB338" s="458"/>
      <c r="AC338" s="458"/>
      <c r="AD338" s="458"/>
      <c r="AE338" s="458"/>
      <c r="AF338" s="458"/>
      <c r="AG338" s="458"/>
      <c r="AH338" s="458"/>
      <c r="AI338" s="767"/>
      <c r="AJ338" s="767"/>
      <c r="AK338" s="767"/>
      <c r="AL338" s="767"/>
      <c r="AM338" s="767"/>
      <c r="AN338" s="767"/>
      <c r="AO338" s="191"/>
      <c r="AP338" s="192"/>
      <c r="AQ338" s="192"/>
      <c r="AR338" s="126"/>
    </row>
    <row r="339" spans="1:44" ht="17.25" customHeight="1">
      <c r="A339" s="910"/>
      <c r="B339" s="191"/>
      <c r="C339" s="191"/>
      <c r="D339" s="191"/>
      <c r="E339" s="191"/>
      <c r="F339" s="191"/>
      <c r="G339" s="191"/>
      <c r="H339" s="191"/>
      <c r="I339" s="191"/>
      <c r="J339" s="905"/>
      <c r="K339" s="905"/>
      <c r="L339" s="905"/>
      <c r="M339" s="905"/>
      <c r="N339" s="905"/>
      <c r="O339" s="905"/>
      <c r="P339" s="905"/>
      <c r="Q339" s="905"/>
      <c r="R339" s="905"/>
      <c r="S339" s="905"/>
      <c r="T339" s="191"/>
      <c r="U339" s="191"/>
      <c r="V339" s="550"/>
      <c r="W339" s="550"/>
      <c r="X339" s="550"/>
      <c r="Y339" s="550"/>
      <c r="Z339" s="550"/>
      <c r="AA339" s="550"/>
      <c r="AB339" s="550"/>
      <c r="AC339" s="550"/>
      <c r="AD339" s="191"/>
      <c r="AE339" s="1020"/>
      <c r="AF339" s="191"/>
      <c r="AG339" s="191"/>
      <c r="AH339" s="191"/>
      <c r="AI339" s="191"/>
      <c r="AJ339" s="191"/>
      <c r="AK339" s="191"/>
      <c r="AL339" s="191"/>
      <c r="AM339" s="191"/>
      <c r="AN339" s="191"/>
      <c r="AO339" s="191"/>
      <c r="AP339" s="192"/>
      <c r="AQ339" s="192"/>
      <c r="AR339" s="126"/>
    </row>
    <row r="340" spans="1:44" ht="17.25" customHeight="1">
      <c r="A340" s="910"/>
      <c r="B340" s="567"/>
      <c r="C340" s="567"/>
      <c r="D340" s="567"/>
      <c r="E340" s="567"/>
      <c r="F340" s="567"/>
      <c r="G340" s="567"/>
      <c r="H340" s="567"/>
      <c r="I340" s="567"/>
      <c r="J340" s="567"/>
      <c r="K340" s="567"/>
      <c r="L340" s="567"/>
      <c r="M340" s="567"/>
      <c r="N340" s="567"/>
      <c r="O340" s="567"/>
      <c r="P340" s="567"/>
      <c r="Q340" s="567"/>
      <c r="R340" s="567"/>
      <c r="S340" s="567"/>
      <c r="T340" s="567"/>
      <c r="U340" s="567"/>
      <c r="V340" s="567"/>
      <c r="W340" s="567"/>
      <c r="X340" s="567"/>
      <c r="Y340" s="567"/>
      <c r="Z340" s="567"/>
      <c r="AA340" s="567"/>
      <c r="AB340" s="567"/>
      <c r="AC340" s="567"/>
      <c r="AD340" s="567"/>
      <c r="AE340" s="567"/>
      <c r="AF340" s="567"/>
      <c r="AG340" s="567"/>
      <c r="AH340" s="567"/>
      <c r="AI340" s="567"/>
      <c r="AJ340" s="567"/>
      <c r="AK340" s="567"/>
      <c r="AL340" s="567"/>
      <c r="AM340" s="567"/>
      <c r="AN340" s="567"/>
      <c r="AO340" s="567"/>
      <c r="AP340" s="566"/>
      <c r="AQ340" s="566"/>
      <c r="AR340" s="126"/>
    </row>
    <row r="341" spans="1:44" ht="28.5" customHeight="1">
      <c r="A341" s="910"/>
      <c r="B341" s="543"/>
      <c r="C341" s="910"/>
      <c r="D341" s="910"/>
      <c r="E341" s="910"/>
      <c r="F341" s="910"/>
      <c r="G341" s="910"/>
      <c r="H341" s="910"/>
      <c r="I341" s="910"/>
      <c r="J341" s="910"/>
      <c r="K341" s="910"/>
      <c r="L341" s="910"/>
      <c r="M341" s="910"/>
      <c r="N341" s="910"/>
      <c r="O341" s="910"/>
      <c r="P341" s="910"/>
      <c r="Q341" s="910"/>
      <c r="R341" s="910"/>
      <c r="S341" s="910"/>
      <c r="T341" s="910"/>
      <c r="U341" s="910"/>
      <c r="V341" s="910"/>
      <c r="W341" s="910"/>
      <c r="X341" s="910"/>
      <c r="Y341" s="910"/>
      <c r="Z341" s="910"/>
      <c r="AA341" s="910"/>
      <c r="AB341" s="910"/>
      <c r="AC341" s="910"/>
      <c r="AD341" s="910"/>
      <c r="AE341" s="910"/>
      <c r="AF341" s="910"/>
      <c r="AG341" s="910"/>
      <c r="AH341" s="910"/>
      <c r="AI341" s="910"/>
      <c r="AJ341" s="910"/>
      <c r="AK341" s="910"/>
      <c r="AL341" s="910"/>
      <c r="AM341" s="910"/>
      <c r="AN341" s="910"/>
      <c r="AO341" s="543"/>
      <c r="AP341" s="542"/>
      <c r="AQ341" s="539"/>
      <c r="AR341" s="126"/>
    </row>
    <row r="342" spans="1:44" s="911" customFormat="1" ht="15" customHeight="1">
      <c r="A342" s="910"/>
      <c r="B342" s="910"/>
      <c r="C342" s="910"/>
      <c r="D342" s="910"/>
      <c r="E342" s="910"/>
      <c r="F342" s="910"/>
      <c r="G342" s="910"/>
      <c r="H342" s="910"/>
      <c r="I342" s="910"/>
      <c r="J342" s="910"/>
      <c r="K342" s="910"/>
      <c r="L342" s="910"/>
      <c r="M342" s="910"/>
      <c r="N342" s="910"/>
      <c r="O342" s="910"/>
      <c r="P342" s="910"/>
      <c r="Q342" s="910"/>
      <c r="R342" s="910"/>
      <c r="S342" s="910"/>
      <c r="T342" s="910"/>
      <c r="U342" s="910"/>
      <c r="V342" s="910"/>
      <c r="W342" s="910"/>
      <c r="X342" s="910"/>
      <c r="Y342" s="910"/>
      <c r="Z342" s="910"/>
      <c r="AA342" s="910"/>
      <c r="AB342" s="910"/>
      <c r="AC342" s="910"/>
      <c r="AD342" s="910"/>
      <c r="AE342" s="910"/>
      <c r="AF342" s="910"/>
      <c r="AG342" s="910"/>
      <c r="AH342" s="910"/>
      <c r="AI342" s="910"/>
      <c r="AJ342" s="910"/>
      <c r="AK342" s="910"/>
      <c r="AL342" s="910"/>
      <c r="AM342" s="910"/>
      <c r="AN342" s="910"/>
      <c r="AO342" s="910"/>
      <c r="AP342" s="566"/>
      <c r="AQ342" s="566"/>
      <c r="AR342" s="831"/>
    </row>
    <row r="343" spans="1:44" ht="21.75" customHeight="1">
      <c r="A343" s="910"/>
      <c r="B343" s="543"/>
      <c r="C343" s="910"/>
      <c r="D343" s="910"/>
      <c r="E343" s="910"/>
      <c r="F343" s="910"/>
      <c r="G343" s="910"/>
      <c r="H343" s="910"/>
      <c r="I343" s="910"/>
      <c r="J343" s="910"/>
      <c r="K343" s="910"/>
      <c r="L343" s="910"/>
      <c r="M343" s="910"/>
      <c r="N343" s="910"/>
      <c r="O343" s="910"/>
      <c r="P343" s="910"/>
      <c r="Q343" s="910"/>
      <c r="R343" s="910"/>
      <c r="S343" s="910"/>
      <c r="T343" s="910"/>
      <c r="U343" s="910"/>
      <c r="V343" s="910"/>
      <c r="W343" s="910"/>
      <c r="X343" s="910"/>
      <c r="Y343" s="910"/>
      <c r="Z343" s="910"/>
      <c r="AA343" s="910"/>
      <c r="AB343" s="910"/>
      <c r="AC343" s="910"/>
      <c r="AD343" s="910"/>
      <c r="AE343" s="910"/>
      <c r="AF343" s="910"/>
      <c r="AG343" s="910"/>
      <c r="AH343" s="910"/>
      <c r="AI343" s="910"/>
      <c r="AJ343" s="910"/>
      <c r="AK343" s="910"/>
      <c r="AL343" s="910"/>
      <c r="AM343" s="910"/>
      <c r="AN343" s="910"/>
      <c r="AO343" s="543"/>
      <c r="AP343" s="542"/>
      <c r="AQ343" s="539"/>
      <c r="AR343" s="126"/>
    </row>
    <row r="344" spans="1:44" ht="17.25" customHeight="1">
      <c r="A344" s="910"/>
      <c r="B344" s="543"/>
      <c r="C344" s="910"/>
      <c r="D344" s="910"/>
      <c r="E344" s="910"/>
      <c r="F344" s="910"/>
      <c r="G344" s="910"/>
      <c r="H344" s="910"/>
      <c r="I344" s="910"/>
      <c r="J344" s="910"/>
      <c r="K344" s="910"/>
      <c r="L344" s="910"/>
      <c r="M344" s="910"/>
      <c r="N344" s="910"/>
      <c r="O344" s="910"/>
      <c r="P344" s="910"/>
      <c r="Q344" s="910"/>
      <c r="R344" s="910"/>
      <c r="S344" s="910"/>
      <c r="T344" s="910"/>
      <c r="U344" s="910"/>
      <c r="V344" s="910"/>
      <c r="W344" s="910"/>
      <c r="X344" s="910"/>
      <c r="Y344" s="910"/>
      <c r="Z344" s="910"/>
      <c r="AA344" s="910"/>
      <c r="AB344" s="910"/>
      <c r="AC344" s="910"/>
      <c r="AD344" s="910"/>
      <c r="AE344" s="910"/>
      <c r="AF344" s="910"/>
      <c r="AG344" s="910"/>
      <c r="AH344" s="910"/>
      <c r="AI344" s="910"/>
      <c r="AJ344" s="910"/>
      <c r="AK344" s="910"/>
      <c r="AL344" s="910"/>
      <c r="AM344" s="910"/>
      <c r="AN344" s="910"/>
      <c r="AO344" s="543"/>
      <c r="AP344" s="542"/>
      <c r="AQ344" s="539"/>
      <c r="AR344" s="126"/>
    </row>
    <row r="345" spans="1:44" ht="17.25" customHeight="1">
      <c r="A345" s="910"/>
      <c r="B345" s="543"/>
      <c r="C345" s="910"/>
      <c r="D345" s="910"/>
      <c r="E345" s="910"/>
      <c r="F345" s="910"/>
      <c r="G345" s="910"/>
      <c r="H345" s="910"/>
      <c r="I345" s="910"/>
      <c r="J345" s="910"/>
      <c r="K345" s="910"/>
      <c r="L345" s="910"/>
      <c r="M345" s="910"/>
      <c r="N345" s="910"/>
      <c r="O345" s="910"/>
      <c r="P345" s="910"/>
      <c r="Q345" s="910"/>
      <c r="R345" s="910"/>
      <c r="S345" s="910"/>
      <c r="T345" s="910"/>
      <c r="U345" s="910"/>
      <c r="V345" s="910"/>
      <c r="W345" s="910"/>
      <c r="X345" s="910"/>
      <c r="Y345" s="910"/>
      <c r="Z345" s="910"/>
      <c r="AA345" s="910"/>
      <c r="AB345" s="910"/>
      <c r="AC345" s="910"/>
      <c r="AD345" s="910"/>
      <c r="AE345" s="910"/>
      <c r="AF345" s="910"/>
      <c r="AG345" s="910"/>
      <c r="AH345" s="910"/>
      <c r="AI345" s="910"/>
      <c r="AJ345" s="910"/>
      <c r="AK345" s="910"/>
      <c r="AL345" s="910"/>
      <c r="AM345" s="910"/>
      <c r="AN345" s="910"/>
      <c r="AO345" s="543"/>
      <c r="AP345" s="542"/>
      <c r="AQ345" s="539"/>
      <c r="AR345" s="126"/>
    </row>
    <row r="346" spans="1:44" ht="17.25" customHeight="1">
      <c r="A346" s="910"/>
      <c r="B346" s="543"/>
      <c r="C346" s="910"/>
      <c r="D346" s="910"/>
      <c r="E346" s="910"/>
      <c r="F346" s="910"/>
      <c r="G346" s="910"/>
      <c r="H346" s="910"/>
      <c r="I346" s="910"/>
      <c r="J346" s="910"/>
      <c r="K346" s="910"/>
      <c r="L346" s="910"/>
      <c r="M346" s="910"/>
      <c r="N346" s="910"/>
      <c r="O346" s="910"/>
      <c r="P346" s="910"/>
      <c r="Q346" s="910"/>
      <c r="R346" s="910"/>
      <c r="S346" s="910"/>
      <c r="T346" s="910"/>
      <c r="U346" s="910"/>
      <c r="V346" s="910"/>
      <c r="W346" s="910"/>
      <c r="X346" s="910"/>
      <c r="Y346" s="910"/>
      <c r="Z346" s="910"/>
      <c r="AA346" s="910"/>
      <c r="AB346" s="910"/>
      <c r="AC346" s="910"/>
      <c r="AD346" s="910"/>
      <c r="AE346" s="910"/>
      <c r="AF346" s="910"/>
      <c r="AG346" s="910"/>
      <c r="AH346" s="910"/>
      <c r="AI346" s="910"/>
      <c r="AJ346" s="910"/>
      <c r="AK346" s="910"/>
      <c r="AL346" s="910"/>
      <c r="AM346" s="910"/>
      <c r="AN346" s="910"/>
      <c r="AO346" s="543"/>
      <c r="AP346" s="542"/>
      <c r="AQ346" s="539"/>
      <c r="AR346" s="126"/>
    </row>
    <row r="347" spans="1:44" ht="17.25" customHeight="1">
      <c r="A347" s="910"/>
      <c r="B347" s="543"/>
      <c r="C347" s="910"/>
      <c r="D347" s="910"/>
      <c r="E347" s="910"/>
      <c r="F347" s="910"/>
      <c r="G347" s="910"/>
      <c r="H347" s="910"/>
      <c r="I347" s="910"/>
      <c r="J347" s="910"/>
      <c r="K347" s="910"/>
      <c r="L347" s="910"/>
      <c r="M347" s="910"/>
      <c r="N347" s="910"/>
      <c r="O347" s="910"/>
      <c r="P347" s="910"/>
      <c r="Q347" s="910"/>
      <c r="R347" s="910"/>
      <c r="S347" s="910"/>
      <c r="T347" s="910"/>
      <c r="U347" s="910"/>
      <c r="V347" s="910"/>
      <c r="W347" s="910"/>
      <c r="X347" s="910"/>
      <c r="Y347" s="910"/>
      <c r="Z347" s="910"/>
      <c r="AA347" s="910"/>
      <c r="AB347" s="910"/>
      <c r="AC347" s="910"/>
      <c r="AD347" s="910"/>
      <c r="AE347" s="910"/>
      <c r="AF347" s="910"/>
      <c r="AG347" s="910"/>
      <c r="AH347" s="910"/>
      <c r="AI347" s="910"/>
      <c r="AJ347" s="910"/>
      <c r="AK347" s="910"/>
      <c r="AL347" s="910"/>
      <c r="AM347" s="910"/>
      <c r="AN347" s="910"/>
      <c r="AO347" s="543"/>
      <c r="AP347" s="542"/>
      <c r="AQ347" s="539"/>
      <c r="AR347" s="126"/>
    </row>
    <row r="348" spans="1:44" ht="17.25" customHeight="1">
      <c r="A348" s="910"/>
      <c r="B348" s="543"/>
      <c r="C348" s="910"/>
      <c r="D348" s="910"/>
      <c r="E348" s="910"/>
      <c r="F348" s="910"/>
      <c r="G348" s="910"/>
      <c r="H348" s="910"/>
      <c r="I348" s="910"/>
      <c r="J348" s="910"/>
      <c r="K348" s="910"/>
      <c r="L348" s="910"/>
      <c r="M348" s="910"/>
      <c r="N348" s="910"/>
      <c r="O348" s="910"/>
      <c r="P348" s="910"/>
      <c r="Q348" s="910"/>
      <c r="R348" s="910"/>
      <c r="S348" s="910"/>
      <c r="T348" s="910"/>
      <c r="U348" s="910"/>
      <c r="V348" s="910"/>
      <c r="W348" s="910"/>
      <c r="X348" s="910"/>
      <c r="Y348" s="910"/>
      <c r="Z348" s="910"/>
      <c r="AA348" s="910"/>
      <c r="AB348" s="910"/>
      <c r="AC348" s="910"/>
      <c r="AD348" s="910"/>
      <c r="AE348" s="910"/>
      <c r="AF348" s="910"/>
      <c r="AG348" s="910"/>
      <c r="AH348" s="910"/>
      <c r="AI348" s="910"/>
      <c r="AJ348" s="910"/>
      <c r="AK348" s="910"/>
      <c r="AL348" s="910"/>
      <c r="AM348" s="910"/>
      <c r="AN348" s="910"/>
      <c r="AO348" s="543"/>
      <c r="AP348" s="542"/>
      <c r="AQ348" s="539"/>
      <c r="AR348" s="126"/>
    </row>
    <row r="349" spans="1:44" ht="17.25" customHeight="1">
      <c r="A349" s="910"/>
      <c r="B349" s="543"/>
      <c r="C349" s="910"/>
      <c r="D349" s="910"/>
      <c r="E349" s="910"/>
      <c r="F349" s="910"/>
      <c r="G349" s="910"/>
      <c r="H349" s="910"/>
      <c r="I349" s="910"/>
      <c r="J349" s="910"/>
      <c r="K349" s="910"/>
      <c r="L349" s="910"/>
      <c r="M349" s="910"/>
      <c r="N349" s="910"/>
      <c r="O349" s="910"/>
      <c r="P349" s="910"/>
      <c r="Q349" s="910"/>
      <c r="R349" s="910"/>
      <c r="S349" s="910"/>
      <c r="T349" s="910"/>
      <c r="U349" s="910"/>
      <c r="V349" s="910"/>
      <c r="W349" s="910"/>
      <c r="X349" s="910"/>
      <c r="Y349" s="910"/>
      <c r="Z349" s="910"/>
      <c r="AA349" s="910"/>
      <c r="AB349" s="910"/>
      <c r="AC349" s="910"/>
      <c r="AD349" s="910"/>
      <c r="AE349" s="910"/>
      <c r="AF349" s="910"/>
      <c r="AG349" s="910"/>
      <c r="AH349" s="910"/>
      <c r="AI349" s="910"/>
      <c r="AJ349" s="910"/>
      <c r="AK349" s="910"/>
      <c r="AL349" s="910"/>
      <c r="AM349" s="910"/>
      <c r="AN349" s="910"/>
      <c r="AO349" s="543"/>
      <c r="AP349" s="542"/>
      <c r="AQ349" s="539"/>
      <c r="AR349" s="126"/>
    </row>
    <row r="350" spans="1:44" ht="17.25" customHeight="1">
      <c r="A350" s="910"/>
      <c r="B350" s="543"/>
      <c r="C350" s="910"/>
      <c r="D350" s="910"/>
      <c r="E350" s="910"/>
      <c r="F350" s="910"/>
      <c r="G350" s="910"/>
      <c r="H350" s="910"/>
      <c r="I350" s="910"/>
      <c r="J350" s="910"/>
      <c r="K350" s="910"/>
      <c r="L350" s="910"/>
      <c r="M350" s="910"/>
      <c r="N350" s="910"/>
      <c r="O350" s="910"/>
      <c r="P350" s="910"/>
      <c r="Q350" s="910"/>
      <c r="R350" s="910"/>
      <c r="S350" s="910"/>
      <c r="T350" s="910"/>
      <c r="U350" s="910"/>
      <c r="V350" s="910"/>
      <c r="W350" s="910"/>
      <c r="X350" s="910"/>
      <c r="Y350" s="910"/>
      <c r="Z350" s="910"/>
      <c r="AA350" s="910"/>
      <c r="AB350" s="910"/>
      <c r="AC350" s="910"/>
      <c r="AD350" s="910"/>
      <c r="AE350" s="910"/>
      <c r="AF350" s="910"/>
      <c r="AG350" s="910"/>
      <c r="AH350" s="910"/>
      <c r="AI350" s="910"/>
      <c r="AJ350" s="910"/>
      <c r="AK350" s="910"/>
      <c r="AL350" s="910"/>
      <c r="AM350" s="910"/>
      <c r="AN350" s="910"/>
      <c r="AO350" s="543"/>
      <c r="AP350" s="542"/>
      <c r="AQ350" s="539"/>
      <c r="AR350" s="126"/>
    </row>
    <row r="351" spans="1:44" ht="17.25" customHeight="1">
      <c r="A351" s="910"/>
      <c r="B351" s="543"/>
      <c r="C351" s="910"/>
      <c r="D351" s="910"/>
      <c r="E351" s="910"/>
      <c r="F351" s="910"/>
      <c r="G351" s="910"/>
      <c r="H351" s="910"/>
      <c r="I351" s="910"/>
      <c r="J351" s="910"/>
      <c r="K351" s="910"/>
      <c r="L351" s="910"/>
      <c r="M351" s="910"/>
      <c r="N351" s="910"/>
      <c r="O351" s="910"/>
      <c r="P351" s="910"/>
      <c r="Q351" s="910"/>
      <c r="R351" s="910"/>
      <c r="S351" s="910"/>
      <c r="T351" s="910"/>
      <c r="U351" s="910"/>
      <c r="V351" s="910"/>
      <c r="W351" s="910"/>
      <c r="X351" s="910"/>
      <c r="Y351" s="910"/>
      <c r="Z351" s="910"/>
      <c r="AA351" s="910"/>
      <c r="AB351" s="910"/>
      <c r="AC351" s="910"/>
      <c r="AD351" s="910"/>
      <c r="AE351" s="910"/>
      <c r="AF351" s="910"/>
      <c r="AG351" s="910"/>
      <c r="AH351" s="910"/>
      <c r="AI351" s="910"/>
      <c r="AJ351" s="910"/>
      <c r="AK351" s="910"/>
      <c r="AL351" s="910"/>
      <c r="AM351" s="910"/>
      <c r="AN351" s="910"/>
      <c r="AO351" s="543"/>
      <c r="AP351" s="542"/>
      <c r="AQ351" s="539"/>
      <c r="AR351" s="126"/>
    </row>
    <row r="352" spans="1:44" ht="17.25" customHeight="1">
      <c r="A352" s="910"/>
      <c r="B352" s="543"/>
      <c r="C352" s="910"/>
      <c r="D352" s="910"/>
      <c r="E352" s="910"/>
      <c r="F352" s="910"/>
      <c r="G352" s="910"/>
      <c r="H352" s="910"/>
      <c r="I352" s="910"/>
      <c r="J352" s="910"/>
      <c r="K352" s="910"/>
      <c r="L352" s="910"/>
      <c r="M352" s="910"/>
      <c r="N352" s="910"/>
      <c r="O352" s="910"/>
      <c r="P352" s="910"/>
      <c r="Q352" s="910"/>
      <c r="R352" s="910"/>
      <c r="S352" s="910"/>
      <c r="T352" s="910"/>
      <c r="U352" s="910"/>
      <c r="V352" s="910"/>
      <c r="W352" s="910"/>
      <c r="X352" s="910"/>
      <c r="Y352" s="910"/>
      <c r="Z352" s="910"/>
      <c r="AA352" s="910"/>
      <c r="AB352" s="910"/>
      <c r="AC352" s="910"/>
      <c r="AD352" s="910"/>
      <c r="AE352" s="910"/>
      <c r="AF352" s="910"/>
      <c r="AG352" s="910"/>
      <c r="AH352" s="910"/>
      <c r="AI352" s="910"/>
      <c r="AJ352" s="910"/>
      <c r="AK352" s="910"/>
      <c r="AL352" s="910"/>
      <c r="AM352" s="910"/>
      <c r="AN352" s="910"/>
      <c r="AO352" s="543"/>
      <c r="AP352" s="542"/>
      <c r="AQ352" s="539"/>
      <c r="AR352" s="126"/>
    </row>
    <row r="353" spans="1:44" ht="12" customHeight="1">
      <c r="A353" s="910"/>
      <c r="B353" s="543"/>
      <c r="C353" s="910"/>
      <c r="D353" s="910"/>
      <c r="E353" s="910"/>
      <c r="F353" s="910"/>
      <c r="G353" s="910"/>
      <c r="H353" s="910"/>
      <c r="I353" s="910"/>
      <c r="J353" s="910"/>
      <c r="K353" s="910"/>
      <c r="L353" s="910"/>
      <c r="M353" s="910"/>
      <c r="N353" s="910"/>
      <c r="O353" s="910"/>
      <c r="P353" s="910"/>
      <c r="Q353" s="910"/>
      <c r="R353" s="910"/>
      <c r="S353" s="910"/>
      <c r="T353" s="910"/>
      <c r="U353" s="910"/>
      <c r="V353" s="910"/>
      <c r="W353" s="910"/>
      <c r="X353" s="910"/>
      <c r="Y353" s="910"/>
      <c r="Z353" s="910"/>
      <c r="AA353" s="910"/>
      <c r="AB353" s="910"/>
      <c r="AC353" s="910"/>
      <c r="AD353" s="910"/>
      <c r="AE353" s="910"/>
      <c r="AF353" s="910"/>
      <c r="AG353" s="910"/>
      <c r="AH353" s="910"/>
      <c r="AI353" s="910"/>
      <c r="AJ353" s="910"/>
      <c r="AK353" s="910"/>
      <c r="AL353" s="910"/>
      <c r="AM353" s="910"/>
      <c r="AN353" s="910"/>
      <c r="AO353" s="543"/>
      <c r="AP353" s="542"/>
      <c r="AQ353" s="539"/>
      <c r="AR353" s="126"/>
    </row>
    <row r="354" spans="1:44" ht="17.25" customHeight="1">
      <c r="A354" s="910"/>
      <c r="B354" s="567"/>
      <c r="C354" s="910"/>
      <c r="D354" s="910"/>
      <c r="E354" s="910"/>
      <c r="F354" s="910"/>
      <c r="G354" s="910"/>
      <c r="H354" s="910"/>
      <c r="I354" s="910"/>
      <c r="J354" s="910"/>
      <c r="K354" s="910"/>
      <c r="L354" s="910"/>
      <c r="M354" s="910"/>
      <c r="N354" s="910"/>
      <c r="O354" s="910"/>
      <c r="P354" s="910"/>
      <c r="Q354" s="910"/>
      <c r="R354" s="910"/>
      <c r="S354" s="910"/>
      <c r="T354" s="910"/>
      <c r="U354" s="910"/>
      <c r="V354" s="910"/>
      <c r="W354" s="910"/>
      <c r="X354" s="910"/>
      <c r="Y354" s="910"/>
      <c r="Z354" s="910"/>
      <c r="AA354" s="910"/>
      <c r="AB354" s="910"/>
      <c r="AC354" s="910"/>
      <c r="AD354" s="910"/>
      <c r="AE354" s="910"/>
      <c r="AF354" s="910"/>
      <c r="AG354" s="910"/>
      <c r="AH354" s="910"/>
      <c r="AI354" s="910"/>
      <c r="AJ354" s="910"/>
      <c r="AK354" s="910"/>
      <c r="AL354" s="910"/>
      <c r="AM354" s="910"/>
      <c r="AN354" s="910"/>
      <c r="AO354" s="543"/>
      <c r="AP354" s="542"/>
      <c r="AQ354" s="539"/>
      <c r="AR354" s="126"/>
    </row>
    <row r="355" spans="1:44" ht="17.25" customHeight="1">
      <c r="A355" s="910"/>
      <c r="B355" s="543"/>
      <c r="C355" s="910"/>
      <c r="D355" s="910"/>
      <c r="E355" s="910"/>
      <c r="F355" s="910"/>
      <c r="G355" s="910"/>
      <c r="H355" s="910"/>
      <c r="I355" s="910"/>
      <c r="J355" s="910"/>
      <c r="K355" s="910"/>
      <c r="L355" s="910"/>
      <c r="M355" s="910"/>
      <c r="N355" s="910"/>
      <c r="O355" s="910"/>
      <c r="P355" s="910"/>
      <c r="Q355" s="910"/>
      <c r="R355" s="910"/>
      <c r="S355" s="910"/>
      <c r="T355" s="910"/>
      <c r="U355" s="910"/>
      <c r="V355" s="910"/>
      <c r="W355" s="910"/>
      <c r="X355" s="910"/>
      <c r="Y355" s="910"/>
      <c r="Z355" s="910"/>
      <c r="AA355" s="910"/>
      <c r="AB355" s="910"/>
      <c r="AC355" s="910"/>
      <c r="AD355" s="910"/>
      <c r="AE355" s="910"/>
      <c r="AF355" s="910"/>
      <c r="AG355" s="910"/>
      <c r="AH355" s="910"/>
      <c r="AI355" s="910"/>
      <c r="AJ355" s="910"/>
      <c r="AK355" s="910"/>
      <c r="AL355" s="910"/>
      <c r="AM355" s="910"/>
      <c r="AN355" s="910"/>
      <c r="AO355" s="543"/>
      <c r="AP355" s="542"/>
      <c r="AQ355" s="541"/>
      <c r="AR355" s="126"/>
    </row>
    <row r="356" spans="1:44" ht="17.25" customHeight="1">
      <c r="A356" s="910"/>
      <c r="B356" s="543"/>
      <c r="C356" s="910"/>
      <c r="D356" s="910"/>
      <c r="E356" s="910"/>
      <c r="F356" s="910"/>
      <c r="G356" s="910"/>
      <c r="H356" s="910"/>
      <c r="I356" s="910"/>
      <c r="J356" s="910"/>
      <c r="K356" s="910"/>
      <c r="L356" s="910"/>
      <c r="M356" s="910"/>
      <c r="N356" s="910"/>
      <c r="O356" s="910"/>
      <c r="P356" s="910"/>
      <c r="Q356" s="910"/>
      <c r="R356" s="910"/>
      <c r="S356" s="910"/>
      <c r="T356" s="910"/>
      <c r="U356" s="910"/>
      <c r="V356" s="910"/>
      <c r="W356" s="910"/>
      <c r="X356" s="910"/>
      <c r="Y356" s="910"/>
      <c r="Z356" s="910"/>
      <c r="AA356" s="910"/>
      <c r="AB356" s="910"/>
      <c r="AC356" s="910"/>
      <c r="AD356" s="910"/>
      <c r="AE356" s="910"/>
      <c r="AF356" s="910"/>
      <c r="AG356" s="910"/>
      <c r="AH356" s="910"/>
      <c r="AI356" s="910"/>
      <c r="AJ356" s="910"/>
      <c r="AK356" s="910"/>
      <c r="AL356" s="910"/>
      <c r="AM356" s="910"/>
      <c r="AN356" s="910"/>
      <c r="AO356" s="543"/>
      <c r="AP356" s="542"/>
      <c r="AQ356" s="541"/>
      <c r="AR356" s="126"/>
    </row>
    <row r="357" spans="1:44" ht="17.25" customHeight="1">
      <c r="A357" s="910"/>
      <c r="B357" s="543"/>
      <c r="C357" s="910"/>
      <c r="D357" s="910"/>
      <c r="E357" s="910"/>
      <c r="F357" s="910"/>
      <c r="G357" s="910"/>
      <c r="H357" s="910"/>
      <c r="I357" s="910"/>
      <c r="J357" s="910"/>
      <c r="K357" s="910"/>
      <c r="L357" s="910"/>
      <c r="M357" s="910"/>
      <c r="N357" s="910"/>
      <c r="O357" s="910"/>
      <c r="P357" s="910"/>
      <c r="Q357" s="910"/>
      <c r="R357" s="910"/>
      <c r="S357" s="910"/>
      <c r="T357" s="910"/>
      <c r="U357" s="910"/>
      <c r="V357" s="910"/>
      <c r="W357" s="910"/>
      <c r="X357" s="910"/>
      <c r="Y357" s="910"/>
      <c r="Z357" s="910"/>
      <c r="AA357" s="910"/>
      <c r="AB357" s="910"/>
      <c r="AC357" s="910"/>
      <c r="AD357" s="910"/>
      <c r="AE357" s="910"/>
      <c r="AF357" s="910"/>
      <c r="AG357" s="910"/>
      <c r="AH357" s="910"/>
      <c r="AI357" s="910"/>
      <c r="AJ357" s="910"/>
      <c r="AK357" s="910"/>
      <c r="AL357" s="910"/>
      <c r="AM357" s="910"/>
      <c r="AN357" s="910"/>
      <c r="AO357" s="543"/>
      <c r="AP357" s="542"/>
      <c r="AQ357" s="541"/>
      <c r="AR357" s="126"/>
    </row>
    <row r="358" spans="1:44" ht="17.25" customHeight="1">
      <c r="A358" s="910"/>
      <c r="B358" s="543"/>
      <c r="C358" s="910"/>
      <c r="D358" s="910"/>
      <c r="E358" s="910"/>
      <c r="F358" s="910"/>
      <c r="G358" s="910"/>
      <c r="H358" s="910"/>
      <c r="I358" s="910"/>
      <c r="J358" s="910"/>
      <c r="K358" s="910"/>
      <c r="L358" s="910"/>
      <c r="M358" s="910"/>
      <c r="N358" s="910"/>
      <c r="O358" s="910"/>
      <c r="P358" s="910"/>
      <c r="Q358" s="910"/>
      <c r="R358" s="910"/>
      <c r="S358" s="910"/>
      <c r="T358" s="910"/>
      <c r="U358" s="910"/>
      <c r="V358" s="910"/>
      <c r="W358" s="910"/>
      <c r="X358" s="910"/>
      <c r="Y358" s="910"/>
      <c r="Z358" s="910"/>
      <c r="AA358" s="910"/>
      <c r="AB358" s="910"/>
      <c r="AC358" s="910"/>
      <c r="AD358" s="910"/>
      <c r="AE358" s="910"/>
      <c r="AF358" s="910"/>
      <c r="AG358" s="910"/>
      <c r="AH358" s="910"/>
      <c r="AI358" s="910"/>
      <c r="AJ358" s="910"/>
      <c r="AK358" s="910"/>
      <c r="AL358" s="910"/>
      <c r="AM358" s="910"/>
      <c r="AN358" s="910"/>
      <c r="AO358" s="543"/>
      <c r="AP358" s="542"/>
      <c r="AQ358" s="541"/>
      <c r="AR358" s="126"/>
    </row>
    <row r="359" spans="1:44" ht="17.25" customHeight="1">
      <c r="A359" s="910"/>
      <c r="B359" s="543"/>
      <c r="C359" s="910"/>
      <c r="D359" s="910"/>
      <c r="E359" s="910"/>
      <c r="F359" s="910"/>
      <c r="G359" s="910"/>
      <c r="H359" s="910"/>
      <c r="I359" s="910"/>
      <c r="J359" s="910"/>
      <c r="K359" s="910"/>
      <c r="L359" s="910"/>
      <c r="M359" s="910"/>
      <c r="N359" s="910"/>
      <c r="O359" s="910"/>
      <c r="P359" s="910"/>
      <c r="Q359" s="910"/>
      <c r="R359" s="910"/>
      <c r="S359" s="910"/>
      <c r="T359" s="910"/>
      <c r="U359" s="910"/>
      <c r="V359" s="910"/>
      <c r="W359" s="910"/>
      <c r="X359" s="910"/>
      <c r="Y359" s="910"/>
      <c r="Z359" s="910"/>
      <c r="AA359" s="910"/>
      <c r="AB359" s="910"/>
      <c r="AC359" s="910"/>
      <c r="AD359" s="910"/>
      <c r="AE359" s="910"/>
      <c r="AF359" s="910"/>
      <c r="AG359" s="910"/>
      <c r="AH359" s="910"/>
      <c r="AI359" s="910"/>
      <c r="AJ359" s="910"/>
      <c r="AK359" s="910"/>
      <c r="AL359" s="910"/>
      <c r="AM359" s="910"/>
      <c r="AN359" s="910"/>
      <c r="AO359" s="543"/>
      <c r="AP359" s="542"/>
      <c r="AQ359" s="539"/>
      <c r="AR359" s="126"/>
    </row>
    <row r="360" spans="1:44" ht="17.25" customHeight="1">
      <c r="A360" s="910"/>
      <c r="B360" s="910"/>
      <c r="C360" s="567"/>
      <c r="D360" s="567"/>
      <c r="E360" s="567"/>
      <c r="F360" s="567"/>
      <c r="G360" s="567"/>
      <c r="H360" s="567"/>
      <c r="I360" s="567"/>
      <c r="J360" s="567"/>
      <c r="K360" s="567"/>
      <c r="L360" s="567"/>
      <c r="M360" s="567"/>
      <c r="N360" s="910"/>
      <c r="O360" s="910"/>
      <c r="P360" s="910"/>
      <c r="Q360" s="910"/>
      <c r="R360" s="910"/>
      <c r="S360" s="910"/>
      <c r="T360" s="567"/>
      <c r="U360" s="543"/>
      <c r="V360" s="543"/>
      <c r="W360" s="543"/>
      <c r="X360" s="543"/>
      <c r="Y360" s="543"/>
      <c r="Z360" s="543"/>
      <c r="AA360" s="543"/>
      <c r="AB360" s="543"/>
      <c r="AC360" s="543"/>
      <c r="AD360" s="543"/>
      <c r="AE360" s="543"/>
      <c r="AF360" s="543"/>
      <c r="AG360" s="543"/>
      <c r="AH360" s="543"/>
      <c r="AI360" s="543"/>
      <c r="AJ360" s="543"/>
      <c r="AK360" s="543"/>
      <c r="AL360" s="543"/>
      <c r="AM360" s="543"/>
      <c r="AN360" s="543"/>
      <c r="AO360" s="543"/>
      <c r="AP360" s="542"/>
      <c r="AQ360" s="539"/>
      <c r="AR360" s="126"/>
    </row>
    <row r="361" spans="1:44" ht="17.25" customHeight="1">
      <c r="A361" s="910"/>
      <c r="B361" s="910"/>
      <c r="C361" s="910"/>
      <c r="D361" s="910"/>
      <c r="E361" s="910"/>
      <c r="F361" s="910"/>
      <c r="G361" s="910"/>
      <c r="H361" s="910"/>
      <c r="I361" s="910"/>
      <c r="J361" s="910"/>
      <c r="K361" s="910"/>
      <c r="L361" s="567"/>
      <c r="M361" s="567"/>
      <c r="N361" s="567"/>
      <c r="O361" s="567"/>
      <c r="P361" s="567"/>
      <c r="Q361" s="567"/>
      <c r="R361" s="567"/>
      <c r="S361" s="567"/>
      <c r="T361" s="567"/>
      <c r="U361" s="567"/>
      <c r="V361" s="567"/>
      <c r="W361" s="567"/>
      <c r="X361" s="567"/>
      <c r="Y361" s="567"/>
      <c r="Z361" s="567"/>
      <c r="AA361" s="567"/>
      <c r="AB361" s="567"/>
      <c r="AC361" s="544"/>
      <c r="AD361" s="544"/>
      <c r="AE361" s="544"/>
      <c r="AF361" s="544"/>
      <c r="AG361" s="544"/>
      <c r="AH361" s="544"/>
      <c r="AI361" s="544"/>
      <c r="AJ361" s="544"/>
      <c r="AK361" s="544"/>
      <c r="AL361" s="544"/>
      <c r="AM361" s="544"/>
      <c r="AN361" s="544"/>
      <c r="AO361" s="544"/>
      <c r="AP361" s="545"/>
      <c r="AQ361" s="545"/>
      <c r="AR361" s="126"/>
    </row>
    <row r="362" spans="1:44" ht="22.5" customHeight="1">
      <c r="A362" s="910"/>
      <c r="B362" s="910"/>
      <c r="C362" s="910"/>
      <c r="D362" s="910"/>
      <c r="E362" s="910"/>
      <c r="F362" s="910"/>
      <c r="G362" s="910"/>
      <c r="H362" s="910"/>
      <c r="I362" s="910"/>
      <c r="J362" s="910"/>
      <c r="K362" s="910"/>
      <c r="L362" s="910"/>
      <c r="M362" s="910"/>
      <c r="N362" s="910"/>
      <c r="O362" s="910"/>
      <c r="P362" s="910"/>
      <c r="Q362" s="910"/>
      <c r="R362" s="910"/>
      <c r="S362" s="910"/>
      <c r="T362" s="910"/>
      <c r="U362" s="910"/>
      <c r="V362" s="910"/>
      <c r="W362" s="910"/>
      <c r="X362" s="910"/>
      <c r="Y362" s="910"/>
      <c r="Z362" s="910"/>
      <c r="AA362" s="910"/>
      <c r="AB362" s="910"/>
      <c r="AC362" s="910"/>
      <c r="AD362" s="910"/>
      <c r="AE362" s="567"/>
      <c r="AF362" s="194" t="s">
        <v>889</v>
      </c>
      <c r="AG362" s="562"/>
      <c r="AH362" s="562"/>
      <c r="AI362" s="562"/>
      <c r="AJ362" s="562"/>
      <c r="AK362" s="562"/>
      <c r="AL362" s="562"/>
      <c r="AM362" s="562"/>
      <c r="AN362" s="192"/>
      <c r="AO362" s="191"/>
      <c r="AP362" s="192"/>
      <c r="AQ362" s="458"/>
    </row>
    <row r="363" spans="1:44" ht="17.25" customHeight="1">
      <c r="A363" s="910"/>
      <c r="B363" s="910"/>
      <c r="C363" s="910"/>
      <c r="D363" s="910"/>
      <c r="E363" s="910"/>
      <c r="F363" s="910"/>
      <c r="G363" s="910"/>
      <c r="H363" s="910"/>
      <c r="I363" s="910"/>
      <c r="J363" s="910"/>
      <c r="K363" s="910"/>
      <c r="L363" s="910"/>
      <c r="M363" s="910"/>
      <c r="N363" s="910"/>
      <c r="O363" s="910"/>
      <c r="P363" s="910"/>
      <c r="Q363" s="910"/>
      <c r="R363" s="910"/>
      <c r="S363" s="910"/>
      <c r="T363" s="910"/>
      <c r="U363" s="910"/>
      <c r="V363" s="910"/>
      <c r="W363" s="910"/>
      <c r="X363" s="910"/>
      <c r="Y363" s="910"/>
      <c r="Z363" s="910"/>
      <c r="AA363" s="910"/>
      <c r="AB363" s="910"/>
      <c r="AC363" s="910"/>
      <c r="AD363" s="910"/>
      <c r="AE363" s="567"/>
      <c r="AF363" s="562"/>
      <c r="AG363" s="562"/>
      <c r="AH363" s="562"/>
      <c r="AI363" s="562"/>
      <c r="AJ363" s="562"/>
      <c r="AK363" s="562"/>
      <c r="AL363" s="562"/>
      <c r="AM363" s="562"/>
      <c r="AN363" s="192"/>
      <c r="AO363" s="191"/>
      <c r="AP363" s="192"/>
      <c r="AQ363" s="458"/>
    </row>
    <row r="364" spans="1:44" ht="17.25" customHeight="1">
      <c r="A364" s="910"/>
      <c r="B364" s="910"/>
      <c r="C364" s="910"/>
      <c r="D364" s="910"/>
      <c r="E364" s="910"/>
      <c r="F364" s="910"/>
      <c r="G364" s="910"/>
      <c r="H364" s="910"/>
      <c r="I364" s="910"/>
      <c r="J364" s="910"/>
      <c r="K364" s="910"/>
      <c r="L364" s="910"/>
      <c r="M364" s="910"/>
      <c r="N364" s="910"/>
      <c r="O364" s="910"/>
      <c r="P364" s="910"/>
      <c r="Q364" s="910"/>
      <c r="R364" s="910"/>
      <c r="S364" s="910"/>
      <c r="T364" s="910"/>
      <c r="U364" s="910"/>
      <c r="V364" s="910"/>
      <c r="W364" s="910"/>
      <c r="X364" s="910"/>
      <c r="Y364" s="910"/>
      <c r="Z364" s="910"/>
      <c r="AA364" s="910"/>
      <c r="AB364" s="910"/>
      <c r="AC364" s="910"/>
      <c r="AD364" s="910"/>
      <c r="AE364" s="567"/>
      <c r="AG364" s="508" t="s">
        <v>870</v>
      </c>
      <c r="AH364" s="984" t="s">
        <v>48</v>
      </c>
      <c r="AI364" s="185" t="s">
        <v>741</v>
      </c>
      <c r="AJ364" s="562"/>
      <c r="AK364" s="562"/>
      <c r="AL364" s="562"/>
      <c r="AM364" s="562"/>
      <c r="AN364" s="192"/>
      <c r="AO364" s="191"/>
      <c r="AP364" s="192"/>
      <c r="AQ364" s="458"/>
    </row>
    <row r="365" spans="1:44" s="911" customFormat="1" ht="17.25" customHeight="1">
      <c r="A365" s="910"/>
      <c r="B365" s="910"/>
      <c r="C365" s="910"/>
      <c r="D365" s="910"/>
      <c r="E365" s="910"/>
      <c r="F365" s="910"/>
      <c r="G365" s="910"/>
      <c r="H365" s="910"/>
      <c r="I365" s="910"/>
      <c r="J365" s="910"/>
      <c r="K365" s="910"/>
      <c r="L365" s="910"/>
      <c r="M365" s="910"/>
      <c r="N365" s="910"/>
      <c r="O365" s="910"/>
      <c r="P365" s="910"/>
      <c r="Q365" s="910"/>
      <c r="R365" s="910"/>
      <c r="S365" s="910"/>
      <c r="T365" s="910"/>
      <c r="U365" s="910"/>
      <c r="V365" s="910"/>
      <c r="W365" s="910"/>
      <c r="X365" s="910"/>
      <c r="Y365" s="910"/>
      <c r="Z365" s="910"/>
      <c r="AA365" s="910"/>
      <c r="AB365" s="910"/>
      <c r="AC365" s="910"/>
      <c r="AD365" s="910"/>
      <c r="AE365" s="910"/>
      <c r="AG365" s="508" t="s">
        <v>868</v>
      </c>
      <c r="AH365" s="984" t="s">
        <v>48</v>
      </c>
      <c r="AI365" s="185" t="s">
        <v>883</v>
      </c>
      <c r="AJ365" s="767"/>
      <c r="AK365" s="767"/>
      <c r="AL365" s="767"/>
      <c r="AM365" s="767"/>
      <c r="AN365" s="566"/>
      <c r="AO365" s="910"/>
      <c r="AP365" s="566"/>
      <c r="AQ365" s="767"/>
    </row>
    <row r="366" spans="1:44" s="911" customFormat="1" ht="17.25" customHeight="1">
      <c r="A366" s="910"/>
      <c r="B366" s="910"/>
      <c r="C366" s="910"/>
      <c r="D366" s="910"/>
      <c r="E366" s="910"/>
      <c r="F366" s="910"/>
      <c r="G366" s="910"/>
      <c r="H366" s="910"/>
      <c r="I366" s="910"/>
      <c r="J366" s="910"/>
      <c r="K366" s="910"/>
      <c r="L366" s="910"/>
      <c r="M366" s="910"/>
      <c r="N366" s="910"/>
      <c r="O366" s="910"/>
      <c r="P366" s="910"/>
      <c r="Q366" s="910"/>
      <c r="R366" s="910"/>
      <c r="S366" s="910"/>
      <c r="T366" s="910"/>
      <c r="U366" s="910"/>
      <c r="V366" s="910"/>
      <c r="W366" s="910"/>
      <c r="X366" s="910"/>
      <c r="Y366" s="910"/>
      <c r="Z366" s="910"/>
      <c r="AA366" s="910"/>
      <c r="AB366" s="910"/>
      <c r="AC366" s="910"/>
      <c r="AD366" s="910"/>
      <c r="AE366" s="910"/>
      <c r="AG366" s="508" t="s">
        <v>872</v>
      </c>
      <c r="AH366" s="984" t="s">
        <v>48</v>
      </c>
      <c r="AI366" s="185" t="s">
        <v>395</v>
      </c>
      <c r="AJ366" s="767"/>
      <c r="AK366" s="767"/>
      <c r="AL366" s="767"/>
      <c r="AM366" s="767"/>
      <c r="AN366" s="566"/>
      <c r="AO366" s="910"/>
      <c r="AP366" s="566"/>
      <c r="AQ366" s="767"/>
    </row>
    <row r="367" spans="1:44" s="911" customFormat="1" ht="17.25" customHeight="1">
      <c r="A367" s="910"/>
      <c r="B367" s="910"/>
      <c r="C367" s="910"/>
      <c r="D367" s="910"/>
      <c r="E367" s="910"/>
      <c r="F367" s="910"/>
      <c r="G367" s="910"/>
      <c r="H367" s="910"/>
      <c r="I367" s="910"/>
      <c r="J367" s="910"/>
      <c r="K367" s="910"/>
      <c r="L367" s="910"/>
      <c r="M367" s="910"/>
      <c r="N367" s="910"/>
      <c r="O367" s="910"/>
      <c r="P367" s="910"/>
      <c r="Q367" s="910"/>
      <c r="R367" s="910"/>
      <c r="S367" s="910"/>
      <c r="T367" s="910"/>
      <c r="U367" s="910"/>
      <c r="V367" s="910"/>
      <c r="W367" s="910"/>
      <c r="X367" s="910"/>
      <c r="Y367" s="910"/>
      <c r="Z367" s="910"/>
      <c r="AA367" s="910"/>
      <c r="AB367" s="910"/>
      <c r="AC367" s="910"/>
      <c r="AD367" s="910"/>
      <c r="AE367" s="910"/>
      <c r="AG367" s="508" t="s">
        <v>882</v>
      </c>
      <c r="AH367" s="984" t="s">
        <v>48</v>
      </c>
      <c r="AI367" s="185" t="str">
        <f>CHOOSE(language,"Depreciation &amp; Amortisation","Depreciation &amp; Amortization")</f>
        <v>Depreciation &amp; Amortization</v>
      </c>
      <c r="AJ367" s="767"/>
      <c r="AK367" s="767"/>
      <c r="AL367" s="767"/>
      <c r="AM367" s="767"/>
      <c r="AN367" s="566"/>
      <c r="AO367" s="910"/>
      <c r="AP367" s="566"/>
      <c r="AQ367" s="767"/>
    </row>
    <row r="368" spans="1:44" s="911" customFormat="1" ht="17.25" customHeight="1">
      <c r="A368" s="910"/>
      <c r="B368" s="910"/>
      <c r="C368" s="910"/>
      <c r="D368" s="910"/>
      <c r="E368" s="910"/>
      <c r="F368" s="910"/>
      <c r="G368" s="910"/>
      <c r="H368" s="910"/>
      <c r="I368" s="910"/>
      <c r="J368" s="910"/>
      <c r="K368" s="910"/>
      <c r="L368" s="910"/>
      <c r="M368" s="910"/>
      <c r="N368" s="910"/>
      <c r="O368" s="910"/>
      <c r="P368" s="910"/>
      <c r="Q368" s="910"/>
      <c r="R368" s="910"/>
      <c r="S368" s="910"/>
      <c r="T368" s="910"/>
      <c r="U368" s="910"/>
      <c r="V368" s="910"/>
      <c r="W368" s="910"/>
      <c r="X368" s="910"/>
      <c r="Y368" s="910"/>
      <c r="Z368" s="910"/>
      <c r="AA368" s="910"/>
      <c r="AB368" s="910"/>
      <c r="AC368" s="910"/>
      <c r="AD368" s="910"/>
      <c r="AE368" s="910"/>
      <c r="AG368" s="508" t="s">
        <v>871</v>
      </c>
      <c r="AH368" s="984" t="s">
        <v>48</v>
      </c>
      <c r="AI368" s="185" t="s">
        <v>884</v>
      </c>
      <c r="AJ368" s="767"/>
      <c r="AK368" s="767"/>
      <c r="AL368" s="767"/>
      <c r="AM368" s="767"/>
      <c r="AN368" s="566"/>
      <c r="AO368" s="910"/>
      <c r="AP368" s="566"/>
      <c r="AQ368" s="767"/>
    </row>
    <row r="369" spans="1:43" ht="17.25" customHeight="1">
      <c r="A369" s="910"/>
      <c r="B369" s="910"/>
      <c r="C369" s="910"/>
      <c r="D369" s="910"/>
      <c r="E369" s="910"/>
      <c r="F369" s="910"/>
      <c r="G369" s="910"/>
      <c r="H369" s="910"/>
      <c r="I369" s="910"/>
      <c r="J369" s="910"/>
      <c r="K369" s="910"/>
      <c r="L369" s="910"/>
      <c r="M369" s="910"/>
      <c r="N369" s="910"/>
      <c r="O369" s="910"/>
      <c r="P369" s="910"/>
      <c r="Q369" s="910"/>
      <c r="R369" s="910"/>
      <c r="S369" s="910"/>
      <c r="T369" s="910"/>
      <c r="U369" s="910"/>
      <c r="V369" s="910"/>
      <c r="W369" s="910"/>
      <c r="X369" s="910"/>
      <c r="Y369" s="910"/>
      <c r="Z369" s="910"/>
      <c r="AA369" s="910"/>
      <c r="AB369" s="910"/>
      <c r="AC369" s="910"/>
      <c r="AD369" s="910"/>
      <c r="AE369" s="567"/>
      <c r="AG369" s="508" t="s">
        <v>873</v>
      </c>
      <c r="AH369" s="984" t="s">
        <v>48</v>
      </c>
      <c r="AI369" s="185" t="s">
        <v>885</v>
      </c>
      <c r="AJ369" s="562"/>
      <c r="AK369" s="562"/>
      <c r="AL369" s="562"/>
      <c r="AM369" s="562"/>
      <c r="AN369" s="192"/>
      <c r="AO369" s="191"/>
      <c r="AP369" s="192"/>
      <c r="AQ369" s="458"/>
    </row>
    <row r="370" spans="1:43" ht="17.25" customHeight="1">
      <c r="A370" s="910"/>
      <c r="B370" s="910"/>
      <c r="C370" s="910"/>
      <c r="D370" s="910"/>
      <c r="E370" s="910"/>
      <c r="F370" s="910"/>
      <c r="G370" s="910"/>
      <c r="H370" s="910"/>
      <c r="I370" s="910"/>
      <c r="J370" s="910"/>
      <c r="K370" s="910"/>
      <c r="L370" s="910"/>
      <c r="M370" s="910"/>
      <c r="N370" s="910"/>
      <c r="O370" s="910"/>
      <c r="P370" s="910"/>
      <c r="Q370" s="910"/>
      <c r="R370" s="910"/>
      <c r="S370" s="910"/>
      <c r="T370" s="910"/>
      <c r="U370" s="910"/>
      <c r="V370" s="910"/>
      <c r="W370" s="910"/>
      <c r="X370" s="910"/>
      <c r="Y370" s="910"/>
      <c r="Z370" s="910"/>
      <c r="AA370" s="910"/>
      <c r="AB370" s="910"/>
      <c r="AC370" s="910"/>
      <c r="AD370" s="910"/>
      <c r="AE370" s="567"/>
      <c r="AG370" s="508" t="s">
        <v>932</v>
      </c>
      <c r="AH370" s="1039" t="s">
        <v>48</v>
      </c>
      <c r="AI370" s="185" t="s">
        <v>933</v>
      </c>
      <c r="AK370" s="562"/>
      <c r="AL370" s="562"/>
      <c r="AM370" s="562"/>
      <c r="AN370" s="192"/>
      <c r="AO370" s="191"/>
      <c r="AP370" s="192"/>
      <c r="AQ370" s="458"/>
    </row>
    <row r="371" spans="1:43" ht="17.25" customHeight="1">
      <c r="A371" s="910"/>
      <c r="B371" s="910"/>
      <c r="C371" s="910"/>
      <c r="D371" s="910"/>
      <c r="E371" s="910"/>
      <c r="F371" s="910"/>
      <c r="G371" s="910"/>
      <c r="H371" s="910"/>
      <c r="I371" s="910"/>
      <c r="J371" s="910"/>
      <c r="K371" s="910"/>
      <c r="L371" s="910"/>
      <c r="M371" s="910"/>
      <c r="N371" s="910"/>
      <c r="O371" s="910"/>
      <c r="P371" s="910"/>
      <c r="Q371" s="910"/>
      <c r="R371" s="910"/>
      <c r="S371" s="910"/>
      <c r="T371" s="910"/>
      <c r="U371" s="910"/>
      <c r="V371" s="910"/>
      <c r="W371" s="910"/>
      <c r="X371" s="910"/>
      <c r="Y371" s="910"/>
      <c r="Z371" s="910"/>
      <c r="AA371" s="910"/>
      <c r="AB371" s="910"/>
      <c r="AC371" s="910"/>
      <c r="AD371" s="910"/>
      <c r="AE371" s="567"/>
      <c r="AG371" s="508" t="s">
        <v>881</v>
      </c>
      <c r="AH371" s="984" t="s">
        <v>48</v>
      </c>
      <c r="AI371" s="185" t="s">
        <v>867</v>
      </c>
      <c r="AJ371" s="562"/>
      <c r="AK371" s="562"/>
      <c r="AL371" s="562"/>
      <c r="AM371" s="562"/>
      <c r="AN371" s="192"/>
      <c r="AO371" s="191"/>
      <c r="AP371" s="192"/>
      <c r="AQ371" s="458"/>
    </row>
    <row r="372" spans="1:43" ht="17.25" customHeight="1">
      <c r="A372" s="910"/>
      <c r="B372" s="910"/>
      <c r="C372" s="910"/>
      <c r="D372" s="910"/>
      <c r="E372" s="910"/>
      <c r="F372" s="910"/>
      <c r="G372" s="910"/>
      <c r="H372" s="910"/>
      <c r="I372" s="910"/>
      <c r="J372" s="910"/>
      <c r="K372" s="910"/>
      <c r="L372" s="910"/>
      <c r="M372" s="910"/>
      <c r="N372" s="910"/>
      <c r="O372" s="910"/>
      <c r="P372" s="910"/>
      <c r="Q372" s="910"/>
      <c r="R372" s="910"/>
      <c r="S372" s="910"/>
      <c r="T372" s="910"/>
      <c r="U372" s="910"/>
      <c r="V372" s="910"/>
      <c r="W372" s="910"/>
      <c r="X372" s="910"/>
      <c r="Y372" s="910"/>
      <c r="Z372" s="910"/>
      <c r="AA372" s="910"/>
      <c r="AB372" s="910"/>
      <c r="AC372" s="910"/>
      <c r="AD372" s="910"/>
      <c r="AE372" s="567"/>
      <c r="AG372" s="508" t="s">
        <v>876</v>
      </c>
      <c r="AH372" s="984" t="s">
        <v>48</v>
      </c>
      <c r="AI372" s="185" t="s">
        <v>357</v>
      </c>
      <c r="AJ372" s="562"/>
      <c r="AK372" s="562"/>
      <c r="AL372" s="562"/>
      <c r="AM372" s="562"/>
      <c r="AN372" s="192"/>
      <c r="AO372" s="191"/>
      <c r="AP372" s="192"/>
      <c r="AQ372" s="458"/>
    </row>
    <row r="373" spans="1:43" ht="17.25" customHeight="1">
      <c r="A373" s="910"/>
      <c r="B373" s="910"/>
      <c r="C373" s="910"/>
      <c r="D373" s="910"/>
      <c r="E373" s="910"/>
      <c r="F373" s="910"/>
      <c r="G373" s="910"/>
      <c r="H373" s="910"/>
      <c r="I373" s="910"/>
      <c r="J373" s="910"/>
      <c r="K373" s="910"/>
      <c r="L373" s="910"/>
      <c r="M373" s="910"/>
      <c r="N373" s="910"/>
      <c r="O373" s="910"/>
      <c r="P373" s="910"/>
      <c r="Q373" s="910"/>
      <c r="R373" s="910"/>
      <c r="S373" s="910"/>
      <c r="T373" s="910"/>
      <c r="U373" s="910"/>
      <c r="V373" s="910"/>
      <c r="W373" s="910"/>
      <c r="X373" s="910"/>
      <c r="Y373" s="910"/>
      <c r="Z373" s="910"/>
      <c r="AA373" s="910"/>
      <c r="AB373" s="910"/>
      <c r="AC373" s="910"/>
      <c r="AD373" s="910"/>
      <c r="AE373" s="567"/>
      <c r="AG373" s="508" t="s">
        <v>869</v>
      </c>
      <c r="AH373" s="984" t="s">
        <v>48</v>
      </c>
      <c r="AI373" s="185" t="s">
        <v>886</v>
      </c>
      <c r="AJ373" s="562"/>
      <c r="AK373" s="562"/>
      <c r="AL373" s="562"/>
      <c r="AM373" s="562"/>
      <c r="AN373" s="192"/>
      <c r="AO373" s="191"/>
      <c r="AP373" s="192"/>
      <c r="AQ373" s="458"/>
    </row>
    <row r="374" spans="1:43" ht="17.25" customHeight="1">
      <c r="A374" s="910"/>
      <c r="B374" s="910"/>
      <c r="C374" s="910"/>
      <c r="D374" s="910"/>
      <c r="E374" s="910"/>
      <c r="F374" s="910"/>
      <c r="G374" s="910"/>
      <c r="H374" s="910"/>
      <c r="I374" s="910"/>
      <c r="J374" s="910"/>
      <c r="K374" s="910"/>
      <c r="L374" s="910"/>
      <c r="M374" s="910"/>
      <c r="N374" s="910"/>
      <c r="O374" s="910"/>
      <c r="P374" s="910"/>
      <c r="Q374" s="910"/>
      <c r="R374" s="910"/>
      <c r="S374" s="910"/>
      <c r="T374" s="910"/>
      <c r="U374" s="910"/>
      <c r="V374" s="910"/>
      <c r="W374" s="910"/>
      <c r="X374" s="910"/>
      <c r="Y374" s="910"/>
      <c r="Z374" s="910"/>
      <c r="AA374" s="910"/>
      <c r="AB374" s="910"/>
      <c r="AC374" s="910"/>
      <c r="AD374" s="910"/>
      <c r="AE374" s="567"/>
      <c r="AG374" s="508" t="s">
        <v>875</v>
      </c>
      <c r="AH374" s="984" t="s">
        <v>48</v>
      </c>
      <c r="AI374" s="185" t="s">
        <v>887</v>
      </c>
      <c r="AJ374" s="562"/>
      <c r="AK374" s="562"/>
      <c r="AL374" s="562"/>
      <c r="AM374" s="562"/>
      <c r="AN374" s="192"/>
      <c r="AO374" s="191"/>
      <c r="AP374" s="192"/>
      <c r="AQ374" s="458"/>
    </row>
    <row r="375" spans="1:43" s="911" customFormat="1" ht="17.25" customHeight="1">
      <c r="A375" s="910"/>
      <c r="B375" s="910"/>
      <c r="C375" s="910"/>
      <c r="D375" s="910"/>
      <c r="E375" s="910"/>
      <c r="F375" s="910"/>
      <c r="G375" s="910"/>
      <c r="H375" s="910"/>
      <c r="I375" s="910"/>
      <c r="J375" s="910"/>
      <c r="K375" s="910"/>
      <c r="L375" s="910"/>
      <c r="M375" s="910"/>
      <c r="N375" s="910"/>
      <c r="O375" s="910"/>
      <c r="P375" s="910"/>
      <c r="Q375" s="910"/>
      <c r="R375" s="910"/>
      <c r="S375" s="910"/>
      <c r="T375" s="910"/>
      <c r="U375" s="910"/>
      <c r="V375" s="910"/>
      <c r="W375" s="910"/>
      <c r="X375" s="910"/>
      <c r="Y375" s="910"/>
      <c r="Z375" s="910"/>
      <c r="AA375" s="910"/>
      <c r="AB375" s="910"/>
      <c r="AC375" s="910"/>
      <c r="AD375" s="910"/>
      <c r="AE375" s="910"/>
      <c r="AG375" s="508" t="s">
        <v>880</v>
      </c>
      <c r="AH375" s="984" t="s">
        <v>48</v>
      </c>
      <c r="AI375" s="185" t="s">
        <v>890</v>
      </c>
      <c r="AJ375" s="562"/>
      <c r="AK375" s="767"/>
      <c r="AL375" s="767"/>
      <c r="AM375" s="767"/>
      <c r="AN375" s="566"/>
      <c r="AO375" s="910"/>
      <c r="AP375" s="566"/>
      <c r="AQ375" s="767"/>
    </row>
    <row r="376" spans="1:43" s="911" customFormat="1" ht="17.25" customHeight="1">
      <c r="A376" s="910"/>
      <c r="B376" s="910"/>
      <c r="C376" s="910"/>
      <c r="D376" s="910"/>
      <c r="E376" s="910"/>
      <c r="F376" s="910"/>
      <c r="G376" s="910"/>
      <c r="H376" s="910"/>
      <c r="I376" s="910"/>
      <c r="J376" s="910"/>
      <c r="K376" s="910"/>
      <c r="L376" s="910"/>
      <c r="M376" s="910"/>
      <c r="N376" s="910"/>
      <c r="O376" s="910"/>
      <c r="P376" s="910"/>
      <c r="Q376" s="910"/>
      <c r="R376" s="910"/>
      <c r="S376" s="910"/>
      <c r="T376" s="910"/>
      <c r="U376" s="910"/>
      <c r="V376" s="910"/>
      <c r="W376" s="910"/>
      <c r="X376" s="910"/>
      <c r="Y376" s="910"/>
      <c r="Z376" s="910"/>
      <c r="AA376" s="910"/>
      <c r="AB376" s="910"/>
      <c r="AC376" s="910"/>
      <c r="AD376" s="910"/>
      <c r="AE376" s="910"/>
      <c r="AG376" s="508" t="s">
        <v>879</v>
      </c>
      <c r="AH376" s="984" t="s">
        <v>48</v>
      </c>
      <c r="AI376" s="185" t="s">
        <v>888</v>
      </c>
      <c r="AJ376" s="767"/>
      <c r="AK376" s="767"/>
      <c r="AL376" s="767"/>
      <c r="AM376" s="767"/>
      <c r="AN376" s="566"/>
      <c r="AO376" s="910"/>
      <c r="AP376" s="566"/>
      <c r="AQ376" s="767"/>
    </row>
    <row r="377" spans="1:43" s="911" customFormat="1" ht="17.25" customHeight="1">
      <c r="A377" s="910"/>
      <c r="B377" s="910"/>
      <c r="C377" s="910"/>
      <c r="D377" s="910"/>
      <c r="E377" s="910"/>
      <c r="F377" s="910"/>
      <c r="G377" s="910"/>
      <c r="H377" s="910"/>
      <c r="I377" s="910"/>
      <c r="J377" s="910"/>
      <c r="K377" s="910"/>
      <c r="L377" s="910"/>
      <c r="M377" s="910"/>
      <c r="N377" s="910"/>
      <c r="O377" s="910"/>
      <c r="P377" s="910"/>
      <c r="Q377" s="910"/>
      <c r="R377" s="910"/>
      <c r="S377" s="910"/>
      <c r="T377" s="910"/>
      <c r="U377" s="910"/>
      <c r="V377" s="910"/>
      <c r="W377" s="910"/>
      <c r="X377" s="910"/>
      <c r="Y377" s="910"/>
      <c r="Z377" s="910"/>
      <c r="AA377" s="910"/>
      <c r="AB377" s="910"/>
      <c r="AC377" s="910"/>
      <c r="AD377" s="910"/>
      <c r="AE377" s="910"/>
      <c r="AG377" s="508" t="s">
        <v>877</v>
      </c>
      <c r="AH377" s="984" t="s">
        <v>48</v>
      </c>
      <c r="AI377" s="185" t="s">
        <v>878</v>
      </c>
      <c r="AJ377" s="767"/>
      <c r="AK377" s="767"/>
      <c r="AL377" s="767"/>
      <c r="AM377" s="767"/>
      <c r="AN377" s="566"/>
      <c r="AO377" s="910"/>
      <c r="AP377" s="566"/>
      <c r="AQ377" s="767"/>
    </row>
    <row r="378" spans="1:43" ht="17.25" customHeight="1">
      <c r="A378" s="910"/>
      <c r="B378" s="910"/>
      <c r="C378" s="910"/>
      <c r="D378" s="910"/>
      <c r="E378" s="910"/>
      <c r="F378" s="910"/>
      <c r="G378" s="910"/>
      <c r="H378" s="910"/>
      <c r="I378" s="910"/>
      <c r="J378" s="910"/>
      <c r="K378" s="910"/>
      <c r="L378" s="910"/>
      <c r="M378" s="910"/>
      <c r="N378" s="910"/>
      <c r="O378" s="910"/>
      <c r="P378" s="910"/>
      <c r="Q378" s="910"/>
      <c r="R378" s="910"/>
      <c r="S378" s="910"/>
      <c r="T378" s="910"/>
      <c r="U378" s="910"/>
      <c r="V378" s="910"/>
      <c r="W378" s="910"/>
      <c r="X378" s="910"/>
      <c r="Y378" s="910"/>
      <c r="Z378" s="910"/>
      <c r="AA378" s="910"/>
      <c r="AB378" s="910"/>
      <c r="AC378" s="910"/>
      <c r="AD378" s="910"/>
      <c r="AE378" s="567"/>
      <c r="AG378" s="508" t="s">
        <v>874</v>
      </c>
      <c r="AH378" s="984" t="s">
        <v>48</v>
      </c>
      <c r="AI378" s="185" t="s">
        <v>46</v>
      </c>
      <c r="AJ378" s="767"/>
      <c r="AK378" s="562"/>
      <c r="AL378" s="562"/>
      <c r="AM378" s="562"/>
      <c r="AN378" s="192"/>
      <c r="AO378" s="191"/>
      <c r="AP378" s="192"/>
      <c r="AQ378" s="458"/>
    </row>
    <row r="379" spans="1:43" ht="17.25" customHeight="1">
      <c r="A379" s="910"/>
      <c r="B379" s="910"/>
      <c r="C379" s="910"/>
      <c r="D379" s="910"/>
      <c r="E379" s="910"/>
      <c r="F379" s="910"/>
      <c r="G379" s="910"/>
      <c r="H379" s="910"/>
      <c r="I379" s="910"/>
      <c r="J379" s="910"/>
      <c r="K379" s="910"/>
      <c r="L379" s="910"/>
      <c r="M379" s="910"/>
      <c r="N379" s="910"/>
      <c r="O379" s="910"/>
      <c r="P379" s="910"/>
      <c r="Q379" s="910"/>
      <c r="R379" s="910"/>
      <c r="S379" s="910"/>
      <c r="T379" s="910"/>
      <c r="U379" s="910"/>
      <c r="V379" s="910"/>
      <c r="W379" s="910"/>
      <c r="X379" s="910"/>
      <c r="Y379" s="910"/>
      <c r="Z379" s="910"/>
      <c r="AA379" s="910"/>
      <c r="AB379" s="910"/>
      <c r="AC379" s="910"/>
      <c r="AD379" s="910"/>
      <c r="AE379" s="567"/>
      <c r="AG379" s="508"/>
      <c r="AH379" s="553"/>
      <c r="AI379" s="185"/>
      <c r="AJ379" s="562"/>
      <c r="AK379" s="562"/>
      <c r="AL379" s="562"/>
      <c r="AM379" s="562"/>
      <c r="AN379" s="192"/>
      <c r="AO379" s="191"/>
      <c r="AP379" s="192"/>
      <c r="AQ379" s="458"/>
    </row>
    <row r="380" spans="1:43" ht="17.25" customHeight="1">
      <c r="A380" s="910"/>
      <c r="B380" s="910"/>
      <c r="C380" s="910"/>
      <c r="D380" s="910"/>
      <c r="E380" s="910"/>
      <c r="F380" s="910"/>
      <c r="G380" s="910"/>
      <c r="H380" s="910"/>
      <c r="I380" s="910"/>
      <c r="J380" s="910"/>
      <c r="K380" s="910"/>
      <c r="L380" s="910"/>
      <c r="M380" s="910"/>
      <c r="N380" s="910"/>
      <c r="O380" s="910"/>
      <c r="P380" s="910"/>
      <c r="Q380" s="910"/>
      <c r="R380" s="910"/>
      <c r="S380" s="910"/>
      <c r="T380" s="910"/>
      <c r="U380" s="910"/>
      <c r="V380" s="910"/>
      <c r="W380" s="910"/>
      <c r="X380" s="910"/>
      <c r="Y380" s="910"/>
      <c r="Z380" s="910"/>
      <c r="AA380" s="910"/>
      <c r="AB380" s="910"/>
      <c r="AC380" s="910"/>
      <c r="AD380" s="910"/>
      <c r="AE380" s="567"/>
      <c r="AF380" s="508"/>
      <c r="AG380" s="553"/>
      <c r="AH380" s="255"/>
      <c r="AI380" s="566"/>
      <c r="AJ380" s="566"/>
      <c r="AK380" s="562"/>
      <c r="AL380" s="562"/>
      <c r="AM380" s="562"/>
      <c r="AN380" s="192"/>
      <c r="AO380" s="191"/>
      <c r="AP380" s="192"/>
      <c r="AQ380" s="458"/>
    </row>
    <row r="381" spans="1:43" ht="17.25" customHeight="1">
      <c r="A381" s="910"/>
      <c r="B381" s="910"/>
      <c r="C381" s="910"/>
      <c r="D381" s="910"/>
      <c r="E381" s="910"/>
      <c r="F381" s="910"/>
      <c r="G381" s="910"/>
      <c r="H381" s="910"/>
      <c r="I381" s="910"/>
      <c r="J381" s="910"/>
      <c r="K381" s="910"/>
      <c r="L381" s="910"/>
      <c r="M381" s="910"/>
      <c r="N381" s="910"/>
      <c r="O381" s="910"/>
      <c r="P381" s="910"/>
      <c r="Q381" s="910"/>
      <c r="R381" s="910"/>
      <c r="S381" s="910"/>
      <c r="T381" s="910"/>
      <c r="U381" s="910"/>
      <c r="V381" s="910"/>
      <c r="W381" s="910"/>
      <c r="X381" s="910"/>
      <c r="Y381" s="910"/>
      <c r="Z381" s="910"/>
      <c r="AA381" s="910"/>
      <c r="AB381" s="910"/>
      <c r="AC381" s="910"/>
      <c r="AD381" s="910"/>
      <c r="AE381" s="567"/>
      <c r="AF381" s="508"/>
      <c r="AG381" s="553"/>
      <c r="AH381" s="255"/>
      <c r="AI381" s="566"/>
      <c r="AJ381" s="566"/>
      <c r="AK381" s="562"/>
      <c r="AL381" s="562"/>
      <c r="AM381" s="562"/>
      <c r="AN381" s="192"/>
      <c r="AO381" s="191"/>
      <c r="AP381" s="192"/>
      <c r="AQ381" s="458"/>
    </row>
    <row r="382" spans="1:43" ht="17.25" customHeight="1">
      <c r="A382" s="910"/>
      <c r="B382" s="910"/>
      <c r="C382" s="910"/>
      <c r="D382" s="910"/>
      <c r="E382" s="910"/>
      <c r="F382" s="910"/>
      <c r="G382" s="910"/>
      <c r="H382" s="910"/>
      <c r="I382" s="910"/>
      <c r="J382" s="910"/>
      <c r="K382" s="910"/>
      <c r="L382" s="910"/>
      <c r="M382" s="910"/>
      <c r="N382" s="910"/>
      <c r="O382" s="910"/>
      <c r="P382" s="910"/>
      <c r="Q382" s="910"/>
      <c r="R382" s="910"/>
      <c r="S382" s="910"/>
      <c r="T382" s="910"/>
      <c r="U382" s="910"/>
      <c r="V382" s="910"/>
      <c r="W382" s="910"/>
      <c r="X382" s="910"/>
      <c r="Y382" s="910"/>
      <c r="Z382" s="910"/>
      <c r="AA382" s="910"/>
      <c r="AB382" s="910"/>
      <c r="AC382" s="910"/>
      <c r="AD382" s="910"/>
      <c r="AE382" s="567"/>
      <c r="AF382" s="508"/>
      <c r="AG382" s="553"/>
      <c r="AH382" s="255"/>
      <c r="AI382" s="566"/>
      <c r="AJ382" s="566"/>
      <c r="AK382" s="562"/>
      <c r="AL382" s="562"/>
      <c r="AM382" s="562"/>
      <c r="AN382" s="192"/>
      <c r="AO382" s="191"/>
      <c r="AP382" s="192"/>
      <c r="AQ382" s="458"/>
    </row>
    <row r="383" spans="1:43" ht="17.25" customHeight="1">
      <c r="A383" s="910"/>
      <c r="B383" s="910"/>
      <c r="C383" s="910"/>
      <c r="D383" s="910"/>
      <c r="E383" s="910"/>
      <c r="F383" s="910"/>
      <c r="G383" s="910"/>
      <c r="H383" s="910"/>
      <c r="I383" s="910"/>
      <c r="J383" s="910"/>
      <c r="K383" s="910"/>
      <c r="L383" s="910"/>
      <c r="M383" s="910"/>
      <c r="N383" s="910"/>
      <c r="O383" s="910"/>
      <c r="P383" s="910"/>
      <c r="Q383" s="910"/>
      <c r="R383" s="910"/>
      <c r="S383" s="910"/>
      <c r="T383" s="910"/>
      <c r="U383" s="910"/>
      <c r="V383" s="910"/>
      <c r="W383" s="910"/>
      <c r="X383" s="910"/>
      <c r="Y383" s="910"/>
      <c r="Z383" s="910"/>
      <c r="AA383" s="910"/>
      <c r="AB383" s="910"/>
      <c r="AC383" s="910"/>
      <c r="AD383" s="910"/>
      <c r="AE383" s="567"/>
      <c r="AF383" s="508"/>
      <c r="AG383" s="553"/>
      <c r="AH383" s="255"/>
      <c r="AI383" s="566"/>
      <c r="AJ383" s="566"/>
      <c r="AK383" s="562"/>
      <c r="AL383" s="562"/>
      <c r="AM383" s="562"/>
      <c r="AN383" s="192"/>
      <c r="AO383" s="191"/>
      <c r="AP383" s="192"/>
      <c r="AQ383" s="458"/>
    </row>
    <row r="384" spans="1:43" ht="17.25" customHeight="1">
      <c r="A384" s="910"/>
      <c r="B384" s="910"/>
      <c r="C384" s="910"/>
      <c r="D384" s="910"/>
      <c r="E384" s="910"/>
      <c r="F384" s="910"/>
      <c r="G384" s="910"/>
      <c r="H384" s="910"/>
      <c r="I384" s="910"/>
      <c r="J384" s="910"/>
      <c r="K384" s="910"/>
      <c r="L384" s="910"/>
      <c r="M384" s="910"/>
      <c r="N384" s="910"/>
      <c r="O384" s="910"/>
      <c r="P384" s="910"/>
      <c r="Q384" s="910"/>
      <c r="R384" s="910"/>
      <c r="S384" s="910"/>
      <c r="T384" s="910"/>
      <c r="U384" s="910"/>
      <c r="V384" s="910"/>
      <c r="W384" s="910"/>
      <c r="X384" s="910"/>
      <c r="Y384" s="910"/>
      <c r="Z384" s="910"/>
      <c r="AA384" s="910"/>
      <c r="AB384" s="910"/>
      <c r="AC384" s="910"/>
      <c r="AD384" s="910"/>
      <c r="AE384" s="567"/>
      <c r="AF384" s="508"/>
      <c r="AG384" s="553"/>
      <c r="AH384" s="185"/>
      <c r="AI384" s="562"/>
      <c r="AJ384" s="562"/>
      <c r="AK384" s="562"/>
      <c r="AL384" s="562"/>
      <c r="AM384" s="562"/>
      <c r="AN384" s="192"/>
      <c r="AO384" s="191"/>
      <c r="AP384" s="192"/>
      <c r="AQ384" s="458"/>
    </row>
    <row r="385" spans="1:62" ht="17.25" customHeight="1">
      <c r="A385" s="910"/>
      <c r="B385" s="191"/>
      <c r="C385" s="567"/>
      <c r="D385" s="567"/>
      <c r="E385" s="567"/>
      <c r="F385" s="567"/>
      <c r="G385" s="567"/>
      <c r="H385" s="567"/>
      <c r="I385" s="567"/>
      <c r="J385" s="567"/>
      <c r="K385" s="567"/>
      <c r="L385" s="567"/>
      <c r="M385" s="567"/>
      <c r="N385" s="567"/>
      <c r="O385" s="567"/>
      <c r="P385" s="567"/>
      <c r="Q385" s="567"/>
      <c r="R385" s="567"/>
      <c r="S385" s="567"/>
      <c r="T385" s="567"/>
      <c r="U385" s="910"/>
      <c r="V385" s="910"/>
      <c r="W385" s="910"/>
      <c r="X385" s="910"/>
      <c r="Y385" s="910"/>
      <c r="Z385" s="910"/>
      <c r="AA385" s="910"/>
      <c r="AB385" s="910"/>
      <c r="AC385" s="910"/>
      <c r="AD385" s="567"/>
      <c r="AE385" s="567"/>
      <c r="AF385" s="567"/>
      <c r="AG385" s="567"/>
      <c r="AH385" s="567"/>
      <c r="AI385" s="567"/>
      <c r="AJ385" s="567"/>
      <c r="AK385" s="567"/>
      <c r="AL385" s="567"/>
      <c r="AM385" s="567"/>
      <c r="AN385" s="191"/>
      <c r="AO385" s="191"/>
      <c r="AP385" s="192"/>
      <c r="AQ385" s="458"/>
    </row>
    <row r="386" spans="1:62" ht="17.2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row>
    <row r="388" spans="1:62" ht="20.25" customHeight="1">
      <c r="AW388" s="911"/>
      <c r="AX388" s="911"/>
      <c r="AY388" s="911"/>
      <c r="AZ388" s="911"/>
      <c r="BA388" s="911"/>
      <c r="BB388" s="911"/>
      <c r="BC388" s="911"/>
      <c r="BD388" s="911"/>
    </row>
    <row r="390" spans="1:62" ht="13.5" thickBot="1">
      <c r="AT390" s="911"/>
    </row>
    <row r="391" spans="1:62" ht="20.25">
      <c r="A391" s="209" t="s">
        <v>757</v>
      </c>
      <c r="B391" s="210"/>
      <c r="C391" s="210"/>
      <c r="D391" s="210"/>
      <c r="E391" s="210"/>
      <c r="F391" s="210"/>
      <c r="G391" s="210"/>
      <c r="H391" s="210"/>
      <c r="I391" s="210"/>
      <c r="J391" s="210"/>
      <c r="K391" s="210"/>
      <c r="L391" s="210"/>
      <c r="M391" s="210"/>
      <c r="N391" s="210"/>
      <c r="O391" s="210"/>
      <c r="P391" s="210"/>
      <c r="Q391" s="210"/>
      <c r="R391" s="210"/>
      <c r="S391" s="210"/>
      <c r="T391" s="210"/>
      <c r="U391" s="210"/>
      <c r="V391" s="210"/>
      <c r="W391" s="210"/>
      <c r="X391" s="210"/>
      <c r="Y391" s="210"/>
      <c r="Z391" s="210"/>
      <c r="AA391" s="210"/>
      <c r="AB391" s="210"/>
      <c r="AC391" s="210"/>
      <c r="AD391" s="210"/>
      <c r="AE391" s="210"/>
      <c r="AF391" s="210"/>
      <c r="AG391" s="210"/>
      <c r="AH391" s="210"/>
      <c r="AI391" s="210"/>
      <c r="AJ391" s="210"/>
      <c r="AK391" s="210"/>
      <c r="AL391" s="210"/>
      <c r="AM391" s="210"/>
      <c r="AN391" s="210"/>
      <c r="AO391" s="210"/>
      <c r="AP391" s="210"/>
      <c r="AQ391" s="210"/>
      <c r="AR391" s="210"/>
      <c r="AS391" s="210"/>
      <c r="AT391" s="210"/>
      <c r="AU391" s="211"/>
      <c r="AV391" s="208"/>
      <c r="AW391" s="209" t="s">
        <v>733</v>
      </c>
      <c r="AX391" s="210"/>
      <c r="AY391" s="210"/>
      <c r="AZ391" s="210"/>
      <c r="BA391" s="210"/>
      <c r="BB391" s="210"/>
      <c r="BC391" s="210"/>
      <c r="BD391" s="210"/>
      <c r="BE391" s="210"/>
      <c r="BF391" s="210"/>
      <c r="BG391" s="210"/>
      <c r="BH391" s="210"/>
      <c r="BI391" s="210"/>
      <c r="BJ391" s="211"/>
    </row>
    <row r="392" spans="1:62" hidden="1" outlineLevel="1">
      <c r="AT392" s="911"/>
      <c r="AV392" s="212"/>
      <c r="AW392" s="92"/>
      <c r="AX392" s="92"/>
      <c r="AY392" s="92"/>
      <c r="AZ392" s="92"/>
      <c r="BA392" s="92"/>
      <c r="BB392" s="92"/>
      <c r="BC392" s="92"/>
      <c r="BD392" s="92"/>
      <c r="BE392" s="92"/>
      <c r="BF392" s="92"/>
      <c r="BG392" s="92"/>
      <c r="BH392" s="92"/>
      <c r="BI392" s="92"/>
      <c r="BJ392" s="213"/>
    </row>
    <row r="393" spans="1:62" ht="15" hidden="1" outlineLevel="1">
      <c r="AO393" s="911"/>
      <c r="AP393" s="911"/>
      <c r="AQ393" s="911"/>
      <c r="AR393" s="911"/>
      <c r="AS393" s="911"/>
      <c r="AT393" s="911"/>
      <c r="AV393" s="214" t="s">
        <v>33</v>
      </c>
      <c r="AW393" s="215" t="s">
        <v>678</v>
      </c>
      <c r="AX393" s="92"/>
      <c r="AY393" s="92"/>
      <c r="AZ393" s="372" t="s">
        <v>732</v>
      </c>
      <c r="BA393" s="235"/>
      <c r="BB393" s="373" t="s">
        <v>731</v>
      </c>
      <c r="BC393" s="235"/>
      <c r="BD393" s="235"/>
      <c r="BE393" s="236"/>
      <c r="BF393" s="92"/>
      <c r="BG393" s="92"/>
      <c r="BH393" s="92"/>
      <c r="BI393" s="92"/>
      <c r="BJ393" s="213"/>
    </row>
    <row r="394" spans="1:62" hidden="1" outlineLevel="1">
      <c r="AT394" s="911"/>
      <c r="AV394" s="370">
        <v>1</v>
      </c>
      <c r="AW394" s="92" t="str">
        <f>C12</f>
        <v>Share Capital</v>
      </c>
      <c r="AX394" s="216">
        <f ca="1">J12</f>
        <v>75000</v>
      </c>
      <c r="AY394" s="92"/>
      <c r="AZ394" s="374">
        <f ca="1">IF(AX394&lt;&gt;0,AV394,"")</f>
        <v>1</v>
      </c>
      <c r="BA394" s="371">
        <f ca="1">IF(ISERROR(SMALL($AZ$394:$AZ$399,AV394)),"",SMALL($AZ$394:$AZ$399,AV394))</f>
        <v>1</v>
      </c>
      <c r="BB394" s="61"/>
      <c r="BC394" s="62" t="str">
        <f ca="1">IF(BA394="","",VLOOKUP(BA394,$AV$394:$AX$399,2))</f>
        <v>Share Capital</v>
      </c>
      <c r="BD394" s="216">
        <f ca="1">IF(BA394="","",VLOOKUP(BA394,$AV$394:$AX$399,3))</f>
        <v>75000</v>
      </c>
      <c r="BE394" s="137"/>
      <c r="BF394" s="92"/>
      <c r="BG394" s="92"/>
      <c r="BH394" s="92"/>
      <c r="BI394" s="92"/>
      <c r="BJ394" s="213"/>
    </row>
    <row r="395" spans="1:62" hidden="1" outlineLevel="1">
      <c r="AT395" s="911"/>
      <c r="AV395" s="370">
        <v>2</v>
      </c>
      <c r="AW395" s="92" t="str">
        <f>C14</f>
        <v>Debt: UL Bank</v>
      </c>
      <c r="AX395" s="216">
        <f ca="1">J14</f>
        <v>80000</v>
      </c>
      <c r="AY395" s="92"/>
      <c r="AZ395" s="374">
        <f t="shared" ref="AZ395:AZ399" ca="1" si="21">IF(AX395&lt;&gt;0,AV395,"")</f>
        <v>2</v>
      </c>
      <c r="BA395" s="371">
        <f t="shared" ref="BA395:BA399" ca="1" si="22">IF(ISERROR(SMALL($AZ$394:$AZ$399,AV395)),"",SMALL($AZ$394:$AZ$399,AV395))</f>
        <v>2</v>
      </c>
      <c r="BB395" s="61"/>
      <c r="BC395" s="62" t="str">
        <f t="shared" ref="BC395:BC399" ca="1" si="23">IF(BA395="","",VLOOKUP(BA395,$AV$394:$AX$399,2))</f>
        <v>Debt: UL Bank</v>
      </c>
      <c r="BD395" s="216">
        <f t="shared" ref="BD395:BD399" ca="1" si="24">IF(BA395="","",VLOOKUP(BA395,$AV$394:$AX$399,3))</f>
        <v>80000</v>
      </c>
      <c r="BE395" s="137"/>
      <c r="BF395" s="92"/>
      <c r="BG395" s="92"/>
      <c r="BH395" s="92"/>
      <c r="BI395" s="92"/>
      <c r="BJ395" s="213"/>
    </row>
    <row r="396" spans="1:62" hidden="1" outlineLevel="1">
      <c r="AT396" s="911"/>
      <c r="AV396" s="370">
        <v>3</v>
      </c>
      <c r="AW396" s="92" t="str">
        <f>C15</f>
        <v>Debt: HSBC Bank</v>
      </c>
      <c r="AX396" s="216">
        <f>J15</f>
        <v>40000</v>
      </c>
      <c r="AY396" s="92"/>
      <c r="AZ396" s="374">
        <f t="shared" si="21"/>
        <v>3</v>
      </c>
      <c r="BA396" s="371">
        <f t="shared" ca="1" si="22"/>
        <v>3</v>
      </c>
      <c r="BB396" s="61"/>
      <c r="BC396" s="62" t="str">
        <f t="shared" ca="1" si="23"/>
        <v>Debt: HSBC Bank</v>
      </c>
      <c r="BD396" s="216">
        <f t="shared" ca="1" si="24"/>
        <v>40000</v>
      </c>
      <c r="BE396" s="137"/>
      <c r="BF396" s="92"/>
      <c r="BG396" s="92"/>
      <c r="BH396" s="92"/>
      <c r="BI396" s="92"/>
      <c r="BJ396" s="213"/>
    </row>
    <row r="397" spans="1:62" hidden="1" outlineLevel="1">
      <c r="AT397" s="911"/>
      <c r="AV397" s="370">
        <v>4</v>
      </c>
      <c r="AW397" s="92" t="str">
        <f>C16</f>
        <v>Debt: UBS</v>
      </c>
      <c r="AX397" s="216">
        <f>J16</f>
        <v>60000</v>
      </c>
      <c r="AY397" s="92"/>
      <c r="AZ397" s="374">
        <f t="shared" si="21"/>
        <v>4</v>
      </c>
      <c r="BA397" s="371">
        <f t="shared" ca="1" si="22"/>
        <v>4</v>
      </c>
      <c r="BB397" s="61"/>
      <c r="BC397" s="62" t="str">
        <f t="shared" ca="1" si="23"/>
        <v>Debt: UBS</v>
      </c>
      <c r="BD397" s="216">
        <f t="shared" ca="1" si="24"/>
        <v>60000</v>
      </c>
      <c r="BE397" s="137"/>
      <c r="BF397" s="92"/>
      <c r="BG397" s="92"/>
      <c r="BH397" s="92"/>
      <c r="BI397" s="92"/>
      <c r="BJ397" s="213"/>
    </row>
    <row r="398" spans="1:62" hidden="1" outlineLevel="1">
      <c r="AT398" s="911"/>
      <c r="AV398" s="370">
        <v>5</v>
      </c>
      <c r="AW398" s="92" t="str">
        <f>C17</f>
        <v>Debt: Shareholder Loan</v>
      </c>
      <c r="AX398" s="216">
        <f>J17</f>
        <v>7500</v>
      </c>
      <c r="AY398" s="92"/>
      <c r="AZ398" s="374">
        <f t="shared" si="21"/>
        <v>5</v>
      </c>
      <c r="BA398" s="371">
        <f t="shared" ca="1" si="22"/>
        <v>5</v>
      </c>
      <c r="BB398" s="61"/>
      <c r="BC398" s="62" t="str">
        <f t="shared" ca="1" si="23"/>
        <v>Debt: Shareholder Loan</v>
      </c>
      <c r="BD398" s="216">
        <f t="shared" ca="1" si="24"/>
        <v>7500</v>
      </c>
      <c r="BE398" s="137"/>
      <c r="BF398" s="92"/>
      <c r="BG398" s="92"/>
      <c r="BH398" s="92"/>
      <c r="BI398" s="92"/>
      <c r="BJ398" s="213"/>
    </row>
    <row r="399" spans="1:62" hidden="1" outlineLevel="1">
      <c r="AT399" s="911"/>
      <c r="AV399" s="370">
        <v>6</v>
      </c>
      <c r="AW399" s="92" t="str">
        <f>C18</f>
        <v>Overdraft Facility</v>
      </c>
      <c r="AX399" s="216">
        <f ca="1">J18</f>
        <v>23379.828305416639</v>
      </c>
      <c r="AY399" s="92"/>
      <c r="AZ399" s="374">
        <f t="shared" ca="1" si="21"/>
        <v>6</v>
      </c>
      <c r="BA399" s="371">
        <f t="shared" ca="1" si="22"/>
        <v>6</v>
      </c>
      <c r="BB399" s="61"/>
      <c r="BC399" s="62" t="str">
        <f t="shared" ca="1" si="23"/>
        <v>Overdraft Facility</v>
      </c>
      <c r="BD399" s="216">
        <f t="shared" ca="1" si="24"/>
        <v>23379.828305416639</v>
      </c>
      <c r="BE399" s="137"/>
      <c r="BF399" s="92"/>
      <c r="BG399" s="92"/>
      <c r="BH399" s="92"/>
      <c r="BI399" s="92"/>
      <c r="BJ399" s="213"/>
    </row>
    <row r="400" spans="1:62" hidden="1" outlineLevel="1">
      <c r="AT400" s="911"/>
      <c r="AV400" s="212"/>
      <c r="AW400" s="92"/>
      <c r="AX400" s="92"/>
      <c r="AY400" s="92"/>
      <c r="AZ400" s="375"/>
      <c r="BA400" s="376"/>
      <c r="BB400" s="376"/>
      <c r="BC400" s="377"/>
      <c r="BD400" s="138"/>
      <c r="BE400" s="139"/>
      <c r="BF400" s="92"/>
      <c r="BG400" s="92"/>
      <c r="BH400" s="92"/>
      <c r="BI400" s="92"/>
      <c r="BJ400" s="213"/>
    </row>
    <row r="401" spans="46:62" hidden="1" outlineLevel="1">
      <c r="AT401" s="911"/>
      <c r="AV401" s="212"/>
      <c r="AW401" s="92"/>
      <c r="AX401" s="92"/>
      <c r="AY401" s="92"/>
      <c r="AZ401" s="92"/>
      <c r="BA401" s="92"/>
      <c r="BB401" s="92"/>
      <c r="BC401" s="92"/>
      <c r="BD401" s="92"/>
      <c r="BE401" s="92"/>
      <c r="BF401" s="92"/>
      <c r="BG401" s="92"/>
      <c r="BH401" s="92"/>
      <c r="BI401" s="92"/>
      <c r="BJ401" s="213"/>
    </row>
    <row r="402" spans="46:62" hidden="1" outlineLevel="1">
      <c r="AT402" s="911"/>
      <c r="AV402" s="212"/>
      <c r="AW402" s="92"/>
      <c r="AX402" s="92"/>
      <c r="AY402" s="92"/>
      <c r="AZ402" s="92"/>
      <c r="BA402" s="92"/>
      <c r="BB402" s="239"/>
      <c r="BC402" s="92"/>
      <c r="BD402" s="92"/>
      <c r="BE402" s="92"/>
      <c r="BF402" s="92"/>
      <c r="BG402" s="92"/>
      <c r="BH402" s="92"/>
      <c r="BI402" s="92"/>
      <c r="BJ402" s="213"/>
    </row>
    <row r="403" spans="46:62" ht="15" hidden="1" outlineLevel="1">
      <c r="AT403" s="911"/>
      <c r="AV403" s="214" t="s">
        <v>34</v>
      </c>
      <c r="AW403" s="215" t="s">
        <v>730</v>
      </c>
      <c r="AX403" s="92"/>
      <c r="AY403" s="92"/>
      <c r="AZ403" s="92"/>
      <c r="BA403" s="92"/>
      <c r="BB403" s="92"/>
      <c r="BC403" s="92"/>
      <c r="BD403" s="92"/>
      <c r="BE403" s="92"/>
      <c r="BF403" s="92"/>
      <c r="BG403" s="92"/>
      <c r="BH403" s="92"/>
      <c r="BI403" s="92"/>
      <c r="BJ403" s="213"/>
    </row>
    <row r="404" spans="46:62" hidden="1" outlineLevel="1">
      <c r="AT404" s="911"/>
      <c r="AV404" s="212"/>
      <c r="AW404" s="92" t="s">
        <v>395</v>
      </c>
      <c r="AX404" s="426">
        <f ca="1">IFERROR(J13/(J13+J11),0)</f>
        <v>0.73765200418451848</v>
      </c>
      <c r="AY404" s="239"/>
      <c r="AZ404" s="92"/>
      <c r="BA404" s="92"/>
      <c r="BB404" s="92"/>
      <c r="BC404" s="92"/>
      <c r="BD404" s="92"/>
      <c r="BE404" s="92"/>
      <c r="BF404" s="92"/>
      <c r="BG404" s="92"/>
      <c r="BH404" s="92"/>
      <c r="BI404" s="92"/>
      <c r="BJ404" s="213"/>
    </row>
    <row r="405" spans="46:62" hidden="1" outlineLevel="1">
      <c r="AT405" s="911"/>
      <c r="AV405" s="212"/>
      <c r="AW405" s="92" t="s">
        <v>396</v>
      </c>
      <c r="AX405" s="426">
        <f ca="1">IFERROR(J11/(J13+J11),0)</f>
        <v>0.26234799581548146</v>
      </c>
      <c r="AY405" s="92"/>
      <c r="AZ405" s="92"/>
      <c r="BA405" s="92"/>
      <c r="BB405" s="92"/>
      <c r="BC405" s="92"/>
      <c r="BD405" s="92"/>
      <c r="BE405" s="92"/>
      <c r="BF405" s="92"/>
      <c r="BG405" s="92"/>
      <c r="BH405" s="92"/>
      <c r="BI405" s="92"/>
      <c r="BJ405" s="213"/>
    </row>
    <row r="406" spans="46:62" hidden="1" outlineLevel="1">
      <c r="AT406" s="911"/>
      <c r="AV406" s="212"/>
      <c r="AW406" s="92"/>
      <c r="AX406" s="92"/>
      <c r="AY406" s="92"/>
      <c r="AZ406" s="92"/>
      <c r="BA406" s="92"/>
      <c r="BB406" s="92"/>
      <c r="BC406" s="92"/>
      <c r="BD406" s="92"/>
      <c r="BE406" s="92"/>
      <c r="BF406" s="92"/>
      <c r="BG406" s="92"/>
      <c r="BH406" s="92"/>
      <c r="BI406" s="92"/>
      <c r="BJ406" s="213"/>
    </row>
    <row r="407" spans="46:62" hidden="1" outlineLevel="1">
      <c r="AT407" s="911"/>
      <c r="AV407" s="212"/>
      <c r="AW407" s="92"/>
      <c r="AX407" s="92"/>
      <c r="AY407" s="92"/>
      <c r="AZ407" s="92"/>
      <c r="BA407" s="92"/>
      <c r="BB407" s="92"/>
      <c r="BC407" s="92"/>
      <c r="BD407" s="92"/>
      <c r="BE407" s="92"/>
      <c r="BF407" s="92"/>
      <c r="BG407" s="92"/>
      <c r="BH407" s="92"/>
      <c r="BI407" s="92"/>
      <c r="BJ407" s="213"/>
    </row>
    <row r="408" spans="46:62" ht="15" hidden="1" outlineLevel="1">
      <c r="AT408" s="911"/>
      <c r="AV408" s="214" t="s">
        <v>35</v>
      </c>
      <c r="AW408" s="215" t="str">
        <f>CHOOSE(language,"Turnover, Gross Profit and Net Profit","Revenue, Gross Profit and Net Profit")</f>
        <v>Revenue, Gross Profit and Net Profit</v>
      </c>
      <c r="AX408" s="122"/>
      <c r="AY408" s="92"/>
      <c r="AZ408" s="92"/>
      <c r="BA408" s="92"/>
      <c r="BB408" s="92"/>
      <c r="BC408" s="92"/>
      <c r="BD408" s="92"/>
      <c r="BE408" s="92"/>
      <c r="BF408" s="92"/>
      <c r="BG408" s="92"/>
      <c r="BH408" s="92"/>
      <c r="BI408" s="92"/>
      <c r="BJ408" s="213"/>
    </row>
    <row r="409" spans="46:62" hidden="1" outlineLevel="1">
      <c r="AT409" s="911"/>
      <c r="AV409" s="212"/>
      <c r="AW409" s="92"/>
      <c r="AX409" s="371" t="str">
        <f>'Summary 02'!$V$5</f>
        <v>FY 2018</v>
      </c>
      <c r="AY409" s="371" t="str">
        <f>'Summary 02'!$AA$5</f>
        <v>FY 2019</v>
      </c>
      <c r="AZ409" s="92"/>
      <c r="BA409" s="92"/>
      <c r="BB409" s="92"/>
      <c r="BC409" s="92"/>
      <c r="BD409" s="92"/>
      <c r="BE409" s="92"/>
      <c r="BF409" s="92"/>
      <c r="BG409" s="92"/>
      <c r="BH409" s="92"/>
      <c r="BI409" s="92"/>
      <c r="BJ409" s="213"/>
    </row>
    <row r="410" spans="46:62" hidden="1" outlineLevel="1">
      <c r="AT410" s="911"/>
      <c r="AV410" s="212"/>
      <c r="AW410" s="92" t="str">
        <f>C61</f>
        <v>Revenue</v>
      </c>
      <c r="AX410" s="216">
        <f>L61/Thousand*Currency_Unit</f>
        <v>1454.383434373206</v>
      </c>
      <c r="AY410" s="216">
        <f>Q61/Thousand*Currency_Unit</f>
        <v>2282.6500036213638</v>
      </c>
      <c r="AZ410" s="92"/>
      <c r="BA410" s="92"/>
      <c r="BB410" s="92"/>
      <c r="BC410" s="92"/>
      <c r="BD410" s="92"/>
      <c r="BE410" s="92"/>
      <c r="BF410" s="92"/>
      <c r="BG410" s="92"/>
      <c r="BH410" s="92"/>
      <c r="BI410" s="92"/>
      <c r="BJ410" s="213"/>
    </row>
    <row r="411" spans="46:62" hidden="1" outlineLevel="1">
      <c r="AT411" s="911"/>
      <c r="AV411" s="212"/>
      <c r="AW411" s="92" t="str">
        <f>C63</f>
        <v>Gross Profit</v>
      </c>
      <c r="AX411" s="216">
        <f>L63/Thousand*Currency_Unit</f>
        <v>722.70728646524651</v>
      </c>
      <c r="AY411" s="216">
        <f>Q63/Thousand*Currency_Unit</f>
        <v>1238.5901670538851</v>
      </c>
      <c r="AZ411" s="92"/>
      <c r="BA411" s="92"/>
      <c r="BB411" s="92"/>
      <c r="BC411" s="92"/>
      <c r="BD411" s="92"/>
      <c r="BE411" s="92"/>
      <c r="BF411" s="92"/>
      <c r="BG411" s="92"/>
      <c r="BH411" s="92"/>
      <c r="BI411" s="92"/>
      <c r="BJ411" s="213"/>
    </row>
    <row r="412" spans="46:62" hidden="1" outlineLevel="1">
      <c r="AT412" s="911"/>
      <c r="AV412" s="212"/>
      <c r="AW412" s="92" t="str">
        <f>C76</f>
        <v>Net Profit after Tax (NPAT)</v>
      </c>
      <c r="AX412" s="216">
        <f ca="1">L76/Thousand*Currency_Unit</f>
        <v>207.34887090912088</v>
      </c>
      <c r="AY412" s="216">
        <f ca="1">Q76/Thousand*Currency_Unit</f>
        <v>252.80730486505894</v>
      </c>
      <c r="AZ412" s="92"/>
      <c r="BA412" s="92"/>
      <c r="BB412" s="92"/>
      <c r="BC412" s="92"/>
      <c r="BD412" s="92"/>
      <c r="BE412" s="92"/>
      <c r="BF412" s="92"/>
      <c r="BG412" s="92"/>
      <c r="BH412" s="92"/>
      <c r="BI412" s="92"/>
      <c r="BJ412" s="213"/>
    </row>
    <row r="413" spans="46:62" hidden="1" outlineLevel="1">
      <c r="AT413" s="911"/>
      <c r="AV413" s="212"/>
      <c r="AW413" s="92"/>
      <c r="AX413" s="92"/>
      <c r="AY413" s="92"/>
      <c r="AZ413" s="92"/>
      <c r="BA413" s="92"/>
      <c r="BB413" s="92"/>
      <c r="BC413" s="92"/>
      <c r="BD413" s="92"/>
      <c r="BE413" s="92"/>
      <c r="BF413" s="92"/>
      <c r="BG413" s="92"/>
      <c r="BH413" s="92"/>
      <c r="BI413" s="92"/>
      <c r="BJ413" s="213"/>
    </row>
    <row r="414" spans="46:62" hidden="1" outlineLevel="1">
      <c r="AT414" s="911"/>
      <c r="AV414" s="212"/>
      <c r="AW414" s="92"/>
      <c r="AX414" s="92"/>
      <c r="AY414" s="92"/>
      <c r="AZ414" s="92"/>
      <c r="BA414" s="92"/>
      <c r="BB414" s="92"/>
      <c r="BC414" s="92"/>
      <c r="BD414" s="92"/>
      <c r="BE414" s="92"/>
      <c r="BF414" s="92"/>
      <c r="BG414" s="92"/>
      <c r="BH414" s="92"/>
      <c r="BI414" s="92"/>
      <c r="BJ414" s="213"/>
    </row>
    <row r="415" spans="46:62" ht="15" hidden="1" outlineLevel="1">
      <c r="AT415" s="911"/>
      <c r="AV415" s="214" t="s">
        <v>37</v>
      </c>
      <c r="AW415" s="215" t="s">
        <v>751</v>
      </c>
      <c r="AX415" s="921">
        <f>Inputs!K21</f>
        <v>43799</v>
      </c>
      <c r="AY415" s="921">
        <f>EOMONTH(AX415,12)</f>
        <v>44165</v>
      </c>
      <c r="AZ415" s="92"/>
      <c r="BA415" s="92"/>
      <c r="BB415" s="92"/>
      <c r="BC415" s="92"/>
      <c r="BD415" s="92"/>
      <c r="BE415" s="92"/>
      <c r="BF415" s="92"/>
      <c r="BG415" s="92"/>
      <c r="BH415" s="92"/>
      <c r="BI415" s="92"/>
      <c r="BJ415" s="213"/>
    </row>
    <row r="416" spans="46:62" hidden="1" outlineLevel="1">
      <c r="AT416" s="911"/>
      <c r="AV416" s="212"/>
      <c r="AW416" s="92" t="s">
        <v>752</v>
      </c>
      <c r="AX416" s="371" t="str">
        <f>'Summary 02'!$V$5</f>
        <v>FY 2018</v>
      </c>
      <c r="AY416" s="371" t="str">
        <f>'Summary 02'!$AA$5</f>
        <v>FY 2019</v>
      </c>
      <c r="AZ416" s="92"/>
      <c r="BA416" s="92"/>
      <c r="BB416" s="92"/>
      <c r="BC416" s="92"/>
      <c r="BD416" s="92"/>
      <c r="BE416" s="92"/>
      <c r="BF416" s="92"/>
      <c r="BG416" s="92"/>
      <c r="BH416" s="92"/>
      <c r="BI416" s="92"/>
      <c r="BJ416" s="213"/>
    </row>
    <row r="417" spans="46:62" hidden="1" outlineLevel="1">
      <c r="AT417" s="911"/>
      <c r="AV417" s="212"/>
      <c r="AW417" s="92" t="str">
        <f>Inputs!C48</f>
        <v>Direct Labor Staff</v>
      </c>
      <c r="AX417" s="925">
        <f>SUMPRODUCT((Timing!$J$5:$AG$5=AX$415)*('Human Resources'!$J14:$AG14))</f>
        <v>4</v>
      </c>
      <c r="AY417" s="925">
        <f>SUMPRODUCT((Timing!$J$5:$AG$5=AY$415)*('Human Resources'!$J14:$AG14))</f>
        <v>4</v>
      </c>
      <c r="AZ417" s="831"/>
      <c r="BA417" s="831"/>
      <c r="BB417" s="831"/>
      <c r="BC417" s="831"/>
      <c r="BD417" s="92"/>
      <c r="BE417" s="92"/>
      <c r="BF417" s="92"/>
      <c r="BG417" s="92"/>
      <c r="BH417" s="92"/>
      <c r="BI417" s="92"/>
      <c r="BJ417" s="213"/>
    </row>
    <row r="418" spans="46:62" hidden="1" outlineLevel="1">
      <c r="AT418" s="911"/>
      <c r="AV418" s="212"/>
      <c r="AW418" s="92" t="str">
        <f>Inputs!C54</f>
        <v>Management &amp; Administration Staff</v>
      </c>
      <c r="AX418" s="925">
        <f>SUMPRODUCT((Timing!$J$5:$AG$5=AX$415)*('Human Resources'!$J21:$AG21))</f>
        <v>1</v>
      </c>
      <c r="AY418" s="925">
        <f>SUMPRODUCT((Timing!$J$5:$AG$5=AY$415)*('Human Resources'!$J21:$AG21))</f>
        <v>2</v>
      </c>
      <c r="AZ418" s="61"/>
      <c r="BA418" s="61"/>
      <c r="BB418" s="61"/>
      <c r="BC418" s="61"/>
      <c r="BD418" s="92"/>
      <c r="BE418" s="92"/>
      <c r="BF418" s="92"/>
      <c r="BG418" s="92"/>
      <c r="BH418" s="92"/>
      <c r="BI418" s="92"/>
      <c r="BJ418" s="213"/>
    </row>
    <row r="419" spans="46:62" s="911" customFormat="1" hidden="1" outlineLevel="1">
      <c r="AV419" s="212"/>
      <c r="AW419" s="92" t="str">
        <f>Inputs!C60</f>
        <v>Operational Staff</v>
      </c>
      <c r="AX419" s="925">
        <f>SUMPRODUCT((Timing!$J$5:$AG$5=AX$415)*('Human Resources'!$J28:$AG28))</f>
        <v>3</v>
      </c>
      <c r="AY419" s="925">
        <f>SUMPRODUCT((Timing!$J$5:$AG$5=AY$415)*('Human Resources'!$J28:$AG28))</f>
        <v>4</v>
      </c>
      <c r="AZ419" s="61"/>
      <c r="BA419" s="61"/>
      <c r="BB419" s="61"/>
      <c r="BC419" s="61"/>
      <c r="BD419" s="92"/>
      <c r="BE419" s="92"/>
      <c r="BF419" s="92"/>
      <c r="BG419" s="92"/>
      <c r="BH419" s="92"/>
      <c r="BI419" s="92"/>
      <c r="BJ419" s="548"/>
    </row>
    <row r="420" spans="46:62" s="911" customFormat="1" hidden="1" outlineLevel="1">
      <c r="AV420" s="212"/>
      <c r="AW420" s="92" t="str">
        <f>Inputs!C66</f>
        <v>Sales, Marketing &amp; Distribution Staff</v>
      </c>
      <c r="AX420" s="925">
        <f>SUMPRODUCT((Timing!$J$5:$AG$5=AX$415)*('Human Resources'!$J35:$AG35))</f>
        <v>2</v>
      </c>
      <c r="AY420" s="925">
        <f>SUMPRODUCT((Timing!$J$5:$AG$5=AY$415)*('Human Resources'!$J35:$AG35))</f>
        <v>3</v>
      </c>
      <c r="AZ420" s="61"/>
      <c r="BA420" s="61"/>
      <c r="BB420" s="61"/>
      <c r="BC420" s="61"/>
      <c r="BD420" s="92"/>
      <c r="BE420" s="92"/>
      <c r="BF420" s="92"/>
      <c r="BG420" s="92"/>
      <c r="BH420" s="92"/>
      <c r="BI420" s="92"/>
      <c r="BJ420" s="548"/>
    </row>
    <row r="421" spans="46:62" s="911" customFormat="1" hidden="1" outlineLevel="1">
      <c r="AV421" s="212"/>
      <c r="AW421" s="92" t="str">
        <f>Inputs!C72</f>
        <v>Research &amp; Development</v>
      </c>
      <c r="AX421" s="925">
        <f>SUMPRODUCT((Timing!$J$5:$AG$5=AX$415)*('Human Resources'!$J42:$AG42))</f>
        <v>1</v>
      </c>
      <c r="AY421" s="925">
        <f>SUMPRODUCT((Timing!$J$5:$AG$5=AY$415)*('Human Resources'!$J42:$AG42))</f>
        <v>1</v>
      </c>
      <c r="AZ421" s="61"/>
      <c r="BA421" s="61"/>
      <c r="BB421" s="61"/>
      <c r="BC421" s="61"/>
      <c r="BD421" s="92"/>
      <c r="BE421" s="92"/>
      <c r="BF421" s="92"/>
      <c r="BG421" s="92"/>
      <c r="BH421" s="92"/>
      <c r="BI421" s="92"/>
      <c r="BJ421" s="548"/>
    </row>
    <row r="422" spans="46:62" s="911" customFormat="1" hidden="1" outlineLevel="1">
      <c r="AV422" s="212"/>
      <c r="AW422" s="922" t="s">
        <v>289</v>
      </c>
      <c r="AX422" s="987">
        <f>SUM(AX417:AX421)</f>
        <v>11</v>
      </c>
      <c r="AY422" s="987">
        <f t="shared" ref="AY422" si="25">SUM(AY417:AY421)</f>
        <v>14</v>
      </c>
      <c r="AZ422" s="92"/>
      <c r="BA422" s="92"/>
      <c r="BB422" s="92"/>
      <c r="BC422" s="92"/>
      <c r="BD422" s="92"/>
      <c r="BE422" s="92"/>
      <c r="BF422" s="92"/>
      <c r="BG422" s="92"/>
      <c r="BH422" s="92"/>
      <c r="BI422" s="92"/>
      <c r="BJ422" s="548"/>
    </row>
    <row r="423" spans="46:62" s="911" customFormat="1" hidden="1" outlineLevel="1">
      <c r="AV423" s="212"/>
      <c r="AW423" s="92"/>
      <c r="AX423" s="92"/>
      <c r="AY423" s="92"/>
      <c r="AZ423" s="92"/>
      <c r="BA423" s="92"/>
      <c r="BB423" s="92"/>
      <c r="BC423" s="92"/>
      <c r="BD423" s="92"/>
      <c r="BE423" s="92"/>
      <c r="BF423" s="92"/>
      <c r="BG423" s="92"/>
      <c r="BH423" s="92"/>
      <c r="BI423" s="92"/>
      <c r="BJ423" s="548"/>
    </row>
    <row r="424" spans="46:62" s="911" customFormat="1" ht="15" hidden="1" outlineLevel="1">
      <c r="AV424" s="214" t="s">
        <v>45</v>
      </c>
      <c r="AW424" s="215" t="s">
        <v>751</v>
      </c>
      <c r="AX424" s="921"/>
      <c r="AY424" s="921"/>
      <c r="AZ424" s="92"/>
      <c r="BA424" s="92"/>
      <c r="BB424" s="92"/>
      <c r="BC424" s="92"/>
      <c r="BD424" s="92"/>
      <c r="BE424" s="92"/>
      <c r="BF424" s="92"/>
      <c r="BG424" s="92"/>
      <c r="BH424" s="92"/>
      <c r="BI424" s="92"/>
      <c r="BJ424" s="548"/>
    </row>
    <row r="425" spans="46:62" s="911" customFormat="1" hidden="1" outlineLevel="1">
      <c r="AV425" s="212"/>
      <c r="AW425" s="92" t="s">
        <v>752</v>
      </c>
      <c r="AX425" s="371" t="str">
        <f>AX416</f>
        <v>FY 2018</v>
      </c>
      <c r="AY425" s="371" t="str">
        <f t="shared" ref="AY425" si="26">AY416</f>
        <v>FY 2019</v>
      </c>
      <c r="AZ425" s="92"/>
      <c r="BA425" s="92"/>
      <c r="BB425" s="92"/>
      <c r="BC425" s="92"/>
      <c r="BD425" s="92"/>
      <c r="BE425" s="92"/>
      <c r="BF425" s="92"/>
      <c r="BG425" s="92"/>
      <c r="BH425" s="92"/>
      <c r="BI425" s="92"/>
      <c r="BJ425" s="548"/>
    </row>
    <row r="426" spans="46:62" s="911" customFormat="1" hidden="1" outlineLevel="1">
      <c r="AV426" s="546"/>
      <c r="AW426" s="48" t="s">
        <v>389</v>
      </c>
      <c r="AX426" s="216">
        <f ca="1">L286</f>
        <v>178842.89799999999</v>
      </c>
      <c r="AY426" s="216">
        <f ca="1">O286</f>
        <v>58983.525000000001</v>
      </c>
      <c r="AZ426" s="92"/>
      <c r="BA426" s="92"/>
      <c r="BB426" s="92"/>
      <c r="BC426" s="92"/>
      <c r="BD426" s="92"/>
      <c r="BE426" s="92"/>
      <c r="BF426" s="92"/>
      <c r="BG426" s="92"/>
      <c r="BH426" s="92"/>
      <c r="BI426" s="92"/>
      <c r="BJ426" s="548"/>
    </row>
    <row r="427" spans="46:62" s="911" customFormat="1" hidden="1" outlineLevel="1">
      <c r="AV427" s="546"/>
      <c r="AW427" s="48" t="s">
        <v>847</v>
      </c>
      <c r="AX427" s="216">
        <f ca="1">L288</f>
        <v>183842.89799999999</v>
      </c>
      <c r="AY427" s="216">
        <f ca="1">O288</f>
        <v>242826.42300000001</v>
      </c>
      <c r="AZ427" s="92"/>
      <c r="BA427" s="92"/>
      <c r="BB427" s="92"/>
      <c r="BC427" s="92"/>
      <c r="BD427" s="92"/>
      <c r="BE427" s="92"/>
      <c r="BF427" s="92"/>
      <c r="BG427" s="92"/>
      <c r="BH427" s="92"/>
      <c r="BI427" s="92"/>
      <c r="BJ427" s="548"/>
    </row>
    <row r="428" spans="46:62" s="911" customFormat="1" hidden="1" outlineLevel="1">
      <c r="AV428" s="546"/>
      <c r="AW428" s="92"/>
      <c r="AZ428" s="92"/>
      <c r="BA428" s="92"/>
      <c r="BB428" s="92"/>
      <c r="BC428" s="92"/>
      <c r="BD428" s="92"/>
      <c r="BE428" s="92"/>
      <c r="BF428" s="92"/>
      <c r="BG428" s="92"/>
      <c r="BH428" s="92"/>
      <c r="BI428" s="92"/>
      <c r="BJ428" s="548"/>
    </row>
    <row r="429" spans="46:62" ht="15" hidden="1" outlineLevel="1">
      <c r="AT429" s="911"/>
      <c r="AV429" s="214" t="s">
        <v>38</v>
      </c>
      <c r="AW429" s="215" t="s">
        <v>835</v>
      </c>
      <c r="AX429" s="92"/>
      <c r="AY429" s="92"/>
      <c r="AZ429" s="92"/>
      <c r="BA429" s="92"/>
      <c r="BB429" s="92"/>
      <c r="BC429" s="92"/>
      <c r="BD429" s="92"/>
      <c r="BE429" s="92"/>
      <c r="BF429" s="92"/>
      <c r="BG429" s="92"/>
      <c r="BH429" s="92"/>
      <c r="BI429" s="92"/>
      <c r="BJ429" s="213"/>
    </row>
    <row r="430" spans="46:62" hidden="1" outlineLevel="1">
      <c r="AT430" s="911"/>
      <c r="AV430" s="212"/>
      <c r="AW430" s="61"/>
      <c r="AX430" s="898">
        <f>IFS!J5</f>
        <v>43555</v>
      </c>
      <c r="AY430" s="898">
        <f>IFS!K5</f>
        <v>43585</v>
      </c>
      <c r="AZ430" s="898">
        <f>IFS!L5</f>
        <v>43616</v>
      </c>
      <c r="BA430" s="898">
        <f>IFS!M5</f>
        <v>43646</v>
      </c>
      <c r="BB430" s="898">
        <f>IFS!N5</f>
        <v>43677</v>
      </c>
      <c r="BC430" s="898">
        <f>IFS!O5</f>
        <v>43708</v>
      </c>
      <c r="BD430" s="898">
        <f>IFS!P5</f>
        <v>43738</v>
      </c>
      <c r="BE430" s="898">
        <f>IFS!Q5</f>
        <v>43769</v>
      </c>
      <c r="BF430" s="898">
        <f>IFS!R5</f>
        <v>43799</v>
      </c>
      <c r="BG430" s="898">
        <f>IFS!S5</f>
        <v>43830</v>
      </c>
      <c r="BH430" s="898">
        <f>IFS!T5</f>
        <v>43861</v>
      </c>
      <c r="BI430" s="898">
        <f>IFS!U5</f>
        <v>43890</v>
      </c>
      <c r="BJ430" s="217"/>
    </row>
    <row r="431" spans="46:62" hidden="1" outlineLevel="1">
      <c r="AT431" s="911"/>
      <c r="AV431" s="212"/>
      <c r="AW431" s="92" t="s">
        <v>921</v>
      </c>
      <c r="AX431" s="216">
        <f ca="1">LOOKUP(AX430,IFS!$J$5:$AG$5,IFS!$J$107:$AG$107)</f>
        <v>0</v>
      </c>
      <c r="AY431" s="216">
        <f ca="1">LOOKUP(AY430,IFS!$J$5:$AG$5,IFS!$J$107:$AG$107)</f>
        <v>0</v>
      </c>
      <c r="AZ431" s="216">
        <f ca="1">LOOKUP(AZ430,IFS!$J$5:$AG$5,IFS!$J$107:$AG$107)</f>
        <v>0</v>
      </c>
      <c r="BA431" s="216">
        <f ca="1">LOOKUP(BA430,IFS!$J$5:$AG$5,IFS!$J$107:$AG$107)</f>
        <v>52319.131600000001</v>
      </c>
      <c r="BB431" s="216">
        <f ca="1">LOOKUP(BB430,IFS!$J$5:$AG$5,IFS!$J$107:$AG$107)</f>
        <v>49065.732600000003</v>
      </c>
      <c r="BC431" s="216">
        <f ca="1">LOOKUP(BC430,IFS!$J$5:$AG$5,IFS!$J$107:$AG$107)</f>
        <v>56320.367080000004</v>
      </c>
      <c r="BD431" s="216">
        <f ca="1">LOOKUP(BD430,IFS!$J$5:$AG$5,IFS!$J$107:$AG$107)</f>
        <v>159710.91396999999</v>
      </c>
      <c r="BE431" s="216">
        <f ca="1">LOOKUP(BE430,IFS!$J$5:$AG$5,IFS!$J$107:$AG$107)</f>
        <v>195048.75482999999</v>
      </c>
      <c r="BF431" s="216">
        <f ca="1">LOOKUP(BF430,IFS!$J$5:$AG$5,IFS!$J$107:$AG$107)</f>
        <v>183842.89817999999</v>
      </c>
      <c r="BG431" s="216">
        <f ca="1">LOOKUP(BG430,IFS!$J$5:$AG$5,IFS!$J$107:$AG$107)</f>
        <v>272897.95662999997</v>
      </c>
      <c r="BH431" s="216">
        <f ca="1">LOOKUP(BH430,IFS!$J$5:$AG$5,IFS!$J$107:$AG$107)</f>
        <v>283432.24349999998</v>
      </c>
      <c r="BI431" s="216">
        <f ca="1">LOOKUP(BI430,IFS!$J$5:$AG$5,IFS!$J$107:$AG$107)</f>
        <v>228903.30033</v>
      </c>
      <c r="BJ431" s="213"/>
    </row>
    <row r="432" spans="46:62" hidden="1" outlineLevel="1">
      <c r="AT432" s="911"/>
      <c r="AV432" s="212"/>
      <c r="AW432" s="92" t="s">
        <v>836</v>
      </c>
      <c r="AX432" s="216">
        <f ca="1">-LOOKUP(AX430,Financing!$J$5:$AG$5,Financing!$J$69:$AG$69)</f>
        <v>-3500</v>
      </c>
      <c r="AY432" s="216">
        <f ca="1">-LOOKUP(AY430,Financing!$J$5:$AG$5,Financing!$J$69:$AG$69)</f>
        <v>-26879.828305416639</v>
      </c>
      <c r="AZ432" s="216">
        <f ca="1">-LOOKUP(AZ430,Financing!$J$5:$AG$5,Financing!$J$69:$AG$69)</f>
        <v>-7045.6601431958152</v>
      </c>
      <c r="BA432" s="216">
        <f ca="1">-LOOKUP(BA430,Financing!$J$5:$AG$5,Financing!$J$69:$AG$69)</f>
        <v>0</v>
      </c>
      <c r="BB432" s="216">
        <f ca="1">-LOOKUP(BB430,Financing!$J$5:$AG$5,Financing!$J$69:$AG$69)</f>
        <v>0</v>
      </c>
      <c r="BC432" s="216">
        <f ca="1">-LOOKUP(BC430,Financing!$J$5:$AG$5,Financing!$J$69:$AG$69)</f>
        <v>0</v>
      </c>
      <c r="BD432" s="216">
        <f ca="1">-LOOKUP(BD430,Financing!$J$5:$AG$5,Financing!$J$69:$AG$69)</f>
        <v>0</v>
      </c>
      <c r="BE432" s="216">
        <f ca="1">-LOOKUP(BE430,Financing!$J$5:$AG$5,Financing!$J$69:$AG$69)</f>
        <v>0</v>
      </c>
      <c r="BF432" s="216">
        <f ca="1">-LOOKUP(BF430,Financing!$J$5:$AG$5,Financing!$J$69:$AG$69)</f>
        <v>0</v>
      </c>
      <c r="BG432" s="216">
        <f ca="1">-LOOKUP(BG430,Financing!$J$5:$AG$5,Financing!$J$69:$AG$69)</f>
        <v>0</v>
      </c>
      <c r="BH432" s="216">
        <f ca="1">-LOOKUP(BH430,Financing!$J$5:$AG$5,Financing!$J$69:$AG$69)</f>
        <v>0</v>
      </c>
      <c r="BI432" s="216">
        <f ca="1">-LOOKUP(BI430,Financing!$J$5:$AG$5,Financing!$J$69:$AG$69)</f>
        <v>0</v>
      </c>
      <c r="BJ432" s="213"/>
    </row>
    <row r="433" spans="41:62" hidden="1" outlineLevel="1">
      <c r="AT433" s="911"/>
      <c r="AV433" s="212"/>
      <c r="AW433" s="48" t="s">
        <v>729</v>
      </c>
      <c r="AX433" s="216">
        <f>-Inputs!$F$133</f>
        <v>-65000</v>
      </c>
      <c r="AY433" s="216">
        <f>-Inputs!$F$133</f>
        <v>-65000</v>
      </c>
      <c r="AZ433" s="216">
        <f>-Inputs!$F$133</f>
        <v>-65000</v>
      </c>
      <c r="BA433" s="216">
        <f>-Inputs!$F$133</f>
        <v>-65000</v>
      </c>
      <c r="BB433" s="216">
        <f>-Inputs!$F$133</f>
        <v>-65000</v>
      </c>
      <c r="BC433" s="216">
        <f>-Inputs!$F$133</f>
        <v>-65000</v>
      </c>
      <c r="BD433" s="216">
        <f>-Inputs!$F$133</f>
        <v>-65000</v>
      </c>
      <c r="BE433" s="216">
        <f>-Inputs!$F$133</f>
        <v>-65000</v>
      </c>
      <c r="BF433" s="216">
        <f>-Inputs!$F$133</f>
        <v>-65000</v>
      </c>
      <c r="BG433" s="216">
        <f>-Inputs!$F$133</f>
        <v>-65000</v>
      </c>
      <c r="BH433" s="216">
        <f>-Inputs!$F$133</f>
        <v>-65000</v>
      </c>
      <c r="BI433" s="216">
        <f>-Inputs!$F$133</f>
        <v>-65000</v>
      </c>
      <c r="BJ433" s="213"/>
    </row>
    <row r="434" spans="41:62" hidden="1" outlineLevel="1">
      <c r="AT434" s="911"/>
      <c r="AV434" s="546"/>
      <c r="AW434" s="48"/>
      <c r="AX434" s="547"/>
      <c r="AY434" s="547"/>
      <c r="AZ434" s="547"/>
      <c r="BA434" s="547"/>
      <c r="BB434" s="547"/>
      <c r="BC434" s="547"/>
      <c r="BD434" s="547"/>
      <c r="BE434" s="547"/>
      <c r="BF434" s="547"/>
      <c r="BG434" s="547"/>
      <c r="BH434" s="547"/>
      <c r="BI434" s="547"/>
      <c r="BJ434" s="548"/>
    </row>
    <row r="435" spans="41:62" ht="15" hidden="1" outlineLevel="1">
      <c r="AT435" s="911"/>
      <c r="AV435" s="214" t="s">
        <v>845</v>
      </c>
      <c r="AW435" s="215" t="s">
        <v>53</v>
      </c>
      <c r="AX435" s="636"/>
      <c r="AY435" s="547"/>
      <c r="AZ435" s="547"/>
      <c r="BA435" s="547"/>
      <c r="BB435" s="547"/>
      <c r="BC435" s="547"/>
      <c r="BD435" s="547"/>
      <c r="BE435" s="547"/>
      <c r="BF435" s="547"/>
      <c r="BG435" s="547"/>
      <c r="BH435" s="547"/>
      <c r="BI435" s="547"/>
      <c r="BJ435" s="548"/>
    </row>
    <row r="436" spans="41:62" hidden="1" outlineLevel="1">
      <c r="AO436" s="830"/>
      <c r="AT436" s="911"/>
      <c r="AV436" s="546"/>
      <c r="AW436" s="48"/>
      <c r="AX436" s="92"/>
      <c r="AY436" s="92"/>
      <c r="AZ436" s="92"/>
      <c r="BA436" s="92"/>
      <c r="BB436" s="92"/>
      <c r="BC436" s="92"/>
      <c r="BD436" s="547"/>
      <c r="BE436" s="547"/>
      <c r="BF436" s="547"/>
      <c r="BG436" s="547"/>
      <c r="BH436" s="547"/>
      <c r="BI436" s="547"/>
      <c r="BJ436" s="548"/>
    </row>
    <row r="437" spans="41:62" hidden="1" outlineLevel="1">
      <c r="AO437" s="830"/>
      <c r="AT437" s="911"/>
      <c r="AV437" s="546"/>
      <c r="AW437" s="542"/>
      <c r="AX437" s="547"/>
      <c r="AY437" s="547"/>
      <c r="AZ437" s="547"/>
      <c r="BA437" s="547"/>
      <c r="BB437" s="547"/>
      <c r="BC437" s="547"/>
      <c r="BD437" s="547"/>
      <c r="BE437" s="547"/>
      <c r="BF437" s="547"/>
      <c r="BG437" s="547"/>
      <c r="BH437" s="547"/>
      <c r="BI437" s="547"/>
      <c r="BJ437" s="548"/>
    </row>
    <row r="438" spans="41:62" hidden="1" outlineLevel="1">
      <c r="AO438" s="830"/>
      <c r="AT438" s="911"/>
      <c r="AV438" s="546"/>
      <c r="AW438" s="542"/>
      <c r="AX438" s="547"/>
      <c r="AY438" s="547"/>
      <c r="AZ438" s="547"/>
      <c r="BA438" s="547"/>
      <c r="BB438" s="547"/>
      <c r="BC438" s="547"/>
      <c r="BD438" s="547"/>
      <c r="BE438" s="547"/>
      <c r="BF438" s="547"/>
      <c r="BG438" s="547"/>
      <c r="BH438" s="547"/>
      <c r="BI438" s="547"/>
      <c r="BJ438" s="548"/>
    </row>
    <row r="439" spans="41:62" hidden="1" outlineLevel="1">
      <c r="AO439" s="830"/>
      <c r="AT439" s="911"/>
      <c r="AV439" s="546"/>
      <c r="AW439" s="542"/>
      <c r="AX439" s="547"/>
      <c r="AY439" s="547"/>
      <c r="AZ439" s="547"/>
      <c r="BA439" s="547"/>
      <c r="BB439" s="547"/>
      <c r="BC439" s="547"/>
      <c r="BD439" s="547"/>
      <c r="BE439" s="547"/>
      <c r="BF439" s="547"/>
      <c r="BG439" s="547"/>
      <c r="BH439" s="547"/>
      <c r="BI439" s="547"/>
      <c r="BJ439" s="548"/>
    </row>
    <row r="440" spans="41:62" hidden="1" outlineLevel="1">
      <c r="AO440" s="830"/>
      <c r="AT440" s="911"/>
      <c r="AV440" s="546"/>
      <c r="AW440" s="542"/>
      <c r="AX440" s="547"/>
      <c r="AY440" s="547"/>
      <c r="AZ440" s="547"/>
      <c r="BA440" s="547"/>
      <c r="BB440" s="547"/>
      <c r="BC440" s="547"/>
      <c r="BD440" s="547"/>
      <c r="BE440" s="547"/>
      <c r="BF440" s="547"/>
      <c r="BG440" s="547"/>
      <c r="BH440" s="547"/>
      <c r="BI440" s="547"/>
      <c r="BJ440" s="548"/>
    </row>
    <row r="441" spans="41:62" s="911" customFormat="1" hidden="1" outlineLevel="1">
      <c r="AV441" s="546"/>
      <c r="AW441" s="566"/>
      <c r="AX441" s="985"/>
      <c r="AY441" s="985"/>
      <c r="AZ441" s="547"/>
      <c r="BA441" s="547"/>
      <c r="BB441" s="547"/>
      <c r="BC441" s="547"/>
      <c r="BD441" s="547"/>
      <c r="BE441" s="547"/>
      <c r="BF441" s="547"/>
      <c r="BG441" s="547"/>
      <c r="BH441" s="547"/>
      <c r="BI441" s="547"/>
      <c r="BJ441" s="548"/>
    </row>
    <row r="442" spans="41:62" s="911" customFormat="1" ht="15" hidden="1" outlineLevel="1">
      <c r="AV442" s="214" t="s">
        <v>856</v>
      </c>
      <c r="AW442" s="215" t="s">
        <v>214</v>
      </c>
      <c r="AX442" s="986">
        <v>1</v>
      </c>
      <c r="AY442" s="986">
        <v>2</v>
      </c>
      <c r="AZ442" s="547"/>
      <c r="BA442" s="547"/>
      <c r="BB442" s="547"/>
      <c r="BC442" s="547"/>
      <c r="BD442" s="547"/>
      <c r="BE442" s="547"/>
      <c r="BF442" s="547"/>
      <c r="BG442" s="547"/>
      <c r="BH442" s="547"/>
      <c r="BI442" s="547"/>
      <c r="BJ442" s="548"/>
    </row>
    <row r="443" spans="41:62" s="911" customFormat="1" hidden="1" outlineLevel="1">
      <c r="AV443" s="546"/>
      <c r="AW443" s="566"/>
      <c r="AX443" s="371" t="str">
        <f>'Summary 02'!$V$5</f>
        <v>FY 2018</v>
      </c>
      <c r="AY443" s="371" t="str">
        <f>'Summary 02'!$AA$5</f>
        <v>FY 2019</v>
      </c>
      <c r="AZ443" s="547"/>
      <c r="BA443" s="547"/>
      <c r="BB443" s="547"/>
      <c r="BC443" s="547"/>
      <c r="BD443" s="547"/>
      <c r="BE443" s="547"/>
      <c r="BF443" s="547"/>
      <c r="BG443" s="547"/>
      <c r="BH443" s="547"/>
      <c r="BI443" s="547"/>
      <c r="BJ443" s="548"/>
    </row>
    <row r="444" spans="41:62" s="911" customFormat="1" hidden="1" outlineLevel="1">
      <c r="AV444" s="546"/>
      <c r="AW444" s="566" t="str">
        <f>Product_01</f>
        <v>Desktops</v>
      </c>
      <c r="AX444" s="216">
        <f>SUMPRODUCT((Timing!$J$15:$AG$15=AX$442)*(Sales!$J70:$AG70))</f>
        <v>355300</v>
      </c>
      <c r="AY444" s="216">
        <f>SUMPRODUCT((Timing!$J$15:$AG$15=AY$442)*(Sales!$J70:$AG70))</f>
        <v>443300</v>
      </c>
      <c r="AZ444" s="547"/>
      <c r="BA444" s="547"/>
      <c r="BB444" s="547"/>
      <c r="BC444" s="547"/>
      <c r="BD444" s="547"/>
      <c r="BE444" s="547"/>
      <c r="BF444" s="547"/>
      <c r="BG444" s="547"/>
      <c r="BH444" s="547"/>
      <c r="BI444" s="547"/>
      <c r="BJ444" s="548"/>
    </row>
    <row r="445" spans="41:62" s="911" customFormat="1" hidden="1" outlineLevel="1">
      <c r="AV445" s="546"/>
      <c r="AW445" s="24" t="str">
        <f>Product_02</f>
        <v>Workstations</v>
      </c>
      <c r="AX445" s="216">
        <f>SUMPRODUCT((Timing!$J$15:$AG$15=AX$442)*(Sales!$J71:$AG71))</f>
        <v>202400</v>
      </c>
      <c r="AY445" s="216">
        <f>SUMPRODUCT((Timing!$J$15:$AG$15=AY$442)*(Sales!$J71:$AG71))</f>
        <v>326600</v>
      </c>
      <c r="AZ445" s="547"/>
      <c r="BA445" s="547"/>
      <c r="BB445" s="547"/>
      <c r="BC445" s="547"/>
      <c r="BD445" s="547"/>
      <c r="BE445" s="547"/>
      <c r="BF445" s="547"/>
      <c r="BG445" s="547"/>
      <c r="BH445" s="547"/>
      <c r="BI445" s="547"/>
      <c r="BJ445" s="548"/>
    </row>
    <row r="446" spans="41:62" s="911" customFormat="1" hidden="1" outlineLevel="1">
      <c r="AV446" s="546"/>
      <c r="AW446" s="24" t="str">
        <f>Product_03</f>
        <v>Notebooks</v>
      </c>
      <c r="AX446" s="216">
        <f>SUMPRODUCT((Timing!$J$15:$AG$15=AX$442)*(Sales!$J72:$AG72))</f>
        <v>123280</v>
      </c>
      <c r="AY446" s="216">
        <f>SUMPRODUCT((Timing!$J$15:$AG$15=AY$442)*(Sales!$J72:$AG72))</f>
        <v>180180</v>
      </c>
      <c r="AZ446" s="547"/>
      <c r="BA446" s="547"/>
      <c r="BB446" s="547"/>
      <c r="BC446" s="547"/>
      <c r="BD446" s="547"/>
      <c r="BE446" s="547"/>
      <c r="BF446" s="547"/>
      <c r="BG446" s="547"/>
      <c r="BH446" s="547"/>
      <c r="BI446" s="547"/>
      <c r="BJ446" s="548"/>
    </row>
    <row r="447" spans="41:62" s="911" customFormat="1" hidden="1" outlineLevel="1">
      <c r="AV447" s="546"/>
      <c r="AW447" s="24" t="str">
        <f>Product_04</f>
        <v>Software Products</v>
      </c>
      <c r="AX447" s="216">
        <f>SUMPRODUCT((Timing!$J$15:$AG$15=AX$442)*(Sales!$J73:$AG73))</f>
        <v>76050</v>
      </c>
      <c r="AY447" s="216">
        <f>SUMPRODUCT((Timing!$J$15:$AG$15=AY$442)*(Sales!$J73:$AG73))</f>
        <v>100050</v>
      </c>
      <c r="AZ447" s="547"/>
      <c r="BA447" s="547"/>
      <c r="BB447" s="547"/>
      <c r="BC447" s="547"/>
      <c r="BD447" s="547"/>
      <c r="BE447" s="547"/>
      <c r="BF447" s="547"/>
      <c r="BG447" s="547"/>
      <c r="BH447" s="547"/>
      <c r="BI447" s="547"/>
      <c r="BJ447" s="548"/>
    </row>
    <row r="448" spans="41:62" s="911" customFormat="1" hidden="1" outlineLevel="1">
      <c r="AV448" s="546"/>
      <c r="AW448" s="24" t="str">
        <f>Product_05</f>
        <v>Net work infrastructure solutions</v>
      </c>
      <c r="AX448" s="216">
        <f>SUMPRODUCT((Timing!$J$15:$AG$15=AX$442)*(Sales!$J74:$AG74))</f>
        <v>41000</v>
      </c>
      <c r="AY448" s="216">
        <f>SUMPRODUCT((Timing!$J$15:$AG$15=AY$442)*(Sales!$J74:$AG74))</f>
        <v>63412.515065984859</v>
      </c>
      <c r="AZ448" s="547"/>
      <c r="BA448" s="547"/>
      <c r="BB448" s="547"/>
      <c r="BC448" s="547"/>
      <c r="BD448" s="547"/>
      <c r="BE448" s="547"/>
      <c r="BF448" s="547"/>
      <c r="BG448" s="547"/>
      <c r="BH448" s="547"/>
      <c r="BI448" s="547"/>
      <c r="BJ448" s="548"/>
    </row>
    <row r="449" spans="48:62" s="911" customFormat="1" hidden="1" outlineLevel="1">
      <c r="AV449" s="546"/>
      <c r="AW449" s="24" t="str">
        <f>Product_06</f>
        <v>Repair Services</v>
      </c>
      <c r="AX449" s="216">
        <f>SUMPRODUCT((Timing!$J$15:$AG$15=AX$442)*(Sales!$J75:$AG75))</f>
        <v>125928</v>
      </c>
      <c r="AY449" s="216">
        <f>SUMPRODUCT((Timing!$J$15:$AG$15=AY$442)*(Sales!$J75:$AG75))</f>
        <v>155184</v>
      </c>
      <c r="AZ449" s="547"/>
      <c r="BA449" s="547"/>
      <c r="BB449" s="547"/>
      <c r="BC449" s="547"/>
      <c r="BD449" s="547"/>
      <c r="BE449" s="547"/>
      <c r="BF449" s="547"/>
      <c r="BG449" s="547"/>
      <c r="BH449" s="547"/>
      <c r="BI449" s="547"/>
      <c r="BJ449" s="548"/>
    </row>
    <row r="450" spans="48:62" s="911" customFormat="1" hidden="1" outlineLevel="1">
      <c r="AV450" s="546"/>
      <c r="AW450" s="24" t="str">
        <f>Product_07</f>
        <v>Integration Services</v>
      </c>
      <c r="AX450" s="216">
        <f>SUMPRODUCT((Timing!$J$15:$AG$15=AX$442)*(Sales!$J76:$AG76))</f>
        <v>164000</v>
      </c>
      <c r="AY450" s="216">
        <f>SUMPRODUCT((Timing!$J$15:$AG$15=AY$442)*(Sales!$J76:$AG76))</f>
        <v>240000</v>
      </c>
      <c r="AZ450" s="547"/>
      <c r="BA450" s="547"/>
      <c r="BB450" s="547"/>
      <c r="BC450" s="547"/>
      <c r="BD450" s="547"/>
      <c r="BE450" s="547"/>
      <c r="BF450" s="547"/>
      <c r="BG450" s="547"/>
      <c r="BH450" s="547"/>
      <c r="BI450" s="547"/>
      <c r="BJ450" s="548"/>
    </row>
    <row r="451" spans="48:62" s="911" customFormat="1" hidden="1" outlineLevel="1">
      <c r="AV451" s="546"/>
      <c r="AW451" s="24" t="str">
        <f>Product_08</f>
        <v>Consulting Services</v>
      </c>
      <c r="AX451" s="216">
        <f>SUMPRODUCT((Timing!$J$15:$AG$15=AX$442)*(Sales!$J77:$AG77))</f>
        <v>177580.43437320614</v>
      </c>
      <c r="AY451" s="216">
        <f>SUMPRODUCT((Timing!$J$15:$AG$15=AY$442)*(Sales!$J77:$AG77))</f>
        <v>262918.48855537892</v>
      </c>
      <c r="AZ451" s="547"/>
      <c r="BA451" s="547"/>
      <c r="BB451" s="547"/>
      <c r="BC451" s="547"/>
      <c r="BD451" s="547"/>
      <c r="BE451" s="547"/>
      <c r="BF451" s="547"/>
      <c r="BG451" s="547"/>
      <c r="BH451" s="547"/>
      <c r="BI451" s="547"/>
      <c r="BJ451" s="548"/>
    </row>
    <row r="452" spans="48:62" s="911" customFormat="1" hidden="1" outlineLevel="1">
      <c r="AV452" s="546"/>
      <c r="AW452" s="24" t="str">
        <f>Product_09</f>
        <v>Spare Parts</v>
      </c>
      <c r="AX452" s="216">
        <f>SUMPRODUCT((Timing!$J$15:$AG$15=AX$442)*(Sales!$J78:$AG78))</f>
        <v>88825</v>
      </c>
      <c r="AY452" s="216">
        <f>SUMPRODUCT((Timing!$J$15:$AG$15=AY$442)*(Sales!$J78:$AG78))</f>
        <v>110825</v>
      </c>
      <c r="AZ452" s="547"/>
      <c r="BA452" s="547"/>
      <c r="BB452" s="547"/>
      <c r="BC452" s="547"/>
      <c r="BD452" s="547"/>
      <c r="BE452" s="547"/>
      <c r="BF452" s="547"/>
      <c r="BG452" s="547"/>
      <c r="BH452" s="547"/>
      <c r="BI452" s="547"/>
      <c r="BJ452" s="548"/>
    </row>
    <row r="453" spans="48:62" s="911" customFormat="1" hidden="1" outlineLevel="1">
      <c r="AV453" s="546"/>
      <c r="AW453" s="24" t="str">
        <f>Product_10</f>
        <v>License Fees</v>
      </c>
      <c r="AX453" s="216">
        <f>SUMPRODUCT((Timing!$J$15:$AG$15=AX$442)*(Sales!$J79:$AG79))</f>
        <v>100020</v>
      </c>
      <c r="AY453" s="216">
        <f>SUMPRODUCT((Timing!$J$15:$AG$15=AY$442)*(Sales!$J79:$AG79))</f>
        <v>400180</v>
      </c>
      <c r="AZ453" s="547"/>
      <c r="BA453" s="547"/>
      <c r="BB453" s="547"/>
      <c r="BC453" s="547"/>
      <c r="BD453" s="547"/>
      <c r="BE453" s="547"/>
      <c r="BF453" s="547"/>
      <c r="BG453" s="547"/>
      <c r="BH453" s="547"/>
      <c r="BI453" s="547"/>
      <c r="BJ453" s="548"/>
    </row>
    <row r="454" spans="48:62" s="911" customFormat="1" hidden="1" outlineLevel="1">
      <c r="AV454" s="546"/>
      <c r="AW454" s="922" t="s">
        <v>858</v>
      </c>
      <c r="AX454" s="987">
        <f>SUM(AX444:AX453)</f>
        <v>1454383.4343732062</v>
      </c>
      <c r="AY454" s="987">
        <f t="shared" ref="AY454" si="27">SUM(AY444:AY453)</f>
        <v>2282650.003621364</v>
      </c>
      <c r="AZ454" s="547"/>
      <c r="BA454" s="547"/>
      <c r="BB454" s="547"/>
      <c r="BC454" s="547"/>
      <c r="BD454" s="547"/>
      <c r="BE454" s="547"/>
      <c r="BF454" s="547"/>
      <c r="BG454" s="547"/>
      <c r="BH454" s="547"/>
      <c r="BI454" s="547"/>
      <c r="BJ454" s="548"/>
    </row>
    <row r="455" spans="48:62" s="911" customFormat="1" ht="15" hidden="1" outlineLevel="1">
      <c r="AV455" s="214" t="s">
        <v>855</v>
      </c>
      <c r="AW455" s="215" t="s">
        <v>853</v>
      </c>
      <c r="AX455" s="986"/>
      <c r="AY455" s="986"/>
      <c r="AZ455" s="547"/>
      <c r="BA455" s="547"/>
      <c r="BB455" s="547"/>
      <c r="BC455" s="547"/>
      <c r="BD455" s="547"/>
      <c r="BE455" s="547"/>
      <c r="BF455" s="547"/>
      <c r="BG455" s="547"/>
      <c r="BH455" s="547"/>
      <c r="BI455" s="547"/>
      <c r="BJ455" s="548"/>
    </row>
    <row r="456" spans="48:62" s="911" customFormat="1" hidden="1" outlineLevel="1">
      <c r="AV456" s="546"/>
      <c r="AW456" s="566"/>
      <c r="AX456" s="371" t="str">
        <f>'Summary 02'!$V$5</f>
        <v>FY 2018</v>
      </c>
      <c r="AY456" s="371" t="str">
        <f>'Summary 02'!$AA$5</f>
        <v>FY 2019</v>
      </c>
      <c r="AZ456" s="547"/>
      <c r="BA456" s="547"/>
      <c r="BB456" s="547"/>
      <c r="BC456" s="547"/>
      <c r="BD456" s="547"/>
      <c r="BE456" s="547"/>
      <c r="BF456" s="547"/>
      <c r="BG456" s="547"/>
      <c r="BH456" s="547"/>
      <c r="BI456" s="547"/>
      <c r="BJ456" s="548"/>
    </row>
    <row r="457" spans="48:62" s="911" customFormat="1" hidden="1" outlineLevel="1">
      <c r="AV457" s="546"/>
      <c r="AW457" s="566" t="str">
        <f>Product_01</f>
        <v>Desktops</v>
      </c>
      <c r="AX457" s="216">
        <f>SUMPRODUCT((Timing!$J$15:$AG$15=AX$442)*('Costs 02'!$J356:$AG356))</f>
        <v>220043.1639765643</v>
      </c>
      <c r="AY457" s="216">
        <f>SUMPRODUCT((Timing!$J$15:$AG$15=AY$442)*('Costs 02'!$J356:$AG356))</f>
        <v>278080.37757531548</v>
      </c>
      <c r="AZ457" s="547"/>
      <c r="BA457" s="547"/>
      <c r="BB457" s="547"/>
      <c r="BC457" s="547"/>
      <c r="BD457" s="547"/>
      <c r="BE457" s="547"/>
      <c r="BF457" s="547"/>
      <c r="BG457" s="547"/>
      <c r="BH457" s="547"/>
      <c r="BI457" s="547"/>
      <c r="BJ457" s="548"/>
    </row>
    <row r="458" spans="48:62" s="911" customFormat="1" hidden="1" outlineLevel="1">
      <c r="AV458" s="546"/>
      <c r="AW458" s="24" t="str">
        <f>Product_02</f>
        <v>Workstations</v>
      </c>
      <c r="AX458" s="216">
        <f>SUMPRODUCT((Timing!$J$15:$AG$15=AX$442)*('Costs 02'!$J357:$AG357))</f>
        <v>161023.36014485304</v>
      </c>
      <c r="AY458" s="216">
        <f>SUMPRODUCT((Timing!$J$15:$AG$15=AY$442)*('Costs 02'!$J357:$AG357))</f>
        <v>276109.74678084836</v>
      </c>
      <c r="AZ458" s="547"/>
      <c r="BA458" s="547"/>
      <c r="BB458" s="547"/>
      <c r="BC458" s="547"/>
      <c r="BD458" s="547"/>
      <c r="BE458" s="547"/>
      <c r="BF458" s="547"/>
      <c r="BG458" s="547"/>
      <c r="BH458" s="547"/>
      <c r="BI458" s="547"/>
      <c r="BJ458" s="548"/>
    </row>
    <row r="459" spans="48:62" s="911" customFormat="1" hidden="1" outlineLevel="1">
      <c r="AV459" s="546"/>
      <c r="AW459" s="24" t="str">
        <f>Product_03</f>
        <v>Notebooks</v>
      </c>
      <c r="AX459" s="216">
        <f>SUMPRODUCT((Timing!$J$15:$AG$15=AX$442)*('Costs 02'!$J358:$AG358))</f>
        <v>75950.424021487721</v>
      </c>
      <c r="AY459" s="216">
        <f>SUMPRODUCT((Timing!$J$15:$AG$15=AY$442)*('Costs 02'!$J358:$AG358))</f>
        <v>109675.86240786561</v>
      </c>
      <c r="AZ459" s="547"/>
      <c r="BA459" s="547"/>
      <c r="BB459" s="547"/>
      <c r="BC459" s="547"/>
      <c r="BD459" s="547"/>
      <c r="BE459" s="547"/>
      <c r="BF459" s="547"/>
      <c r="BG459" s="547"/>
      <c r="BH459" s="547"/>
      <c r="BI459" s="547"/>
      <c r="BJ459" s="548"/>
    </row>
    <row r="460" spans="48:62" s="911" customFormat="1" hidden="1" outlineLevel="1">
      <c r="AV460" s="546"/>
      <c r="AW460" s="24" t="str">
        <f>Product_04</f>
        <v>Software Products</v>
      </c>
      <c r="AX460" s="216">
        <f>SUMPRODUCT((Timing!$J$15:$AG$15=AX$442)*('Costs 02'!$J359:$AG359))</f>
        <v>64820.73669360947</v>
      </c>
      <c r="AY460" s="216">
        <f>SUMPRODUCT((Timing!$J$15:$AG$15=AY$442)*('Costs 02'!$J359:$AG359))</f>
        <v>85638.281677482402</v>
      </c>
      <c r="AZ460" s="547"/>
      <c r="BA460" s="547"/>
      <c r="BB460" s="547"/>
      <c r="BC460" s="547"/>
      <c r="BD460" s="547"/>
      <c r="BE460" s="547"/>
      <c r="BF460" s="547"/>
      <c r="BG460" s="547"/>
      <c r="BH460" s="547"/>
      <c r="BI460" s="547"/>
      <c r="BJ460" s="548"/>
    </row>
    <row r="461" spans="48:62" s="911" customFormat="1" hidden="1" outlineLevel="1">
      <c r="AV461" s="546"/>
      <c r="AW461" s="24" t="str">
        <f>Product_05</f>
        <v>Net work infrastructure solutions</v>
      </c>
      <c r="AX461" s="216">
        <f>SUMPRODUCT((Timing!$J$15:$AG$15=AX$442)*('Costs 02'!$J360:$AG360))</f>
        <v>11030.996840517648</v>
      </c>
      <c r="AY461" s="216">
        <f>SUMPRODUCT((Timing!$J$15:$AG$15=AY$442)*('Costs 02'!$J360:$AG360))</f>
        <v>18457.833833513156</v>
      </c>
      <c r="AZ461" s="547"/>
      <c r="BA461" s="547"/>
      <c r="BB461" s="547"/>
      <c r="BC461" s="547"/>
      <c r="BD461" s="547"/>
      <c r="BE461" s="547"/>
      <c r="BF461" s="547"/>
      <c r="BG461" s="547"/>
      <c r="BH461" s="547"/>
      <c r="BI461" s="547"/>
      <c r="BJ461" s="548"/>
    </row>
    <row r="462" spans="48:62" s="911" customFormat="1" hidden="1" outlineLevel="1">
      <c r="AV462" s="546"/>
      <c r="AW462" s="24" t="str">
        <f>Product_06</f>
        <v>Repair Services</v>
      </c>
      <c r="AX462" s="216">
        <f>SUMPRODUCT((Timing!$J$15:$AG$15=AX$442)*('Costs 02'!$J361:$AG361))</f>
        <v>100869.01531003042</v>
      </c>
      <c r="AY462" s="216">
        <f>SUMPRODUCT((Timing!$J$15:$AG$15=AY$442)*('Costs 02'!$J361:$AG361))</f>
        <v>140003.82709015271</v>
      </c>
      <c r="AZ462" s="547"/>
      <c r="BA462" s="547"/>
      <c r="BB462" s="547"/>
      <c r="BC462" s="547"/>
      <c r="BD462" s="547"/>
      <c r="BE462" s="547"/>
      <c r="BF462" s="547"/>
      <c r="BG462" s="547"/>
      <c r="BH462" s="547"/>
      <c r="BI462" s="547"/>
      <c r="BJ462" s="548"/>
    </row>
    <row r="463" spans="48:62" s="911" customFormat="1" hidden="1" outlineLevel="1">
      <c r="AV463" s="546"/>
      <c r="AW463" s="24" t="str">
        <f>Product_07</f>
        <v>Integration Services</v>
      </c>
      <c r="AX463" s="216">
        <f>SUMPRODUCT((Timing!$J$15:$AG$15=AX$442)*('Costs 02'!$J362:$AG362))</f>
        <v>11323.987362070588</v>
      </c>
      <c r="AY463" s="216">
        <f>SUMPRODUCT((Timing!$J$15:$AG$15=AY$442)*('Costs 02'!$J362:$AG362))</f>
        <v>17417.648534067823</v>
      </c>
      <c r="AZ463" s="547"/>
      <c r="BA463" s="547"/>
      <c r="BB463" s="547"/>
      <c r="BC463" s="547"/>
      <c r="BD463" s="547"/>
      <c r="BE463" s="547"/>
      <c r="BF463" s="547"/>
      <c r="BG463" s="547"/>
      <c r="BH463" s="547"/>
      <c r="BI463" s="547"/>
      <c r="BJ463" s="548"/>
    </row>
    <row r="464" spans="48:62" s="911" customFormat="1" hidden="1" outlineLevel="1">
      <c r="AV464" s="546"/>
      <c r="AW464" s="24" t="str">
        <f>Product_08</f>
        <v>Consulting Services</v>
      </c>
      <c r="AX464" s="216">
        <f>SUMPRODUCT((Timing!$J$15:$AG$15=AX$442)*('Costs 02'!$J363:$AG363))</f>
        <v>16699.560493610355</v>
      </c>
      <c r="AY464" s="216">
        <f>SUMPRODUCT((Timing!$J$15:$AG$15=AY$442)*('Costs 02'!$J363:$AG363))</f>
        <v>25674.659180911622</v>
      </c>
      <c r="AZ464" s="547"/>
      <c r="BA464" s="547"/>
      <c r="BB464" s="547"/>
      <c r="BC464" s="547"/>
      <c r="BD464" s="547"/>
      <c r="BE464" s="547"/>
      <c r="BF464" s="547"/>
      <c r="BG464" s="547"/>
      <c r="BH464" s="547"/>
      <c r="BI464" s="547"/>
      <c r="BJ464" s="548"/>
    </row>
    <row r="465" spans="48:62" s="911" customFormat="1" hidden="1" outlineLevel="1">
      <c r="AV465" s="546"/>
      <c r="AW465" s="24" t="str">
        <f>Product_09</f>
        <v>Spare Parts</v>
      </c>
      <c r="AX465" s="216">
        <f>SUMPRODUCT((Timing!$J$15:$AG$15=AX$442)*('Costs 02'!$J364:$AG364))</f>
        <v>68304.540994141062</v>
      </c>
      <c r="AY465" s="216">
        <f>SUMPRODUCT((Timing!$J$15:$AG$15=AY$442)*('Costs 02'!$J364:$AG364))</f>
        <v>85629.261060495541</v>
      </c>
      <c r="AZ465" s="547"/>
      <c r="BA465" s="547"/>
      <c r="BB465" s="547"/>
      <c r="BC465" s="547"/>
      <c r="BD465" s="547"/>
      <c r="BE465" s="547"/>
      <c r="BF465" s="547"/>
      <c r="BG465" s="547"/>
      <c r="BH465" s="547"/>
      <c r="BI465" s="547"/>
      <c r="BJ465" s="548"/>
    </row>
    <row r="466" spans="48:62" s="911" customFormat="1" hidden="1" outlineLevel="1">
      <c r="AV466" s="546"/>
      <c r="AW466" s="24" t="str">
        <f>Product_10</f>
        <v>License Fees</v>
      </c>
      <c r="AX466" s="216">
        <f>SUMPRODUCT((Timing!$J$15:$AG$15=AX$442)*('Costs 02'!$J365:$AG365))</f>
        <v>1610.362071074916</v>
      </c>
      <c r="AY466" s="216">
        <f>SUMPRODUCT((Timing!$J$15:$AG$15=AY$442)*('Costs 02'!$J365:$AG365))</f>
        <v>7372.3384268261179</v>
      </c>
      <c r="AZ466" s="547"/>
      <c r="BA466" s="547"/>
      <c r="BB466" s="547"/>
      <c r="BC466" s="547"/>
      <c r="BD466" s="547"/>
      <c r="BE466" s="547"/>
      <c r="BF466" s="547"/>
      <c r="BG466" s="547"/>
      <c r="BH466" s="547"/>
      <c r="BI466" s="547"/>
      <c r="BJ466" s="548"/>
    </row>
    <row r="467" spans="48:62" s="911" customFormat="1" hidden="1" outlineLevel="1">
      <c r="AV467" s="546"/>
      <c r="AW467" s="922" t="s">
        <v>858</v>
      </c>
      <c r="AX467" s="987">
        <f>SUM(AX457:AX466)</f>
        <v>731676.14790795941</v>
      </c>
      <c r="AY467" s="987">
        <f t="shared" ref="AY467" si="28">SUM(AY457:AY466)</f>
        <v>1044059.836567479</v>
      </c>
      <c r="AZ467" s="547"/>
      <c r="BA467" s="547"/>
      <c r="BB467" s="547"/>
      <c r="BC467" s="547"/>
      <c r="BD467" s="547"/>
      <c r="BE467" s="547"/>
      <c r="BF467" s="547"/>
      <c r="BG467" s="547"/>
      <c r="BH467" s="547"/>
      <c r="BI467" s="547"/>
      <c r="BJ467" s="548"/>
    </row>
    <row r="468" spans="48:62" s="911" customFormat="1" ht="15" hidden="1" outlineLevel="1">
      <c r="AV468" s="214" t="s">
        <v>857</v>
      </c>
      <c r="AW468" s="215" t="s">
        <v>854</v>
      </c>
      <c r="AX468" s="985"/>
      <c r="AY468" s="985"/>
      <c r="AZ468" s="547"/>
      <c r="BA468" s="547"/>
      <c r="BB468" s="547"/>
      <c r="BC468" s="547"/>
      <c r="BD468" s="547"/>
      <c r="BE468" s="547"/>
      <c r="BF468" s="547"/>
      <c r="BG468" s="547"/>
      <c r="BH468" s="547"/>
      <c r="BI468" s="547"/>
      <c r="BJ468" s="548"/>
    </row>
    <row r="469" spans="48:62" s="911" customFormat="1" hidden="1" outlineLevel="1">
      <c r="AV469" s="546"/>
      <c r="AW469" s="566"/>
      <c r="AX469" s="371" t="str">
        <f>'Summary 02'!$V$5</f>
        <v>FY 2018</v>
      </c>
      <c r="AY469" s="371" t="str">
        <f>'Summary 02'!$AA$5</f>
        <v>FY 2019</v>
      </c>
      <c r="AZ469" s="547"/>
      <c r="BA469" s="547"/>
      <c r="BB469" s="547"/>
      <c r="BC469" s="547"/>
      <c r="BD469" s="547"/>
      <c r="BE469" s="547"/>
      <c r="BF469" s="547"/>
      <c r="BG469" s="547"/>
      <c r="BH469" s="547"/>
      <c r="BI469" s="547"/>
      <c r="BJ469" s="548"/>
    </row>
    <row r="470" spans="48:62" s="911" customFormat="1" hidden="1" outlineLevel="1">
      <c r="AV470" s="546"/>
      <c r="AW470" s="566" t="str">
        <f>Product_01</f>
        <v>Desktops</v>
      </c>
      <c r="AX470" s="216">
        <f>AX444-AX457</f>
        <v>135256.8360234357</v>
      </c>
      <c r="AY470" s="216">
        <f>AY444-AY457</f>
        <v>165219.62242468452</v>
      </c>
      <c r="AZ470" s="547"/>
      <c r="BA470" s="547"/>
      <c r="BB470" s="547"/>
      <c r="BC470" s="547"/>
      <c r="BD470" s="547"/>
      <c r="BE470" s="547"/>
      <c r="BF470" s="547"/>
      <c r="BG470" s="547"/>
      <c r="BH470" s="547"/>
      <c r="BI470" s="547"/>
      <c r="BJ470" s="548"/>
    </row>
    <row r="471" spans="48:62" s="911" customFormat="1" hidden="1" outlineLevel="1">
      <c r="AV471" s="546"/>
      <c r="AW471" s="24" t="str">
        <f>Product_02</f>
        <v>Workstations</v>
      </c>
      <c r="AX471" s="216">
        <f t="shared" ref="AX471:AY479" si="29">AX445-AX458</f>
        <v>41376.639855146961</v>
      </c>
      <c r="AY471" s="216">
        <f t="shared" si="29"/>
        <v>50490.253219151637</v>
      </c>
      <c r="AZ471" s="547"/>
      <c r="BA471" s="547"/>
      <c r="BB471" s="547"/>
      <c r="BC471" s="547"/>
      <c r="BD471" s="547"/>
      <c r="BE471" s="547"/>
      <c r="BF471" s="547"/>
      <c r="BG471" s="547"/>
      <c r="BH471" s="547"/>
      <c r="BI471" s="547"/>
      <c r="BJ471" s="548"/>
    </row>
    <row r="472" spans="48:62" s="911" customFormat="1" hidden="1" outlineLevel="1">
      <c r="AV472" s="546"/>
      <c r="AW472" s="24" t="str">
        <f>Product_03</f>
        <v>Notebooks</v>
      </c>
      <c r="AX472" s="216">
        <f t="shared" si="29"/>
        <v>47329.575978512279</v>
      </c>
      <c r="AY472" s="216">
        <f t="shared" si="29"/>
        <v>70504.137592134386</v>
      </c>
      <c r="AZ472" s="547"/>
      <c r="BA472" s="547"/>
      <c r="BB472" s="547"/>
      <c r="BC472" s="547"/>
      <c r="BD472" s="547"/>
      <c r="BE472" s="547"/>
      <c r="BF472" s="547"/>
      <c r="BG472" s="547"/>
      <c r="BH472" s="547"/>
      <c r="BI472" s="547"/>
      <c r="BJ472" s="548"/>
    </row>
    <row r="473" spans="48:62" s="911" customFormat="1" hidden="1" outlineLevel="1">
      <c r="AV473" s="546"/>
      <c r="AW473" s="24" t="str">
        <f>Product_04</f>
        <v>Software Products</v>
      </c>
      <c r="AX473" s="216">
        <f t="shared" si="29"/>
        <v>11229.26330639053</v>
      </c>
      <c r="AY473" s="216">
        <f t="shared" si="29"/>
        <v>14411.718322517598</v>
      </c>
      <c r="AZ473" s="547"/>
      <c r="BA473" s="547"/>
      <c r="BB473" s="547"/>
      <c r="BC473" s="547"/>
      <c r="BD473" s="547"/>
      <c r="BE473" s="547"/>
      <c r="BF473" s="547"/>
      <c r="BG473" s="547"/>
      <c r="BH473" s="547"/>
      <c r="BI473" s="547"/>
      <c r="BJ473" s="548"/>
    </row>
    <row r="474" spans="48:62" s="911" customFormat="1" hidden="1" outlineLevel="1">
      <c r="AV474" s="546"/>
      <c r="AW474" s="24" t="str">
        <f>Product_05</f>
        <v>Net work infrastructure solutions</v>
      </c>
      <c r="AX474" s="216">
        <f t="shared" si="29"/>
        <v>29969.003159482352</v>
      </c>
      <c r="AY474" s="216">
        <f t="shared" si="29"/>
        <v>44954.681232471703</v>
      </c>
      <c r="AZ474" s="547"/>
      <c r="BA474" s="547"/>
      <c r="BB474" s="547"/>
      <c r="BC474" s="547"/>
      <c r="BD474" s="547"/>
      <c r="BE474" s="547"/>
      <c r="BF474" s="547"/>
      <c r="BG474" s="547"/>
      <c r="BH474" s="547"/>
      <c r="BI474" s="547"/>
      <c r="BJ474" s="548"/>
    </row>
    <row r="475" spans="48:62" s="911" customFormat="1" hidden="1" outlineLevel="1">
      <c r="AV475" s="546"/>
      <c r="AW475" s="24" t="str">
        <f>Product_06</f>
        <v>Repair Services</v>
      </c>
      <c r="AX475" s="216">
        <f t="shared" si="29"/>
        <v>25058.984689969584</v>
      </c>
      <c r="AY475" s="216">
        <f t="shared" si="29"/>
        <v>15180.172909847286</v>
      </c>
      <c r="AZ475" s="547"/>
      <c r="BA475" s="547"/>
      <c r="BB475" s="547"/>
      <c r="BC475" s="547"/>
      <c r="BD475" s="547"/>
      <c r="BE475" s="547"/>
      <c r="BF475" s="547"/>
      <c r="BG475" s="547"/>
      <c r="BH475" s="547"/>
      <c r="BI475" s="547"/>
      <c r="BJ475" s="548"/>
    </row>
    <row r="476" spans="48:62" s="911" customFormat="1" hidden="1" outlineLevel="1">
      <c r="AV476" s="546"/>
      <c r="AW476" s="24" t="str">
        <f>Product_07</f>
        <v>Integration Services</v>
      </c>
      <c r="AX476" s="216">
        <f t="shared" si="29"/>
        <v>152676.01263792941</v>
      </c>
      <c r="AY476" s="216">
        <f t="shared" si="29"/>
        <v>222582.35146593218</v>
      </c>
      <c r="AZ476" s="547"/>
      <c r="BA476" s="547"/>
      <c r="BB476" s="547"/>
      <c r="BC476" s="547"/>
      <c r="BD476" s="547"/>
      <c r="BE476" s="547"/>
      <c r="BF476" s="547"/>
      <c r="BG476" s="547"/>
      <c r="BH476" s="547"/>
      <c r="BI476" s="547"/>
      <c r="BJ476" s="548"/>
    </row>
    <row r="477" spans="48:62" s="911" customFormat="1" hidden="1" outlineLevel="1">
      <c r="AV477" s="546"/>
      <c r="AW477" s="24" t="str">
        <f>Product_08</f>
        <v>Consulting Services</v>
      </c>
      <c r="AX477" s="216">
        <f t="shared" si="29"/>
        <v>160880.87387959578</v>
      </c>
      <c r="AY477" s="216">
        <f t="shared" si="29"/>
        <v>237243.82937446731</v>
      </c>
      <c r="AZ477" s="547"/>
      <c r="BA477" s="547"/>
      <c r="BB477" s="547"/>
      <c r="BC477" s="547"/>
      <c r="BD477" s="547"/>
      <c r="BE477" s="547"/>
      <c r="BF477" s="547"/>
      <c r="BG477" s="547"/>
      <c r="BH477" s="547"/>
      <c r="BI477" s="547"/>
      <c r="BJ477" s="548"/>
    </row>
    <row r="478" spans="48:62" s="911" customFormat="1" hidden="1" outlineLevel="1">
      <c r="AV478" s="546"/>
      <c r="AW478" s="24" t="str">
        <f>Product_09</f>
        <v>Spare Parts</v>
      </c>
      <c r="AX478" s="216">
        <f t="shared" si="29"/>
        <v>20520.459005858938</v>
      </c>
      <c r="AY478" s="216">
        <f t="shared" si="29"/>
        <v>25195.738939504459</v>
      </c>
      <c r="AZ478" s="547"/>
      <c r="BA478" s="547"/>
      <c r="BB478" s="547"/>
      <c r="BC478" s="547"/>
      <c r="BD478" s="547"/>
      <c r="BE478" s="547"/>
      <c r="BF478" s="547"/>
      <c r="BG478" s="547"/>
      <c r="BH478" s="547"/>
      <c r="BI478" s="547"/>
      <c r="BJ478" s="548"/>
    </row>
    <row r="479" spans="48:62" s="911" customFormat="1" hidden="1" outlineLevel="1">
      <c r="AV479" s="546"/>
      <c r="AW479" s="24" t="str">
        <f>Product_10</f>
        <v>License Fees</v>
      </c>
      <c r="AX479" s="216">
        <f t="shared" si="29"/>
        <v>98409.637928925091</v>
      </c>
      <c r="AY479" s="216">
        <f t="shared" si="29"/>
        <v>392807.66157317389</v>
      </c>
      <c r="AZ479" s="547"/>
      <c r="BA479" s="547"/>
      <c r="BB479" s="547"/>
      <c r="BC479" s="547"/>
      <c r="BD479" s="547"/>
      <c r="BE479" s="547"/>
      <c r="BF479" s="547"/>
      <c r="BG479" s="547"/>
      <c r="BH479" s="547"/>
      <c r="BI479" s="547"/>
      <c r="BJ479" s="548"/>
    </row>
    <row r="480" spans="48:62" s="911" customFormat="1" hidden="1" outlineLevel="1">
      <c r="AV480" s="546"/>
      <c r="AW480" s="922" t="s">
        <v>858</v>
      </c>
      <c r="AX480" s="987">
        <f>SUM(AX470:AX479)</f>
        <v>722707.28646524658</v>
      </c>
      <c r="AY480" s="987">
        <f t="shared" ref="AY480" si="30">SUM(AY470:AY479)</f>
        <v>1238590.1670538848</v>
      </c>
      <c r="AZ480" s="547"/>
      <c r="BA480" s="547"/>
      <c r="BB480" s="547"/>
      <c r="BC480" s="547"/>
      <c r="BD480" s="547"/>
      <c r="BE480" s="547"/>
      <c r="BF480" s="547"/>
      <c r="BG480" s="547"/>
      <c r="BH480" s="547"/>
      <c r="BI480" s="547"/>
      <c r="BJ480" s="548"/>
    </row>
    <row r="481" spans="41:62" ht="13.5" hidden="1" outlineLevel="1" thickBot="1">
      <c r="AO481" s="830"/>
      <c r="AT481" s="911"/>
      <c r="AV481" s="218"/>
      <c r="AW481" s="204"/>
      <c r="AX481" s="204"/>
      <c r="AY481" s="204"/>
      <c r="AZ481" s="204"/>
      <c r="BA481" s="204"/>
      <c r="BB481" s="204"/>
      <c r="BC481" s="204"/>
      <c r="BD481" s="204"/>
      <c r="BE481" s="204"/>
      <c r="BF481" s="204"/>
      <c r="BG481" s="204"/>
      <c r="BH481" s="204"/>
      <c r="BI481" s="204"/>
      <c r="BJ481" s="219"/>
    </row>
    <row r="482" spans="41:62" hidden="1" outlineLevel="1">
      <c r="AT482" s="911"/>
    </row>
    <row r="483" spans="41:62" collapsed="1"/>
  </sheetData>
  <sheetProtection password="F66A" sheet="1"/>
  <mergeCells count="29">
    <mergeCell ref="P50:S50"/>
    <mergeCell ref="AI46:AL46"/>
    <mergeCell ref="AF4:AH4"/>
    <mergeCell ref="AI37:AL37"/>
    <mergeCell ref="P43:S43"/>
    <mergeCell ref="P44:S44"/>
    <mergeCell ref="P45:S45"/>
    <mergeCell ref="P46:S46"/>
    <mergeCell ref="P39:S39"/>
    <mergeCell ref="P40:S40"/>
    <mergeCell ref="P41:S41"/>
    <mergeCell ref="P42:S42"/>
    <mergeCell ref="AI45:AL45"/>
    <mergeCell ref="P51:S51"/>
    <mergeCell ref="P47:S47"/>
    <mergeCell ref="AI36:AL36"/>
    <mergeCell ref="AI38:AL38"/>
    <mergeCell ref="AI43:AL43"/>
    <mergeCell ref="AI47:AL47"/>
    <mergeCell ref="AI44:AL44"/>
    <mergeCell ref="AI48:AL48"/>
    <mergeCell ref="AI49:AL49"/>
    <mergeCell ref="AI50:AL50"/>
    <mergeCell ref="AI51:AL51"/>
    <mergeCell ref="P37:S37"/>
    <mergeCell ref="P36:S36"/>
    <mergeCell ref="P38:S38"/>
    <mergeCell ref="P48:S48"/>
    <mergeCell ref="P49:S49"/>
  </mergeCells>
  <conditionalFormatting sqref="J232">
    <cfRule type="iconSet" priority="110">
      <iconSet iconSet="3Arrows">
        <cfvo type="percent" val="0"/>
        <cfvo type="num" val="0"/>
        <cfvo type="num" val="1"/>
      </iconSet>
    </cfRule>
  </conditionalFormatting>
  <conditionalFormatting sqref="P63 U63">
    <cfRule type="expression" dxfId="481" priority="96">
      <formula>$J$63=1</formula>
    </cfRule>
  </conditionalFormatting>
  <conditionalFormatting sqref="L232">
    <cfRule type="iconSet" priority="87">
      <iconSet iconSet="3Arrows">
        <cfvo type="percent" val="0"/>
        <cfvo type="num" val="0"/>
        <cfvo type="num" val="1"/>
      </iconSet>
    </cfRule>
  </conditionalFormatting>
  <conditionalFormatting sqref="P36:S51">
    <cfRule type="dataBar" priority="82">
      <dataBar showValue="0">
        <cfvo type="min"/>
        <cfvo type="max"/>
        <color theme="3" tint="0.79998168889431442"/>
      </dataBar>
      <extLst>
        <ext xmlns:x14="http://schemas.microsoft.com/office/spreadsheetml/2009/9/main" uri="{B025F937-C7B1-47D3-B67F-A62EFF666E3E}">
          <x14:id>{8E281947-B518-4F80-9C96-2058B290B8DE}</x14:id>
        </ext>
      </extLst>
    </cfRule>
  </conditionalFormatting>
  <conditionalFormatting sqref="J27">
    <cfRule type="cellIs" dxfId="480" priority="45" stopIfTrue="1" operator="equal">
      <formula>0</formula>
    </cfRule>
  </conditionalFormatting>
  <conditionalFormatting sqref="G4">
    <cfRule type="cellIs" dxfId="479" priority="44" operator="notEqual">
      <formula>0</formula>
    </cfRule>
  </conditionalFormatting>
  <conditionalFormatting sqref="H4">
    <cfRule type="expression" dxfId="478" priority="43">
      <formula>G4&lt;&gt;0</formula>
    </cfRule>
  </conditionalFormatting>
  <conditionalFormatting sqref="I78">
    <cfRule type="cellIs" dxfId="477" priority="42" operator="notEqual">
      <formula>0</formula>
    </cfRule>
  </conditionalFormatting>
  <conditionalFormatting sqref="J78">
    <cfRule type="expression" dxfId="476" priority="41">
      <formula>I78&lt;&gt;0</formula>
    </cfRule>
  </conditionalFormatting>
  <conditionalFormatting sqref="AI36:AL51">
    <cfRule type="dataBar" priority="598">
      <dataBar showValue="0">
        <cfvo type="min"/>
        <cfvo type="max"/>
        <color theme="3" tint="0.79998168889431442"/>
      </dataBar>
      <extLst>
        <ext xmlns:x14="http://schemas.microsoft.com/office/spreadsheetml/2009/9/main" uri="{B025F937-C7B1-47D3-B67F-A62EFF666E3E}">
          <x14:id>{4586AB92-A368-4B69-81F3-FA4D875D8A89}</x14:id>
        </ext>
      </extLst>
    </cfRule>
  </conditionalFormatting>
  <conditionalFormatting sqref="J54">
    <cfRule type="cellIs" dxfId="475" priority="15" operator="notEqual">
      <formula>0</formula>
    </cfRule>
  </conditionalFormatting>
  <conditionalFormatting sqref="K54">
    <cfRule type="expression" dxfId="474" priority="14">
      <formula>J54&lt;&gt;0</formula>
    </cfRule>
  </conditionalFormatting>
  <conditionalFormatting sqref="L54">
    <cfRule type="expression" dxfId="473" priority="13">
      <formula>J54&lt;&gt;0</formula>
    </cfRule>
  </conditionalFormatting>
  <conditionalFormatting sqref="I289">
    <cfRule type="cellIs" dxfId="472" priority="12" operator="notEqual">
      <formula>0</formula>
    </cfRule>
  </conditionalFormatting>
  <conditionalFormatting sqref="J289">
    <cfRule type="expression" dxfId="471" priority="11">
      <formula>I289&lt;&gt;0</formula>
    </cfRule>
  </conditionalFormatting>
  <conditionalFormatting sqref="J337">
    <cfRule type="cellIs" dxfId="470" priority="10" operator="notEqual">
      <formula>0</formula>
    </cfRule>
  </conditionalFormatting>
  <conditionalFormatting sqref="K337">
    <cfRule type="expression" dxfId="469" priority="9">
      <formula>J337&lt;&gt;0</formula>
    </cfRule>
  </conditionalFormatting>
  <conditionalFormatting sqref="L337">
    <cfRule type="cellIs" dxfId="468" priority="8" operator="notEqual">
      <formula>0</formula>
    </cfRule>
  </conditionalFormatting>
  <conditionalFormatting sqref="M337">
    <cfRule type="expression" dxfId="467" priority="7">
      <formula>L337&lt;&gt;0</formula>
    </cfRule>
  </conditionalFormatting>
  <hyperlinks>
    <hyperlink ref="J4" location="Fehlerkontrolle" display="Go to error checks"/>
    <hyperlink ref="J3" location="Index!A1" display="Go to table of contents"/>
  </hyperlinks>
  <pageMargins left="0.39370078740157483" right="0.39370078740157483" top="0.39370078740157483" bottom="0.59055118110236227" header="0.31496062992125984" footer="0.31496062992125984"/>
  <pageSetup paperSize="9" scale="59" fitToHeight="7" orientation="landscape" r:id="rId1"/>
  <headerFooter>
    <oddFooter>&amp;Lwww.excel-financial-model.com&amp;C&amp;A&amp;Rpage &amp;P of &amp;N</oddFooter>
  </headerFooter>
  <rowBreaks count="9" manualBreakCount="9">
    <brk id="56" min="1" max="40" man="1"/>
    <brk id="79" min="1" max="40" man="1"/>
    <brk id="121" min="1" max="40" man="1"/>
    <brk id="161" min="1" max="40" man="1"/>
    <brk id="201" min="1" max="40" man="1"/>
    <brk id="247" min="1" max="40" man="1"/>
    <brk id="290" min="1" max="40" man="1"/>
    <brk id="314" min="1" max="40" man="1"/>
    <brk id="360" min="1" max="40" man="1"/>
  </rowBreaks>
  <ignoredErrors>
    <ignoredError sqref="L75 L73 L64"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8E281947-B518-4F80-9C96-2058B290B8DE}">
            <x14:dataBar minLength="0" maxLength="100" gradient="0">
              <x14:cfvo type="autoMin"/>
              <x14:cfvo type="autoMax"/>
              <x14:negativeFillColor rgb="FFFF0000"/>
              <x14:axisColor rgb="FF000000"/>
            </x14:dataBar>
          </x14:cfRule>
          <xm:sqref>P36:S51</xm:sqref>
        </x14:conditionalFormatting>
        <x14:conditionalFormatting xmlns:xm="http://schemas.microsoft.com/office/excel/2006/main">
          <x14:cfRule type="dataBar" id="{4586AB92-A368-4B69-81F3-FA4D875D8A89}">
            <x14:dataBar minLength="0" maxLength="100" gradient="0">
              <x14:cfvo type="autoMin"/>
              <x14:cfvo type="autoMax"/>
              <x14:negativeFillColor rgb="FFFF0000"/>
              <x14:axisColor rgb="FF000000"/>
            </x14:dataBar>
          </x14:cfRule>
          <xm:sqref>AI36:AL51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Uebersicht02">
    <tabColor rgb="FFFF0000"/>
  </sheetPr>
  <dimension ref="A1:NE55"/>
  <sheetViews>
    <sheetView showGridLines="0" zoomScale="85" zoomScaleNormal="85" zoomScaleSheetLayoutView="85" workbookViewId="0"/>
  </sheetViews>
  <sheetFormatPr baseColWidth="10" defaultColWidth="0" defaultRowHeight="12.75" outlineLevelRow="1" outlineLevelCol="1"/>
  <cols>
    <col min="1" max="2" width="4.140625" style="203" customWidth="1"/>
    <col min="3" max="3" width="33" style="203" customWidth="1"/>
    <col min="4" max="4" width="11" style="203" customWidth="1"/>
    <col min="5" max="5" width="3.42578125" style="203" customWidth="1"/>
    <col min="6" max="7" width="2" style="203" customWidth="1"/>
    <col min="8" max="8" width="4.28515625" style="203" customWidth="1"/>
    <col min="9" max="9" width="10.85546875" style="203" customWidth="1"/>
    <col min="10" max="21" width="13.7109375" style="203" customWidth="1" outlineLevel="1"/>
    <col min="22" max="22" width="17.28515625" style="203" customWidth="1"/>
    <col min="23" max="26" width="13.7109375" style="203" customWidth="1" outlineLevel="1"/>
    <col min="27" max="27" width="17.28515625" style="203" customWidth="1"/>
    <col min="28" max="65" width="11.42578125" style="203" hidden="1" customWidth="1"/>
    <col min="66" max="369" width="0" style="203" hidden="1" customWidth="1"/>
    <col min="370" max="16384" width="11.42578125" style="203" hidden="1"/>
  </cols>
  <sheetData>
    <row r="1" spans="1:28" ht="20.25">
      <c r="A1" s="41" t="str">
        <f>CHOOSE(language,"Profit and Loss Statement","Income Statement")</f>
        <v>Income Statement</v>
      </c>
      <c r="B1" s="41"/>
      <c r="C1" s="41"/>
      <c r="D1" s="41"/>
      <c r="E1" s="356"/>
      <c r="F1" s="41"/>
      <c r="G1" s="41"/>
      <c r="H1" s="41"/>
      <c r="I1" s="41"/>
      <c r="J1" s="41"/>
      <c r="K1" s="41"/>
      <c r="L1" s="41"/>
      <c r="M1" s="41"/>
      <c r="N1" s="41"/>
      <c r="O1" s="41"/>
      <c r="P1" s="41"/>
      <c r="Q1" s="41"/>
      <c r="R1" s="41"/>
      <c r="S1" s="41"/>
      <c r="T1" s="41"/>
      <c r="U1" s="41"/>
      <c r="V1" s="41"/>
      <c r="W1" s="41"/>
      <c r="X1" s="41"/>
      <c r="Y1" s="41"/>
      <c r="Z1" s="41"/>
      <c r="AA1" s="41"/>
    </row>
    <row r="2" spans="1:28" ht="15">
      <c r="A2" s="1021"/>
      <c r="B2" s="186"/>
      <c r="C2" s="186" t="str">
        <f>Timing!C2</f>
        <v>Model: 5 Year Forecast</v>
      </c>
      <c r="D2" s="186"/>
      <c r="E2" s="646" t="s">
        <v>148</v>
      </c>
      <c r="F2" s="185"/>
      <c r="G2" s="185"/>
      <c r="H2" s="253"/>
      <c r="I2" s="253"/>
      <c r="J2" s="253"/>
      <c r="K2" s="253"/>
      <c r="L2" s="253"/>
      <c r="M2" s="253"/>
    </row>
    <row r="3" spans="1:28" ht="20.25">
      <c r="A3" s="255"/>
      <c r="B3" s="255"/>
      <c r="C3" s="186" t="str">
        <f>Timing!C3</f>
        <v>Model Integrity:</v>
      </c>
      <c r="D3" s="643">
        <f ca="1">Timing!D3</f>
        <v>0</v>
      </c>
      <c r="E3" s="646" t="s">
        <v>149</v>
      </c>
      <c r="F3" s="185"/>
      <c r="G3" s="256"/>
      <c r="H3" s="256"/>
      <c r="I3" s="188"/>
      <c r="J3" s="263"/>
      <c r="K3" s="379"/>
      <c r="L3" s="258"/>
      <c r="M3" s="387"/>
      <c r="N3" s="387"/>
      <c r="O3" s="387"/>
      <c r="P3" s="387"/>
      <c r="Q3" s="387"/>
      <c r="R3" s="387"/>
      <c r="S3" s="387"/>
      <c r="T3" s="67"/>
      <c r="V3" s="920"/>
      <c r="X3" s="67"/>
      <c r="Z3" s="67"/>
      <c r="AB3" s="67"/>
    </row>
    <row r="4" spans="1:28" ht="24" thickBot="1">
      <c r="A4" s="149"/>
      <c r="B4" s="149"/>
      <c r="C4" s="38"/>
      <c r="D4" s="148"/>
      <c r="E4" s="38"/>
      <c r="F4" s="38"/>
      <c r="G4" s="38"/>
      <c r="H4" s="38"/>
      <c r="I4" s="38"/>
      <c r="J4" s="38"/>
      <c r="K4" s="38"/>
      <c r="L4" s="38"/>
      <c r="M4" s="38"/>
      <c r="N4" s="38"/>
      <c r="O4" s="38"/>
      <c r="P4" s="38"/>
      <c r="Q4" s="38"/>
      <c r="R4" s="38"/>
      <c r="S4" s="38"/>
      <c r="T4" s="38"/>
      <c r="U4" s="38"/>
      <c r="V4" s="38"/>
      <c r="W4" s="38"/>
      <c r="X4" s="38"/>
      <c r="Y4" s="38"/>
      <c r="Z4" s="38"/>
      <c r="AA4" s="38"/>
    </row>
    <row r="5" spans="1:28">
      <c r="A5" s="831"/>
      <c r="B5" s="126"/>
      <c r="D5" s="120"/>
      <c r="E5" s="40"/>
      <c r="F5" s="40"/>
      <c r="G5" s="40"/>
      <c r="H5" s="40"/>
      <c r="I5" s="40"/>
      <c r="J5" s="1139" t="s">
        <v>949</v>
      </c>
      <c r="K5" s="1139"/>
      <c r="L5" s="1139"/>
      <c r="M5" s="1139"/>
      <c r="N5" s="1139"/>
      <c r="O5" s="1139"/>
      <c r="P5" s="1139"/>
      <c r="Q5" s="1139"/>
      <c r="R5" s="1139"/>
      <c r="S5" s="1139"/>
      <c r="T5" s="1139"/>
      <c r="U5" s="1139"/>
      <c r="V5" s="172" t="s">
        <v>949</v>
      </c>
      <c r="W5" s="1139" t="s">
        <v>950</v>
      </c>
      <c r="X5" s="1139"/>
      <c r="Y5" s="1139"/>
      <c r="Z5" s="1139"/>
      <c r="AA5" s="172" t="s">
        <v>950</v>
      </c>
    </row>
    <row r="6" spans="1:28" ht="24" thickBot="1">
      <c r="A6" s="149"/>
      <c r="B6" s="149"/>
      <c r="C6" s="38" t="str">
        <f>CHOOSE(language,"Profit and Loss Statement","Income Statement")</f>
        <v>Income Statement</v>
      </c>
      <c r="D6" s="38"/>
      <c r="E6" s="38"/>
      <c r="F6" s="38"/>
      <c r="G6" s="38"/>
      <c r="H6" s="38"/>
      <c r="I6" s="38"/>
      <c r="J6" s="173"/>
      <c r="K6" s="156">
        <v>1</v>
      </c>
      <c r="L6" s="174"/>
      <c r="M6" s="173"/>
      <c r="N6" s="156">
        <v>2</v>
      </c>
      <c r="O6" s="174"/>
      <c r="P6" s="173"/>
      <c r="Q6" s="156">
        <v>3</v>
      </c>
      <c r="R6" s="174"/>
      <c r="S6" s="173"/>
      <c r="T6" s="156">
        <v>4</v>
      </c>
      <c r="U6" s="174"/>
      <c r="V6" s="175" t="s">
        <v>46</v>
      </c>
      <c r="W6" s="155">
        <v>1</v>
      </c>
      <c r="X6" s="155">
        <v>2</v>
      </c>
      <c r="Y6" s="155">
        <v>3</v>
      </c>
      <c r="Z6" s="155">
        <v>4</v>
      </c>
      <c r="AA6" s="175" t="s">
        <v>46</v>
      </c>
    </row>
    <row r="7" spans="1:28">
      <c r="A7" s="831"/>
      <c r="B7" s="126"/>
      <c r="C7" s="195" t="str">
        <f>"   (all figures in " &amp;Currency_Label &amp;")"</f>
        <v xml:space="preserve">   (all figures in USD)</v>
      </c>
      <c r="D7" s="120"/>
      <c r="E7" s="40"/>
      <c r="F7" s="40"/>
      <c r="G7" s="68"/>
      <c r="H7" s="40"/>
      <c r="I7" s="154" t="s">
        <v>657</v>
      </c>
      <c r="J7" s="843">
        <v>43435</v>
      </c>
      <c r="K7" s="843">
        <v>43466</v>
      </c>
      <c r="L7" s="843">
        <v>43497</v>
      </c>
      <c r="M7" s="843">
        <v>43525</v>
      </c>
      <c r="N7" s="843">
        <v>43556</v>
      </c>
      <c r="O7" s="843">
        <v>43586</v>
      </c>
      <c r="P7" s="843">
        <v>43617</v>
      </c>
      <c r="Q7" s="843">
        <v>43647</v>
      </c>
      <c r="R7" s="843">
        <v>43678</v>
      </c>
      <c r="S7" s="843">
        <v>43709</v>
      </c>
      <c r="T7" s="843">
        <v>43739</v>
      </c>
      <c r="U7" s="843">
        <v>43770</v>
      </c>
      <c r="V7" s="844">
        <v>43525</v>
      </c>
      <c r="W7" s="843">
        <v>43800</v>
      </c>
      <c r="X7" s="843">
        <v>43891</v>
      </c>
      <c r="Y7" s="843">
        <v>43983</v>
      </c>
      <c r="Z7" s="843">
        <v>44075</v>
      </c>
      <c r="AA7" s="844">
        <v>43800</v>
      </c>
    </row>
    <row r="8" spans="1:28">
      <c r="A8" s="831"/>
      <c r="B8" s="126"/>
      <c r="D8" s="120"/>
      <c r="E8" s="40"/>
      <c r="F8" s="40"/>
      <c r="G8" s="68"/>
      <c r="H8" s="40"/>
      <c r="I8" s="154" t="s">
        <v>658</v>
      </c>
      <c r="J8" s="843">
        <v>43465</v>
      </c>
      <c r="K8" s="843">
        <v>43496</v>
      </c>
      <c r="L8" s="843">
        <v>43524</v>
      </c>
      <c r="M8" s="843">
        <v>43555</v>
      </c>
      <c r="N8" s="843">
        <v>43585</v>
      </c>
      <c r="O8" s="843">
        <v>43616</v>
      </c>
      <c r="P8" s="843">
        <v>43646</v>
      </c>
      <c r="Q8" s="843">
        <v>43677</v>
      </c>
      <c r="R8" s="843">
        <v>43708</v>
      </c>
      <c r="S8" s="843">
        <v>43738</v>
      </c>
      <c r="T8" s="843">
        <v>43769</v>
      </c>
      <c r="U8" s="843">
        <v>43799</v>
      </c>
      <c r="V8" s="844">
        <v>43799</v>
      </c>
      <c r="W8" s="843">
        <v>43890</v>
      </c>
      <c r="X8" s="843">
        <v>43982</v>
      </c>
      <c r="Y8" s="843">
        <v>44074</v>
      </c>
      <c r="Z8" s="843">
        <v>44165</v>
      </c>
      <c r="AA8" s="844">
        <v>44165</v>
      </c>
    </row>
    <row r="9" spans="1:28">
      <c r="A9" s="831"/>
      <c r="B9" s="126"/>
      <c r="D9" s="120"/>
      <c r="E9" s="40"/>
      <c r="F9" s="40"/>
      <c r="G9" s="40"/>
      <c r="H9" s="40"/>
      <c r="L9" s="157"/>
      <c r="M9" s="158"/>
      <c r="O9" s="157"/>
      <c r="P9" s="158"/>
      <c r="R9" s="157"/>
      <c r="S9" s="158"/>
      <c r="V9" s="152"/>
      <c r="W9" s="157"/>
      <c r="X9" s="167"/>
      <c r="Y9" s="167"/>
      <c r="Z9" s="158"/>
      <c r="AA9" s="152"/>
    </row>
    <row r="10" spans="1:28" ht="16.5" customHeight="1" outlineLevel="1">
      <c r="A10" s="831"/>
      <c r="B10" s="126"/>
      <c r="C10" s="3" t="str">
        <f>IF(IFS!C11="","",IFS!C11)</f>
        <v>Revenue</v>
      </c>
      <c r="F10" s="830"/>
      <c r="G10" s="830"/>
      <c r="H10" s="830"/>
      <c r="I10" s="830"/>
      <c r="J10" s="142"/>
      <c r="K10" s="142"/>
      <c r="L10" s="159"/>
      <c r="M10" s="160"/>
      <c r="N10" s="142"/>
      <c r="O10" s="159"/>
      <c r="P10" s="160"/>
      <c r="Q10" s="142"/>
      <c r="R10" s="159"/>
      <c r="S10" s="160"/>
      <c r="T10" s="142"/>
      <c r="U10" s="142"/>
      <c r="V10" s="143"/>
      <c r="W10" s="165"/>
      <c r="X10" s="171"/>
      <c r="Y10" s="171"/>
      <c r="Z10" s="166"/>
      <c r="AA10" s="143"/>
    </row>
    <row r="11" spans="1:28" ht="16.5" customHeight="1" outlineLevel="1">
      <c r="A11" s="831"/>
      <c r="B11" s="126"/>
      <c r="C11" s="830" t="str">
        <f>IF(IFS!C12="","",IFS!C12)</f>
        <v xml:space="preserve">  -  Desktops</v>
      </c>
      <c r="J11" s="142">
        <f>SUMIF(Timing!$J$5:$AG$5,J$8,IFS!$J12:$AG12)</f>
        <v>0</v>
      </c>
      <c r="K11" s="142">
        <f>SUMIF(Timing!$J$5:$AG$5,K$8,IFS!$J12:$AG12)</f>
        <v>0</v>
      </c>
      <c r="L11" s="159">
        <f>SUMIF(Timing!$J$5:$AG$5,L$8,IFS!$J12:$AG12)</f>
        <v>0</v>
      </c>
      <c r="M11" s="160">
        <f>SUMIF(Timing!$J$5:$AG$5,M$8,IFS!$J12:$AG12)</f>
        <v>38500</v>
      </c>
      <c r="N11" s="142">
        <f>SUMIF(Timing!$J$5:$AG$5,N$8,IFS!$J12:$AG12)</f>
        <v>40700</v>
      </c>
      <c r="O11" s="159">
        <f>SUMIF(Timing!$J$5:$AG$5,O$8,IFS!$J12:$AG12)</f>
        <v>40700</v>
      </c>
      <c r="P11" s="160">
        <f>SUMIF(Timing!$J$5:$AG$5,P$8,IFS!$J12:$AG12)</f>
        <v>40700</v>
      </c>
      <c r="Q11" s="142">
        <f>SUMIF(Timing!$J$5:$AG$5,Q$8,IFS!$J12:$AG12)</f>
        <v>40700</v>
      </c>
      <c r="R11" s="159">
        <f>SUMIF(Timing!$J$5:$AG$5,R$8,IFS!$J12:$AG12)</f>
        <v>40700</v>
      </c>
      <c r="S11" s="160">
        <f>SUMIF(Timing!$J$5:$AG$5,S$8,IFS!$J12:$AG12)</f>
        <v>40700</v>
      </c>
      <c r="T11" s="142">
        <f>SUMIF(Timing!$J$5:$AG$5,T$8,IFS!$J12:$AG12)</f>
        <v>36300</v>
      </c>
      <c r="U11" s="142">
        <f>SUMIF(Timing!$J$5:$AG$5,U$8,IFS!$J12:$AG12)</f>
        <v>36300</v>
      </c>
      <c r="V11" s="143">
        <f t="shared" ref="V11" si="0">SUM(J11:U11)</f>
        <v>355300</v>
      </c>
      <c r="W11" s="165">
        <f>SUMPRODUCT((Timing!$J$29:$AG$29=1)*(Timing!$J$15:$AG$15=2)*(IFS!$J12:$AG12))</f>
        <v>108900</v>
      </c>
      <c r="X11" s="171">
        <f>SUMPRODUCT((Timing!$J$29:$AG$29=2)*(Timing!$J$15:$AG$15=2)*(IFS!$J12:$AG12))</f>
        <v>108900</v>
      </c>
      <c r="Y11" s="171">
        <f>SUMPRODUCT((Timing!$J$29:$AG$29=3)*(Timing!$J$15:$AG$15=2)*(IFS!$J12:$AG12))</f>
        <v>108900</v>
      </c>
      <c r="Z11" s="166">
        <f>SUMPRODUCT((Timing!$J$29:$AG$29=4)*(Timing!$J$15:$AG$15=2)*(IFS!$J12:$AG12))</f>
        <v>116600</v>
      </c>
      <c r="AA11" s="143">
        <f t="shared" ref="AA11" si="1">SUM(W11:Z11)</f>
        <v>443300</v>
      </c>
    </row>
    <row r="12" spans="1:28" s="830" customFormat="1" ht="16.5" customHeight="1" outlineLevel="1">
      <c r="A12" s="831"/>
      <c r="B12" s="831"/>
      <c r="C12" s="830" t="str">
        <f>IF(IFS!C13="","",IFS!C13)</f>
        <v xml:space="preserve">  -  Workstations</v>
      </c>
      <c r="J12" s="142">
        <f>SUMIF(Timing!$J$5:$AG$5,J$8,IFS!$J13:$AG13)</f>
        <v>0</v>
      </c>
      <c r="K12" s="142">
        <f>SUMIF(Timing!$J$5:$AG$5,K$8,IFS!$J13:$AG13)</f>
        <v>0</v>
      </c>
      <c r="L12" s="159">
        <f>SUMIF(Timing!$J$5:$AG$5,L$8,IFS!$J13:$AG13)</f>
        <v>0</v>
      </c>
      <c r="M12" s="160">
        <f>SUMIF(Timing!$J$5:$AG$5,M$8,IFS!$J13:$AG13)</f>
        <v>18400</v>
      </c>
      <c r="N12" s="142">
        <f>SUMIF(Timing!$J$5:$AG$5,N$8,IFS!$J13:$AG13)</f>
        <v>23000</v>
      </c>
      <c r="O12" s="159">
        <f>SUMIF(Timing!$J$5:$AG$5,O$8,IFS!$J13:$AG13)</f>
        <v>23000</v>
      </c>
      <c r="P12" s="160">
        <f>SUMIF(Timing!$J$5:$AG$5,P$8,IFS!$J13:$AG13)</f>
        <v>23000</v>
      </c>
      <c r="Q12" s="142">
        <f>SUMIF(Timing!$J$5:$AG$5,Q$8,IFS!$J13:$AG13)</f>
        <v>23000</v>
      </c>
      <c r="R12" s="159">
        <f>SUMIF(Timing!$J$5:$AG$5,R$8,IFS!$J13:$AG13)</f>
        <v>23000</v>
      </c>
      <c r="S12" s="160">
        <f>SUMIF(Timing!$J$5:$AG$5,S$8,IFS!$J13:$AG13)</f>
        <v>23000</v>
      </c>
      <c r="T12" s="142">
        <f>SUMIF(Timing!$J$5:$AG$5,T$8,IFS!$J13:$AG13)</f>
        <v>23000</v>
      </c>
      <c r="U12" s="142">
        <f>SUMIF(Timing!$J$5:$AG$5,U$8,IFS!$J13:$AG13)</f>
        <v>23000</v>
      </c>
      <c r="V12" s="143">
        <f t="shared" ref="V12:V20" si="2">SUM(J12:U12)</f>
        <v>202400</v>
      </c>
      <c r="W12" s="165">
        <f>SUMPRODUCT((Timing!$J$29:$AG$29=1)*(Timing!$J$15:$AG$15=2)*(IFS!$J13:$AG13))</f>
        <v>82800</v>
      </c>
      <c r="X12" s="171">
        <f>SUMPRODUCT((Timing!$J$29:$AG$29=2)*(Timing!$J$15:$AG$15=2)*(IFS!$J13:$AG13))</f>
        <v>82800</v>
      </c>
      <c r="Y12" s="171">
        <f>SUMPRODUCT((Timing!$J$29:$AG$29=3)*(Timing!$J$15:$AG$15=2)*(IFS!$J13:$AG13))</f>
        <v>82800</v>
      </c>
      <c r="Z12" s="166">
        <f>SUMPRODUCT((Timing!$J$29:$AG$29=4)*(Timing!$J$15:$AG$15=2)*(IFS!$J13:$AG13))</f>
        <v>78200</v>
      </c>
      <c r="AA12" s="143">
        <f t="shared" ref="AA12:AA20" si="3">SUM(W12:Z12)</f>
        <v>326600</v>
      </c>
    </row>
    <row r="13" spans="1:28" s="830" customFormat="1" ht="16.5" customHeight="1" outlineLevel="1">
      <c r="A13" s="831"/>
      <c r="B13" s="831"/>
      <c r="C13" s="830" t="str">
        <f>IF(IFS!C14="","",IFS!C14)</f>
        <v xml:space="preserve">  -  Notebooks</v>
      </c>
      <c r="J13" s="142">
        <f>SUMIF(Timing!$J$5:$AG$5,J$8,IFS!$J14:$AG14)</f>
        <v>0</v>
      </c>
      <c r="K13" s="142">
        <f>SUMIF(Timing!$J$5:$AG$5,K$8,IFS!$J14:$AG14)</f>
        <v>0</v>
      </c>
      <c r="L13" s="159">
        <f>SUMIF(Timing!$J$5:$AG$5,L$8,IFS!$J14:$AG14)</f>
        <v>0</v>
      </c>
      <c r="M13" s="160">
        <f>SUMIF(Timing!$J$5:$AG$5,M$8,IFS!$J14:$AG14)</f>
        <v>13400</v>
      </c>
      <c r="N13" s="142">
        <f>SUMIF(Timing!$J$5:$AG$5,N$8,IFS!$J14:$AG14)</f>
        <v>13400</v>
      </c>
      <c r="O13" s="159">
        <f>SUMIF(Timing!$J$5:$AG$5,O$8,IFS!$J14:$AG14)</f>
        <v>13400</v>
      </c>
      <c r="P13" s="160">
        <f>SUMIF(Timing!$J$5:$AG$5,P$8,IFS!$J14:$AG14)</f>
        <v>13400</v>
      </c>
      <c r="Q13" s="142">
        <f>SUMIF(Timing!$J$5:$AG$5,Q$8,IFS!$J14:$AG14)</f>
        <v>13400</v>
      </c>
      <c r="R13" s="159">
        <f>SUMIF(Timing!$J$5:$AG$5,R$8,IFS!$J14:$AG14)</f>
        <v>13400</v>
      </c>
      <c r="S13" s="160">
        <f>SUMIF(Timing!$J$5:$AG$5,S$8,IFS!$J14:$AG14)</f>
        <v>13400</v>
      </c>
      <c r="T13" s="142">
        <f>SUMIF(Timing!$J$5:$AG$5,T$8,IFS!$J14:$AG14)</f>
        <v>14740</v>
      </c>
      <c r="U13" s="142">
        <f>SUMIF(Timing!$J$5:$AG$5,U$8,IFS!$J14:$AG14)</f>
        <v>14740</v>
      </c>
      <c r="V13" s="143">
        <f t="shared" si="2"/>
        <v>123280</v>
      </c>
      <c r="W13" s="165">
        <f>SUMPRODUCT((Timing!$J$29:$AG$29=1)*(Timing!$J$15:$AG$15=2)*(IFS!$J14:$AG14))</f>
        <v>44220</v>
      </c>
      <c r="X13" s="171">
        <f>SUMPRODUCT((Timing!$J$29:$AG$29=2)*(Timing!$J$15:$AG$15=2)*(IFS!$J14:$AG14))</f>
        <v>44220</v>
      </c>
      <c r="Y13" s="171">
        <f>SUMPRODUCT((Timing!$J$29:$AG$29=3)*(Timing!$J$15:$AG$15=2)*(IFS!$J14:$AG14))</f>
        <v>45540</v>
      </c>
      <c r="Z13" s="166">
        <f>SUMPRODUCT((Timing!$J$29:$AG$29=4)*(Timing!$J$15:$AG$15=2)*(IFS!$J14:$AG14))</f>
        <v>46200</v>
      </c>
      <c r="AA13" s="143">
        <f t="shared" si="3"/>
        <v>180180</v>
      </c>
    </row>
    <row r="14" spans="1:28" s="830" customFormat="1" ht="16.5" customHeight="1" outlineLevel="1">
      <c r="A14" s="831"/>
      <c r="B14" s="831"/>
      <c r="C14" s="830" t="str">
        <f>IF(IFS!C15="","",IFS!C15)</f>
        <v xml:space="preserve">  -  Software Products</v>
      </c>
      <c r="J14" s="142">
        <f>SUMIF(Timing!$J$5:$AG$5,J$8,IFS!$J15:$AG15)</f>
        <v>0</v>
      </c>
      <c r="K14" s="142">
        <f>SUMIF(Timing!$J$5:$AG$5,K$8,IFS!$J15:$AG15)</f>
        <v>0</v>
      </c>
      <c r="L14" s="159">
        <f>SUMIF(Timing!$J$5:$AG$5,L$8,IFS!$J15:$AG15)</f>
        <v>0</v>
      </c>
      <c r="M14" s="160">
        <f>SUMIF(Timing!$J$5:$AG$5,M$8,IFS!$J15:$AG15)</f>
        <v>8250</v>
      </c>
      <c r="N14" s="142">
        <f>SUMIF(Timing!$J$5:$AG$5,N$8,IFS!$J15:$AG15)</f>
        <v>8550</v>
      </c>
      <c r="O14" s="159">
        <f>SUMIF(Timing!$J$5:$AG$5,O$8,IFS!$J15:$AG15)</f>
        <v>8550</v>
      </c>
      <c r="P14" s="160">
        <f>SUMIF(Timing!$J$5:$AG$5,P$8,IFS!$J15:$AG15)</f>
        <v>8550</v>
      </c>
      <c r="Q14" s="142">
        <f>SUMIF(Timing!$J$5:$AG$5,Q$8,IFS!$J15:$AG15)</f>
        <v>8550</v>
      </c>
      <c r="R14" s="159">
        <f>SUMIF(Timing!$J$5:$AG$5,R$8,IFS!$J15:$AG15)</f>
        <v>8550</v>
      </c>
      <c r="S14" s="160">
        <f>SUMIF(Timing!$J$5:$AG$5,S$8,IFS!$J15:$AG15)</f>
        <v>8550</v>
      </c>
      <c r="T14" s="142">
        <f>SUMIF(Timing!$J$5:$AG$5,T$8,IFS!$J15:$AG15)</f>
        <v>8250</v>
      </c>
      <c r="U14" s="142">
        <f>SUMIF(Timing!$J$5:$AG$5,U$8,IFS!$J15:$AG15)</f>
        <v>8250</v>
      </c>
      <c r="V14" s="143">
        <f t="shared" si="2"/>
        <v>76050</v>
      </c>
      <c r="W14" s="165">
        <f>SUMPRODUCT((Timing!$J$29:$AG$29=1)*(Timing!$J$15:$AG$15=2)*(IFS!$J15:$AG15))</f>
        <v>24750</v>
      </c>
      <c r="X14" s="171">
        <f>SUMPRODUCT((Timing!$J$29:$AG$29=2)*(Timing!$J$15:$AG$15=2)*(IFS!$J15:$AG15))</f>
        <v>24750</v>
      </c>
      <c r="Y14" s="171">
        <f>SUMPRODUCT((Timing!$J$29:$AG$29=3)*(Timing!$J$15:$AG$15=2)*(IFS!$J15:$AG15))</f>
        <v>24750</v>
      </c>
      <c r="Z14" s="166">
        <f>SUMPRODUCT((Timing!$J$29:$AG$29=4)*(Timing!$J$15:$AG$15=2)*(IFS!$J15:$AG15))</f>
        <v>25800</v>
      </c>
      <c r="AA14" s="143">
        <f t="shared" si="3"/>
        <v>100050</v>
      </c>
    </row>
    <row r="15" spans="1:28" s="830" customFormat="1" ht="16.5" customHeight="1" outlineLevel="1">
      <c r="A15" s="831"/>
      <c r="B15" s="831"/>
      <c r="C15" s="830" t="str">
        <f>IF(IFS!C16="","",IFS!C16)</f>
        <v xml:space="preserve">  -  Net work infrastructure solutions</v>
      </c>
      <c r="J15" s="142">
        <f>SUMIF(Timing!$J$5:$AG$5,J$8,IFS!$J16:$AG16)</f>
        <v>0</v>
      </c>
      <c r="K15" s="142">
        <f>SUMIF(Timing!$J$5:$AG$5,K$8,IFS!$J16:$AG16)</f>
        <v>0</v>
      </c>
      <c r="L15" s="159">
        <f>SUMIF(Timing!$J$5:$AG$5,L$8,IFS!$J16:$AG16)</f>
        <v>0</v>
      </c>
      <c r="M15" s="160">
        <f>SUMIF(Timing!$J$5:$AG$5,M$8,IFS!$J16:$AG16)</f>
        <v>4500</v>
      </c>
      <c r="N15" s="142">
        <f>SUMIF(Timing!$J$5:$AG$5,N$8,IFS!$J16:$AG16)</f>
        <v>4500</v>
      </c>
      <c r="O15" s="159">
        <f>SUMIF(Timing!$J$5:$AG$5,O$8,IFS!$J16:$AG16)</f>
        <v>4500</v>
      </c>
      <c r="P15" s="160">
        <f>SUMIF(Timing!$J$5:$AG$5,P$8,IFS!$J16:$AG16)</f>
        <v>4500</v>
      </c>
      <c r="Q15" s="142">
        <f>SUMIF(Timing!$J$5:$AG$5,Q$8,IFS!$J16:$AG16)</f>
        <v>4500</v>
      </c>
      <c r="R15" s="159">
        <f>SUMIF(Timing!$J$5:$AG$5,R$8,IFS!$J16:$AG16)</f>
        <v>4500</v>
      </c>
      <c r="S15" s="160">
        <f>SUMIF(Timing!$J$5:$AG$5,S$8,IFS!$J16:$AG16)</f>
        <v>4500</v>
      </c>
      <c r="T15" s="142">
        <f>SUMIF(Timing!$J$5:$AG$5,T$8,IFS!$J16:$AG16)</f>
        <v>4500</v>
      </c>
      <c r="U15" s="142">
        <f>SUMIF(Timing!$J$5:$AG$5,U$8,IFS!$J16:$AG16)</f>
        <v>5000</v>
      </c>
      <c r="V15" s="143">
        <f t="shared" si="2"/>
        <v>41000</v>
      </c>
      <c r="W15" s="165">
        <f>SUMPRODUCT((Timing!$J$29:$AG$29=1)*(Timing!$J$15:$AG$15=2)*(IFS!$J16:$AG16))</f>
        <v>15150.5</v>
      </c>
      <c r="X15" s="171">
        <f>SUMPRODUCT((Timing!$J$29:$AG$29=2)*(Timing!$J$15:$AG$15=2)*(IFS!$J16:$AG16))</f>
        <v>15609.575300500001</v>
      </c>
      <c r="Y15" s="171">
        <f>SUMPRODUCT((Timing!$J$29:$AG$29=3)*(Timing!$J$15:$AG$15=2)*(IFS!$J16:$AG16))</f>
        <v>16082.561041680452</v>
      </c>
      <c r="Z15" s="166">
        <f>SUMPRODUCT((Timing!$J$29:$AG$29=4)*(Timing!$J$15:$AG$15=2)*(IFS!$J16:$AG16))</f>
        <v>16569.87872380441</v>
      </c>
      <c r="AA15" s="143">
        <f t="shared" si="3"/>
        <v>63412.515065984866</v>
      </c>
    </row>
    <row r="16" spans="1:28" s="830" customFormat="1" ht="16.5" customHeight="1" outlineLevel="1">
      <c r="A16" s="831"/>
      <c r="B16" s="831"/>
      <c r="C16" s="830" t="str">
        <f>IF(IFS!C17="","",IFS!C17)</f>
        <v xml:space="preserve">  -  Repair Services</v>
      </c>
      <c r="J16" s="142">
        <f>SUMIF(Timing!$J$5:$AG$5,J$8,IFS!$J17:$AG17)</f>
        <v>0</v>
      </c>
      <c r="K16" s="142">
        <f>SUMIF(Timing!$J$5:$AG$5,K$8,IFS!$J17:$AG17)</f>
        <v>0</v>
      </c>
      <c r="L16" s="159">
        <f>SUMIF(Timing!$J$5:$AG$5,L$8,IFS!$J17:$AG17)</f>
        <v>0</v>
      </c>
      <c r="M16" s="160">
        <f>SUMIF(Timing!$J$5:$AG$5,M$8,IFS!$J17:$AG17)</f>
        <v>13992</v>
      </c>
      <c r="N16" s="142">
        <f>SUMIF(Timing!$J$5:$AG$5,N$8,IFS!$J17:$AG17)</f>
        <v>13992</v>
      </c>
      <c r="O16" s="159">
        <f>SUMIF(Timing!$J$5:$AG$5,O$8,IFS!$J17:$AG17)</f>
        <v>13992</v>
      </c>
      <c r="P16" s="160">
        <f>SUMIF(Timing!$J$5:$AG$5,P$8,IFS!$J17:$AG17)</f>
        <v>13992</v>
      </c>
      <c r="Q16" s="142">
        <f>SUMIF(Timing!$J$5:$AG$5,Q$8,IFS!$J17:$AG17)</f>
        <v>13992</v>
      </c>
      <c r="R16" s="159">
        <f>SUMIF(Timing!$J$5:$AG$5,R$8,IFS!$J17:$AG17)</f>
        <v>13992</v>
      </c>
      <c r="S16" s="160">
        <f>SUMIF(Timing!$J$5:$AG$5,S$8,IFS!$J17:$AG17)</f>
        <v>13992</v>
      </c>
      <c r="T16" s="142">
        <f>SUMIF(Timing!$J$5:$AG$5,T$8,IFS!$J17:$AG17)</f>
        <v>13992</v>
      </c>
      <c r="U16" s="142">
        <f>SUMIF(Timing!$J$5:$AG$5,U$8,IFS!$J17:$AG17)</f>
        <v>13992</v>
      </c>
      <c r="V16" s="143">
        <f t="shared" si="2"/>
        <v>125928</v>
      </c>
      <c r="W16" s="165">
        <f>SUMPRODUCT((Timing!$J$29:$AG$29=1)*(Timing!$J$15:$AG$15=2)*(IFS!$J17:$AG17))</f>
        <v>40704</v>
      </c>
      <c r="X16" s="171">
        <f>SUMPRODUCT((Timing!$J$29:$AG$29=2)*(Timing!$J$15:$AG$15=2)*(IFS!$J17:$AG17))</f>
        <v>38160</v>
      </c>
      <c r="Y16" s="171">
        <f>SUMPRODUCT((Timing!$J$29:$AG$29=3)*(Timing!$J$15:$AG$15=2)*(IFS!$J17:$AG17))</f>
        <v>38160</v>
      </c>
      <c r="Z16" s="166">
        <f>SUMPRODUCT((Timing!$J$29:$AG$29=4)*(Timing!$J$15:$AG$15=2)*(IFS!$J17:$AG17))</f>
        <v>38160</v>
      </c>
      <c r="AA16" s="143">
        <f t="shared" si="3"/>
        <v>155184</v>
      </c>
    </row>
    <row r="17" spans="1:27" s="830" customFormat="1" ht="16.5" customHeight="1" outlineLevel="1">
      <c r="A17" s="831"/>
      <c r="B17" s="831"/>
      <c r="C17" s="830" t="str">
        <f>IF(IFS!C18="","",IFS!C18)</f>
        <v xml:space="preserve">  -  Integration Services</v>
      </c>
      <c r="J17" s="142">
        <f>SUMIF(Timing!$J$5:$AG$5,J$8,IFS!$J18:$AG18)</f>
        <v>0</v>
      </c>
      <c r="K17" s="142">
        <f>SUMIF(Timing!$J$5:$AG$5,K$8,IFS!$J18:$AG18)</f>
        <v>0</v>
      </c>
      <c r="L17" s="159">
        <f>SUMIF(Timing!$J$5:$AG$5,L$8,IFS!$J18:$AG18)</f>
        <v>0</v>
      </c>
      <c r="M17" s="160">
        <f>SUMIF(Timing!$J$5:$AG$5,M$8,IFS!$J18:$AG18)</f>
        <v>18000</v>
      </c>
      <c r="N17" s="142">
        <f>SUMIF(Timing!$J$5:$AG$5,N$8,IFS!$J18:$AG18)</f>
        <v>18000</v>
      </c>
      <c r="O17" s="159">
        <f>SUMIF(Timing!$J$5:$AG$5,O$8,IFS!$J18:$AG18)</f>
        <v>18000</v>
      </c>
      <c r="P17" s="160">
        <f>SUMIF(Timing!$J$5:$AG$5,P$8,IFS!$J18:$AG18)</f>
        <v>18000</v>
      </c>
      <c r="Q17" s="142">
        <f>SUMIF(Timing!$J$5:$AG$5,Q$8,IFS!$J18:$AG18)</f>
        <v>18000</v>
      </c>
      <c r="R17" s="159">
        <f>SUMIF(Timing!$J$5:$AG$5,R$8,IFS!$J18:$AG18)</f>
        <v>18000</v>
      </c>
      <c r="S17" s="160">
        <f>SUMIF(Timing!$J$5:$AG$5,S$8,IFS!$J18:$AG18)</f>
        <v>18000</v>
      </c>
      <c r="T17" s="142">
        <f>SUMIF(Timing!$J$5:$AG$5,T$8,IFS!$J18:$AG18)</f>
        <v>18000</v>
      </c>
      <c r="U17" s="142">
        <f>SUMIF(Timing!$J$5:$AG$5,U$8,IFS!$J18:$AG18)</f>
        <v>20000</v>
      </c>
      <c r="V17" s="143">
        <f t="shared" si="2"/>
        <v>164000</v>
      </c>
      <c r="W17" s="165">
        <f>SUMPRODUCT((Timing!$J$29:$AG$29=1)*(Timing!$J$15:$AG$15=2)*(IFS!$J18:$AG18))</f>
        <v>60000</v>
      </c>
      <c r="X17" s="171">
        <f>SUMPRODUCT((Timing!$J$29:$AG$29=2)*(Timing!$J$15:$AG$15=2)*(IFS!$J18:$AG18))</f>
        <v>60000</v>
      </c>
      <c r="Y17" s="171">
        <f>SUMPRODUCT((Timing!$J$29:$AG$29=3)*(Timing!$J$15:$AG$15=2)*(IFS!$J18:$AG18))</f>
        <v>60000</v>
      </c>
      <c r="Z17" s="166">
        <f>SUMPRODUCT((Timing!$J$29:$AG$29=4)*(Timing!$J$15:$AG$15=2)*(IFS!$J18:$AG18))</f>
        <v>60000</v>
      </c>
      <c r="AA17" s="143">
        <f t="shared" si="3"/>
        <v>240000</v>
      </c>
    </row>
    <row r="18" spans="1:27" s="830" customFormat="1" ht="16.5" customHeight="1" outlineLevel="1">
      <c r="A18" s="831"/>
      <c r="B18" s="831"/>
      <c r="C18" s="830" t="str">
        <f>IF(IFS!C19="","",IFS!C19)</f>
        <v xml:space="preserve">  -  Consulting Services</v>
      </c>
      <c r="J18" s="142">
        <f>SUMIF(Timing!$J$5:$AG$5,J$8,IFS!$J19:$AG19)</f>
        <v>0</v>
      </c>
      <c r="K18" s="142">
        <f>SUMIF(Timing!$J$5:$AG$5,K$8,IFS!$J19:$AG19)</f>
        <v>0</v>
      </c>
      <c r="L18" s="159">
        <f>SUMIF(Timing!$J$5:$AG$5,L$8,IFS!$J19:$AG19)</f>
        <v>0</v>
      </c>
      <c r="M18" s="160">
        <f>SUMIF(Timing!$J$5:$AG$5,M$8,IFS!$J19:$AG19)</f>
        <v>18955</v>
      </c>
      <c r="N18" s="142">
        <f>SUMIF(Timing!$J$5:$AG$5,N$8,IFS!$J19:$AG19)</f>
        <v>19144.55</v>
      </c>
      <c r="O18" s="159">
        <f>SUMIF(Timing!$J$5:$AG$5,O$8,IFS!$J19:$AG19)</f>
        <v>19335.995500000001</v>
      </c>
      <c r="P18" s="160">
        <f>SUMIF(Timing!$J$5:$AG$5,P$8,IFS!$J19:$AG19)</f>
        <v>19529.355455000001</v>
      </c>
      <c r="Q18" s="142">
        <f>SUMIF(Timing!$J$5:$AG$5,Q$8,IFS!$J19:$AG19)</f>
        <v>19724.649009550001</v>
      </c>
      <c r="R18" s="159">
        <f>SUMIF(Timing!$J$5:$AG$5,R$8,IFS!$J19:$AG19)</f>
        <v>19921.895499645503</v>
      </c>
      <c r="S18" s="160">
        <f>SUMIF(Timing!$J$5:$AG$5,S$8,IFS!$J19:$AG19)</f>
        <v>20121.11445464196</v>
      </c>
      <c r="T18" s="142">
        <f>SUMIF(Timing!$J$5:$AG$5,T$8,IFS!$J19:$AG19)</f>
        <v>20322.325599188382</v>
      </c>
      <c r="U18" s="142">
        <f>SUMIF(Timing!$J$5:$AG$5,U$8,IFS!$J19:$AG19)</f>
        <v>20525.548855180266</v>
      </c>
      <c r="V18" s="143">
        <f t="shared" si="2"/>
        <v>177580.43437320614</v>
      </c>
      <c r="W18" s="165">
        <f>SUMPRODUCT((Timing!$J$29:$AG$29=1)*(Timing!$J$15:$AG$15=2)*(IFS!$J19:$AG19))</f>
        <v>62816.410241942547</v>
      </c>
      <c r="X18" s="171">
        <f>SUMPRODUCT((Timing!$J$29:$AG$29=2)*(Timing!$J$15:$AG$15=2)*(IFS!$J19:$AG19))</f>
        <v>64719.810288683664</v>
      </c>
      <c r="Y18" s="171">
        <f>SUMPRODUCT((Timing!$J$29:$AG$29=3)*(Timing!$J$15:$AG$15=2)*(IFS!$J19:$AG19))</f>
        <v>66680.885260241077</v>
      </c>
      <c r="Z18" s="166">
        <f>SUMPRODUCT((Timing!$J$29:$AG$29=4)*(Timing!$J$15:$AG$15=2)*(IFS!$J19:$AG19))</f>
        <v>68701.382764511625</v>
      </c>
      <c r="AA18" s="143">
        <f t="shared" si="3"/>
        <v>262918.48855537892</v>
      </c>
    </row>
    <row r="19" spans="1:27" s="830" customFormat="1" ht="16.5" customHeight="1" outlineLevel="1">
      <c r="A19" s="831"/>
      <c r="B19" s="831"/>
      <c r="C19" s="830" t="str">
        <f>IF(IFS!C20="","",IFS!C20)</f>
        <v xml:space="preserve">  -  Spare Parts</v>
      </c>
      <c r="J19" s="142">
        <f>SUMIF(Timing!$J$5:$AG$5,J$8,IFS!$J20:$AG20)</f>
        <v>0</v>
      </c>
      <c r="K19" s="142">
        <f>SUMIF(Timing!$J$5:$AG$5,K$8,IFS!$J20:$AG20)</f>
        <v>0</v>
      </c>
      <c r="L19" s="159">
        <f>SUMIF(Timing!$J$5:$AG$5,L$8,IFS!$J20:$AG20)</f>
        <v>0</v>
      </c>
      <c r="M19" s="160">
        <f>SUMIF(Timing!$J$5:$AG$5,M$8,IFS!$J20:$AG20)</f>
        <v>9625</v>
      </c>
      <c r="N19" s="142">
        <f>SUMIF(Timing!$J$5:$AG$5,N$8,IFS!$J20:$AG20)</f>
        <v>10175</v>
      </c>
      <c r="O19" s="159">
        <f>SUMIF(Timing!$J$5:$AG$5,O$8,IFS!$J20:$AG20)</f>
        <v>10175</v>
      </c>
      <c r="P19" s="160">
        <f>SUMIF(Timing!$J$5:$AG$5,P$8,IFS!$J20:$AG20)</f>
        <v>10175</v>
      </c>
      <c r="Q19" s="142">
        <f>SUMIF(Timing!$J$5:$AG$5,Q$8,IFS!$J20:$AG20)</f>
        <v>10175</v>
      </c>
      <c r="R19" s="159">
        <f>SUMIF(Timing!$J$5:$AG$5,R$8,IFS!$J20:$AG20)</f>
        <v>10175</v>
      </c>
      <c r="S19" s="160">
        <f>SUMIF(Timing!$J$5:$AG$5,S$8,IFS!$J20:$AG20)</f>
        <v>10175</v>
      </c>
      <c r="T19" s="142">
        <f>SUMIF(Timing!$J$5:$AG$5,T$8,IFS!$J20:$AG20)</f>
        <v>9075</v>
      </c>
      <c r="U19" s="142">
        <f>SUMIF(Timing!$J$5:$AG$5,U$8,IFS!$J20:$AG20)</f>
        <v>9075</v>
      </c>
      <c r="V19" s="143">
        <f t="shared" si="2"/>
        <v>88825</v>
      </c>
      <c r="W19" s="165">
        <f>SUMPRODUCT((Timing!$J$29:$AG$29=1)*(Timing!$J$15:$AG$15=2)*(IFS!$J20:$AG20))</f>
        <v>27225</v>
      </c>
      <c r="X19" s="171">
        <f>SUMPRODUCT((Timing!$J$29:$AG$29=2)*(Timing!$J$15:$AG$15=2)*(IFS!$J20:$AG20))</f>
        <v>27225</v>
      </c>
      <c r="Y19" s="171">
        <f>SUMPRODUCT((Timing!$J$29:$AG$29=3)*(Timing!$J$15:$AG$15=2)*(IFS!$J20:$AG20))</f>
        <v>27225</v>
      </c>
      <c r="Z19" s="166">
        <f>SUMPRODUCT((Timing!$J$29:$AG$29=4)*(Timing!$J$15:$AG$15=2)*(IFS!$J20:$AG20))</f>
        <v>29150</v>
      </c>
      <c r="AA19" s="143">
        <f t="shared" si="3"/>
        <v>110825</v>
      </c>
    </row>
    <row r="20" spans="1:27" s="830" customFormat="1" ht="16.5" customHeight="1" outlineLevel="1">
      <c r="A20" s="831"/>
      <c r="B20" s="831"/>
      <c r="C20" s="830" t="str">
        <f>IF(IFS!C21="","",IFS!C21)</f>
        <v xml:space="preserve">  -  License Fees</v>
      </c>
      <c r="J20" s="142">
        <f>SUMIF(Timing!$J$5:$AG$5,J$8,IFS!$J21:$AG21)</f>
        <v>0</v>
      </c>
      <c r="K20" s="142">
        <f>SUMIF(Timing!$J$5:$AG$5,K$8,IFS!$J21:$AG21)</f>
        <v>0</v>
      </c>
      <c r="L20" s="159">
        <f>SUMIF(Timing!$J$5:$AG$5,L$8,IFS!$J21:$AG21)</f>
        <v>0</v>
      </c>
      <c r="M20" s="160">
        <f>SUMIF(Timing!$J$5:$AG$5,M$8,IFS!$J21:$AG21)</f>
        <v>0</v>
      </c>
      <c r="N20" s="142">
        <f>SUMIF(Timing!$J$5:$AG$5,N$8,IFS!$J21:$AG21)</f>
        <v>0</v>
      </c>
      <c r="O20" s="159">
        <f>SUMIF(Timing!$J$5:$AG$5,O$8,IFS!$J21:$AG21)</f>
        <v>0</v>
      </c>
      <c r="P20" s="160">
        <f>SUMIF(Timing!$J$5:$AG$5,P$8,IFS!$J21:$AG21)</f>
        <v>0</v>
      </c>
      <c r="Q20" s="142">
        <f>SUMIF(Timing!$J$5:$AG$5,Q$8,IFS!$J21:$AG21)</f>
        <v>0</v>
      </c>
      <c r="R20" s="159">
        <f>SUMIF(Timing!$J$5:$AG$5,R$8,IFS!$J21:$AG21)</f>
        <v>0</v>
      </c>
      <c r="S20" s="160">
        <f>SUMIF(Timing!$J$5:$AG$5,S$8,IFS!$J21:$AG21)</f>
        <v>100020</v>
      </c>
      <c r="T20" s="142">
        <f>SUMIF(Timing!$J$5:$AG$5,T$8,IFS!$J21:$AG21)</f>
        <v>0</v>
      </c>
      <c r="U20" s="142">
        <f>SUMIF(Timing!$J$5:$AG$5,U$8,IFS!$J21:$AG21)</f>
        <v>0</v>
      </c>
      <c r="V20" s="143">
        <f t="shared" si="2"/>
        <v>100020</v>
      </c>
      <c r="W20" s="165">
        <f>SUMPRODUCT((Timing!$J$29:$AG$29=1)*(Timing!$J$15:$AG$15=2)*(IFS!$J21:$AG21))</f>
        <v>100030</v>
      </c>
      <c r="X20" s="171">
        <f>SUMPRODUCT((Timing!$J$29:$AG$29=2)*(Timing!$J$15:$AG$15=2)*(IFS!$J21:$AG21))</f>
        <v>100040</v>
      </c>
      <c r="Y20" s="171">
        <f>SUMPRODUCT((Timing!$J$29:$AG$29=3)*(Timing!$J$15:$AG$15=2)*(IFS!$J21:$AG21))</f>
        <v>100050</v>
      </c>
      <c r="Z20" s="166">
        <f>SUMPRODUCT((Timing!$J$29:$AG$29=4)*(Timing!$J$15:$AG$15=2)*(IFS!$J21:$AG21))</f>
        <v>100060</v>
      </c>
      <c r="AA20" s="143">
        <f t="shared" si="3"/>
        <v>400180</v>
      </c>
    </row>
    <row r="21" spans="1:27" ht="16.5" customHeight="1">
      <c r="A21" s="831"/>
      <c r="B21" s="126"/>
      <c r="C21" s="133" t="str">
        <f>IF(IFS!C22="","",IFS!C22)</f>
        <v>Total Revenue</v>
      </c>
      <c r="D21" s="134"/>
      <c r="E21" s="134"/>
      <c r="F21" s="134"/>
      <c r="G21" s="134"/>
      <c r="H21" s="134"/>
      <c r="I21" s="134"/>
      <c r="J21" s="145">
        <f>SUM(J11:J20)</f>
        <v>0</v>
      </c>
      <c r="K21" s="145">
        <f t="shared" ref="K21:U21" si="4">SUM(K11:K20)</f>
        <v>0</v>
      </c>
      <c r="L21" s="161">
        <f t="shared" si="4"/>
        <v>0</v>
      </c>
      <c r="M21" s="162">
        <f t="shared" si="4"/>
        <v>143622</v>
      </c>
      <c r="N21" s="145">
        <f t="shared" si="4"/>
        <v>151461.54999999999</v>
      </c>
      <c r="O21" s="161">
        <f t="shared" si="4"/>
        <v>151652.99549999999</v>
      </c>
      <c r="P21" s="162">
        <f t="shared" si="4"/>
        <v>151846.35545500001</v>
      </c>
      <c r="Q21" s="145">
        <f t="shared" si="4"/>
        <v>152041.64900954999</v>
      </c>
      <c r="R21" s="161">
        <f t="shared" si="4"/>
        <v>152238.8954996455</v>
      </c>
      <c r="S21" s="162">
        <f t="shared" si="4"/>
        <v>252458.11445464197</v>
      </c>
      <c r="T21" s="145">
        <f t="shared" si="4"/>
        <v>148179.32559918839</v>
      </c>
      <c r="U21" s="145">
        <f t="shared" si="4"/>
        <v>150882.54885518027</v>
      </c>
      <c r="V21" s="145">
        <f t="shared" ref="V21:V25" si="5">SUM(J21:U21)</f>
        <v>1454383.434373206</v>
      </c>
      <c r="W21" s="161">
        <f>SUM(W11:W20)</f>
        <v>566595.91024194262</v>
      </c>
      <c r="X21" s="169">
        <f>SUM(X11:X20)</f>
        <v>566424.38558918377</v>
      </c>
      <c r="Y21" s="169">
        <f>SUM(Y11:Y20)</f>
        <v>570188.4463019215</v>
      </c>
      <c r="Z21" s="162">
        <f>SUM(Z11:Z20)</f>
        <v>579441.26148831611</v>
      </c>
      <c r="AA21" s="145">
        <f t="shared" ref="AA21:AA25" si="6">SUM(W21:Z21)</f>
        <v>2282650.003621364</v>
      </c>
    </row>
    <row r="22" spans="1:27" ht="16.5" customHeight="1" outlineLevel="1">
      <c r="A22" s="831"/>
      <c r="B22" s="126"/>
      <c r="C22" s="3" t="str">
        <f>IF(IFS!C23="","",IFS!C23)</f>
        <v>Cost of Sales</v>
      </c>
      <c r="J22" s="142"/>
      <c r="K22" s="142"/>
      <c r="L22" s="159"/>
      <c r="M22" s="160"/>
      <c r="N22" s="142"/>
      <c r="O22" s="159"/>
      <c r="P22" s="160"/>
      <c r="Q22" s="142"/>
      <c r="R22" s="159"/>
      <c r="S22" s="160"/>
      <c r="T22" s="142"/>
      <c r="U22" s="142"/>
      <c r="V22" s="143"/>
      <c r="W22" s="165"/>
      <c r="X22" s="171"/>
      <c r="Y22" s="171"/>
      <c r="Z22" s="166"/>
      <c r="AA22" s="143"/>
    </row>
    <row r="23" spans="1:27" ht="16.5" customHeight="1" outlineLevel="1">
      <c r="A23" s="831"/>
      <c r="B23" s="126"/>
      <c r="C23" s="830" t="str">
        <f>IF(IFS!C24="","",IFS!C24)</f>
        <v xml:space="preserve">  -  Materials/packaging/goods</v>
      </c>
      <c r="J23" s="142">
        <f>SUMIF(Timing!$J$5:$AG$5,J$8,IFS!$J24:$AG24)</f>
        <v>0</v>
      </c>
      <c r="K23" s="142">
        <f>SUMIF(Timing!$J$5:$AG$5,K$8,IFS!$J24:$AG24)</f>
        <v>0</v>
      </c>
      <c r="L23" s="159">
        <f>SUMIF(Timing!$J$5:$AG$5,L$8,IFS!$J24:$AG24)</f>
        <v>0</v>
      </c>
      <c r="M23" s="160">
        <f>SUMIF(Timing!$J$5:$AG$5,M$8,IFS!$J24:$AG24)</f>
        <v>66910.574999999997</v>
      </c>
      <c r="N23" s="142">
        <f>SUMIF(Timing!$J$5:$AG$5,N$8,IFS!$J24:$AG24)</f>
        <v>71957.291249999995</v>
      </c>
      <c r="O23" s="159">
        <f>SUMIF(Timing!$J$5:$AG$5,O$8,IFS!$J24:$AG24)</f>
        <v>71971.6496625</v>
      </c>
      <c r="P23" s="160">
        <f>SUMIF(Timing!$J$5:$AG$5,P$8,IFS!$J24:$AG24)</f>
        <v>71986.151659124997</v>
      </c>
      <c r="Q23" s="142">
        <f>SUMIF(Timing!$J$5:$AG$5,Q$8,IFS!$J24:$AG24)</f>
        <v>72000.798675716243</v>
      </c>
      <c r="R23" s="159">
        <f>SUMIF(Timing!$J$5:$AG$5,R$8,IFS!$J24:$AG24)</f>
        <v>72015.592162473418</v>
      </c>
      <c r="S23" s="160">
        <f>SUMIF(Timing!$J$5:$AG$5,S$8,IFS!$J24:$AG24)</f>
        <v>72030.533584098142</v>
      </c>
      <c r="T23" s="142">
        <f>SUMIF(Timing!$J$5:$AG$5,T$8,IFS!$J24:$AG24)</f>
        <v>69400.624419939122</v>
      </c>
      <c r="U23" s="142">
        <f>SUMIF(Timing!$J$5:$AG$5,U$8,IFS!$J24:$AG24)</f>
        <v>69640.866164138512</v>
      </c>
      <c r="V23" s="143">
        <f t="shared" si="5"/>
        <v>637914.08257799048</v>
      </c>
      <c r="W23" s="165">
        <f>SUMPRODUCT((Timing!$J$29:$AG$29=1)*(Timing!$J$15:$AG$15=2)*(IFS!$J24:$AG24))</f>
        <v>216757.4157681457</v>
      </c>
      <c r="X23" s="171">
        <f>SUMPRODUCT((Timing!$J$29:$AG$29=2)*(Timing!$J$15:$AG$15=2)*(IFS!$J24:$AG24))</f>
        <v>215025.32110278629</v>
      </c>
      <c r="Y23" s="171">
        <f>SUMPRODUCT((Timing!$J$29:$AG$29=3)*(Timing!$J$15:$AG$15=2)*(IFS!$J24:$AG24))</f>
        <v>215300.10787577182</v>
      </c>
      <c r="Z23" s="166">
        <f>SUMPRODUCT((Timing!$J$29:$AG$29=4)*(Timing!$J$15:$AG$15=2)*(IFS!$J24:$AG24))</f>
        <v>218796.9709627656</v>
      </c>
      <c r="AA23" s="143">
        <f t="shared" si="6"/>
        <v>865879.81570946937</v>
      </c>
    </row>
    <row r="24" spans="1:27" ht="16.5" customHeight="1" outlineLevel="1">
      <c r="A24" s="831"/>
      <c r="B24" s="126"/>
      <c r="C24" s="830" t="str">
        <f>IF(IFS!C25="","",IFS!C25)</f>
        <v xml:space="preserve">  -  Direct labor</v>
      </c>
      <c r="J24" s="142">
        <f>SUMIF(Timing!$J$5:$AG$5,J$8,IFS!$J25:$AG25)</f>
        <v>0</v>
      </c>
      <c r="K24" s="142">
        <f>SUMIF(Timing!$J$5:$AG$5,K$8,IFS!$J25:$AG25)</f>
        <v>0</v>
      </c>
      <c r="L24" s="159">
        <f>SUMIF(Timing!$J$5:$AG$5,L$8,IFS!$J25:$AG25)</f>
        <v>0</v>
      </c>
      <c r="M24" s="160">
        <f>SUMIF(Timing!$J$5:$AG$5,M$8,IFS!$J25:$AG25)</f>
        <v>4250</v>
      </c>
      <c r="N24" s="142">
        <f>SUMIF(Timing!$J$5:$AG$5,N$8,IFS!$J25:$AG25)</f>
        <v>4250</v>
      </c>
      <c r="O24" s="159">
        <f>SUMIF(Timing!$J$5:$AG$5,O$8,IFS!$J25:$AG25)</f>
        <v>4250</v>
      </c>
      <c r="P24" s="160">
        <f>SUMIF(Timing!$J$5:$AG$5,P$8,IFS!$J25:$AG25)</f>
        <v>4250</v>
      </c>
      <c r="Q24" s="142">
        <f>SUMIF(Timing!$J$5:$AG$5,Q$8,IFS!$J25:$AG25)</f>
        <v>4250</v>
      </c>
      <c r="R24" s="159">
        <f>SUMIF(Timing!$J$5:$AG$5,R$8,IFS!$J25:$AG25)</f>
        <v>4250</v>
      </c>
      <c r="S24" s="160">
        <f>SUMIF(Timing!$J$5:$AG$5,S$8,IFS!$J25:$AG25)</f>
        <v>6333.333333333333</v>
      </c>
      <c r="T24" s="142">
        <f>SUMIF(Timing!$J$5:$AG$5,T$8,IFS!$J25:$AG25)</f>
        <v>8416.6666666666679</v>
      </c>
      <c r="U24" s="142">
        <f>SUMIF(Timing!$J$5:$AG$5,U$8,IFS!$J25:$AG25)</f>
        <v>8416.6666666666679</v>
      </c>
      <c r="V24" s="143">
        <f t="shared" si="5"/>
        <v>48666.666666666672</v>
      </c>
      <c r="W24" s="165">
        <f>SUMPRODUCT((Timing!$J$29:$AG$29=1)*(Timing!$J$15:$AG$15=2)*(IFS!$J25:$AG25))</f>
        <v>25418.333333333332</v>
      </c>
      <c r="X24" s="171">
        <f>SUMPRODUCT((Timing!$J$29:$AG$29=2)*(Timing!$J$15:$AG$15=2)*(IFS!$J25:$AG25))</f>
        <v>25502.499999999996</v>
      </c>
      <c r="Y24" s="171">
        <f>SUMPRODUCT((Timing!$J$29:$AG$29=3)*(Timing!$J$15:$AG$15=2)*(IFS!$J25:$AG25))</f>
        <v>25502.499999999996</v>
      </c>
      <c r="Z24" s="166">
        <f>SUMPRODUCT((Timing!$J$29:$AG$29=4)*(Timing!$J$15:$AG$15=2)*(IFS!$J25:$AG25))</f>
        <v>25502.499999999996</v>
      </c>
      <c r="AA24" s="143">
        <f t="shared" si="6"/>
        <v>101925.83333333333</v>
      </c>
    </row>
    <row r="25" spans="1:27" ht="16.5" customHeight="1" outlineLevel="1">
      <c r="A25" s="831"/>
      <c r="B25" s="126"/>
      <c r="C25" s="830" t="str">
        <f>IF(IFS!C26="","",IFS!C26)</f>
        <v xml:space="preserve">  -  Other direct costs</v>
      </c>
      <c r="J25" s="142">
        <f>SUMIF(Timing!$J$5:$AG$5,J$8,IFS!$J26:$AG26)</f>
        <v>0</v>
      </c>
      <c r="K25" s="142">
        <f>SUMIF(Timing!$J$5:$AG$5,K$8,IFS!$J26:$AG26)</f>
        <v>0</v>
      </c>
      <c r="L25" s="159">
        <f>SUMIF(Timing!$J$5:$AG$5,L$8,IFS!$J26:$AG26)</f>
        <v>0</v>
      </c>
      <c r="M25" s="160">
        <f>SUMIF(Timing!$J$5:$AG$5,M$8,IFS!$J26:$AG26)</f>
        <v>4381.22</v>
      </c>
      <c r="N25" s="142">
        <f>SUMIF(Timing!$J$5:$AG$5,N$8,IFS!$J26:$AG26)</f>
        <v>4769.6154999999999</v>
      </c>
      <c r="O25" s="159">
        <f>SUMIF(Timing!$J$5:$AG$5,O$8,IFS!$J26:$AG26)</f>
        <v>4824.029955</v>
      </c>
      <c r="P25" s="160">
        <f>SUMIF(Timing!$J$5:$AG$5,P$8,IFS!$J26:$AG26)</f>
        <v>4881.0885545500005</v>
      </c>
      <c r="Q25" s="142">
        <f>SUMIF(Timing!$J$5:$AG$5,Q$8,IFS!$J26:$AG26)</f>
        <v>4940.9227400955006</v>
      </c>
      <c r="R25" s="159">
        <f>SUMIF(Timing!$J$5:$AG$5,R$8,IFS!$J26:$AG26)</f>
        <v>5003.6705174964554</v>
      </c>
      <c r="S25" s="160">
        <f>SUMIF(Timing!$J$5:$AG$5,S$8,IFS!$J26:$AG26)</f>
        <v>6069.6767851714203</v>
      </c>
      <c r="T25" s="142">
        <f>SUMIF(Timing!$J$5:$AG$5,T$8,IFS!$J26:$AG26)</f>
        <v>5063.8936786481345</v>
      </c>
      <c r="U25" s="142">
        <f>SUMIF(Timing!$J$5:$AG$5,U$8,IFS!$J26:$AG26)</f>
        <v>5161.2809323408655</v>
      </c>
      <c r="V25" s="143">
        <f t="shared" si="5"/>
        <v>45095.398663302381</v>
      </c>
      <c r="W25" s="165">
        <f>SUMPRODUCT((Timing!$J$29:$AG$29=1)*(Timing!$J$15:$AG$15=2)*(IFS!$J26:$AG26))</f>
        <v>17771.521303291698</v>
      </c>
      <c r="X25" s="171">
        <f>SUMPRODUCT((Timing!$J$29:$AG$29=2)*(Timing!$J$15:$AG$15=2)*(IFS!$J26:$AG26))</f>
        <v>18540.680923676602</v>
      </c>
      <c r="Y25" s="171">
        <f>SUMPRODUCT((Timing!$J$29:$AG$29=3)*(Timing!$J$15:$AG$15=2)*(IFS!$J26:$AG26))</f>
        <v>19470.705548613554</v>
      </c>
      <c r="Z25" s="166">
        <f>SUMPRODUCT((Timing!$J$29:$AG$29=4)*(Timing!$J$15:$AG$15=2)*(IFS!$J26:$AG26))</f>
        <v>20471.279749094308</v>
      </c>
      <c r="AA25" s="143">
        <f t="shared" si="6"/>
        <v>76254.187524676163</v>
      </c>
    </row>
    <row r="26" spans="1:27" ht="16.5" customHeight="1">
      <c r="A26" s="831"/>
      <c r="B26" s="126"/>
      <c r="C26" s="133" t="str">
        <f>IF(IFS!C27="","",IFS!C27)</f>
        <v xml:space="preserve">     Cost of Sales</v>
      </c>
      <c r="D26" s="134"/>
      <c r="E26" s="134"/>
      <c r="F26" s="134"/>
      <c r="G26" s="134"/>
      <c r="H26" s="134"/>
      <c r="I26" s="134"/>
      <c r="J26" s="145">
        <f>SUM(J23:J25)</f>
        <v>0</v>
      </c>
      <c r="K26" s="145">
        <f t="shared" ref="K26:U26" si="7">SUM(K23:K25)</f>
        <v>0</v>
      </c>
      <c r="L26" s="161">
        <f t="shared" si="7"/>
        <v>0</v>
      </c>
      <c r="M26" s="162">
        <f t="shared" si="7"/>
        <v>75541.794999999998</v>
      </c>
      <c r="N26" s="145">
        <f t="shared" si="7"/>
        <v>80976.906749999995</v>
      </c>
      <c r="O26" s="161">
        <f t="shared" si="7"/>
        <v>81045.679617500005</v>
      </c>
      <c r="P26" s="162">
        <f t="shared" si="7"/>
        <v>81117.240213675002</v>
      </c>
      <c r="Q26" s="145">
        <f t="shared" si="7"/>
        <v>81191.721415811742</v>
      </c>
      <c r="R26" s="161">
        <f t="shared" si="7"/>
        <v>81269.262679969877</v>
      </c>
      <c r="S26" s="162">
        <f t="shared" si="7"/>
        <v>84433.543702602896</v>
      </c>
      <c r="T26" s="145">
        <f t="shared" si="7"/>
        <v>82881.184765253929</v>
      </c>
      <c r="U26" s="145">
        <f t="shared" si="7"/>
        <v>83218.813763146056</v>
      </c>
      <c r="V26" s="145">
        <f t="shared" ref="V26:V27" si="8">SUM(J26:U26)</f>
        <v>731676.14790795953</v>
      </c>
      <c r="W26" s="161">
        <f>SUM(W23:W25)</f>
        <v>259947.27040477074</v>
      </c>
      <c r="X26" s="169">
        <f>SUM(X23:X25)</f>
        <v>259068.5020264629</v>
      </c>
      <c r="Y26" s="169">
        <f>SUM(Y23:Y25)</f>
        <v>260273.31342438539</v>
      </c>
      <c r="Z26" s="162">
        <f>SUM(Z23:Z25)</f>
        <v>264770.7507118599</v>
      </c>
      <c r="AA26" s="145">
        <f t="shared" ref="AA26:AA27" si="9">SUM(W26:Z26)</f>
        <v>1044059.836567479</v>
      </c>
    </row>
    <row r="27" spans="1:27" ht="16.5" customHeight="1">
      <c r="A27" s="831"/>
      <c r="B27" s="126"/>
      <c r="C27" s="837" t="str">
        <f>IF(IFS!C28="","",IFS!C28)</f>
        <v>Gross Profit</v>
      </c>
      <c r="D27" s="838"/>
      <c r="E27" s="838"/>
      <c r="F27" s="838"/>
      <c r="G27" s="838"/>
      <c r="H27" s="838"/>
      <c r="I27" s="838"/>
      <c r="J27" s="877">
        <f>J21-J26</f>
        <v>0</v>
      </c>
      <c r="K27" s="877">
        <f t="shared" ref="K27:U27" si="10">K21-K26</f>
        <v>0</v>
      </c>
      <c r="L27" s="878">
        <f t="shared" si="10"/>
        <v>0</v>
      </c>
      <c r="M27" s="879">
        <f t="shared" si="10"/>
        <v>68080.205000000002</v>
      </c>
      <c r="N27" s="877">
        <f t="shared" si="10"/>
        <v>70484.643249999994</v>
      </c>
      <c r="O27" s="878">
        <f t="shared" si="10"/>
        <v>70607.315882499985</v>
      </c>
      <c r="P27" s="879">
        <f t="shared" si="10"/>
        <v>70729.115241325009</v>
      </c>
      <c r="Q27" s="877">
        <f t="shared" si="10"/>
        <v>70849.927593738248</v>
      </c>
      <c r="R27" s="878">
        <f t="shared" si="10"/>
        <v>70969.632819675622</v>
      </c>
      <c r="S27" s="879">
        <f t="shared" si="10"/>
        <v>168024.57075203909</v>
      </c>
      <c r="T27" s="877">
        <f t="shared" si="10"/>
        <v>65298.140833934463</v>
      </c>
      <c r="U27" s="877">
        <f t="shared" si="10"/>
        <v>67663.735092034214</v>
      </c>
      <c r="V27" s="877">
        <f t="shared" si="8"/>
        <v>722707.28646524646</v>
      </c>
      <c r="W27" s="878">
        <f>W21-W26</f>
        <v>306648.63983717188</v>
      </c>
      <c r="X27" s="880">
        <f>X21-X26</f>
        <v>307355.88356272085</v>
      </c>
      <c r="Y27" s="880">
        <f>Y21-Y26</f>
        <v>309915.13287753612</v>
      </c>
      <c r="Z27" s="879">
        <f>Z21-Z26</f>
        <v>314670.51077645621</v>
      </c>
      <c r="AA27" s="877">
        <f t="shared" si="9"/>
        <v>1238590.1670538851</v>
      </c>
    </row>
    <row r="28" spans="1:27" ht="16.5" customHeight="1">
      <c r="A28" s="831"/>
      <c r="B28" s="126"/>
      <c r="C28" s="830" t="str">
        <f>IF(IFS!C29="","",IFS!C29)</f>
        <v xml:space="preserve">   Gross profit margin (in %)</v>
      </c>
      <c r="J28" s="881">
        <f>IFERROR(J26/J21,0)</f>
        <v>0</v>
      </c>
      <c r="K28" s="881">
        <f t="shared" ref="K28:AA28" si="11">IFERROR(K26/K21,0)</f>
        <v>0</v>
      </c>
      <c r="L28" s="882">
        <f t="shared" si="11"/>
        <v>0</v>
      </c>
      <c r="M28" s="883">
        <f t="shared" si="11"/>
        <v>0.52597648688919518</v>
      </c>
      <c r="N28" s="881">
        <f t="shared" si="11"/>
        <v>0.53463672298348985</v>
      </c>
      <c r="O28" s="882">
        <f t="shared" si="11"/>
        <v>0.53441529031650425</v>
      </c>
      <c r="P28" s="883">
        <f t="shared" si="11"/>
        <v>0.53420603985266057</v>
      </c>
      <c r="Q28" s="881">
        <f t="shared" si="11"/>
        <v>0.53400973973067045</v>
      </c>
      <c r="R28" s="882">
        <f t="shared" si="11"/>
        <v>0.53382719582433602</v>
      </c>
      <c r="S28" s="883">
        <f t="shared" si="11"/>
        <v>0.33444575107041252</v>
      </c>
      <c r="T28" s="881">
        <f t="shared" si="11"/>
        <v>0.55933028734008416</v>
      </c>
      <c r="U28" s="881">
        <f t="shared" si="11"/>
        <v>0.55154697739777014</v>
      </c>
      <c r="V28" s="884">
        <f t="shared" si="11"/>
        <v>0.50308338957620846</v>
      </c>
      <c r="W28" s="885">
        <f t="shared" si="11"/>
        <v>0.45878776338814453</v>
      </c>
      <c r="X28" s="886">
        <f t="shared" si="11"/>
        <v>0.45737526246682481</v>
      </c>
      <c r="Y28" s="886">
        <f t="shared" si="11"/>
        <v>0.45646893603762639</v>
      </c>
      <c r="Z28" s="883">
        <f t="shared" si="11"/>
        <v>0.45694148537469792</v>
      </c>
      <c r="AA28" s="884">
        <f t="shared" si="11"/>
        <v>0.45738936539158676</v>
      </c>
    </row>
    <row r="29" spans="1:27" ht="16.5" customHeight="1" outlineLevel="1">
      <c r="A29" s="831"/>
      <c r="B29" s="126"/>
      <c r="C29" s="3" t="str">
        <f>IF(IFS!C30="","",IFS!C30)</f>
        <v>Operating Expenses (Overheads)</v>
      </c>
      <c r="D29" s="830"/>
      <c r="E29" s="830"/>
      <c r="F29" s="830"/>
      <c r="G29" s="830"/>
      <c r="H29" s="830"/>
      <c r="I29" s="830"/>
      <c r="J29" s="142"/>
      <c r="K29" s="142"/>
      <c r="L29" s="159"/>
      <c r="M29" s="160"/>
      <c r="N29" s="142"/>
      <c r="O29" s="159"/>
      <c r="P29" s="160"/>
      <c r="Q29" s="142"/>
      <c r="R29" s="159"/>
      <c r="S29" s="160"/>
      <c r="T29" s="142"/>
      <c r="U29" s="142"/>
      <c r="V29" s="143"/>
      <c r="W29" s="165"/>
      <c r="X29" s="171"/>
      <c r="Y29" s="171"/>
      <c r="Z29" s="166"/>
      <c r="AA29" s="143"/>
    </row>
    <row r="30" spans="1:27" ht="16.5" customHeight="1" outlineLevel="1">
      <c r="A30" s="831"/>
      <c r="B30" s="126"/>
      <c r="C30" s="830" t="str">
        <f>IF(IFS!C31="","",IFS!C31)</f>
        <v xml:space="preserve">  -  Management &amp; Administration</v>
      </c>
      <c r="J30" s="142">
        <f>SUMIF(Timing!$J$5:$AG$5,J$8,IFS!$J31:$AG31)</f>
        <v>0</v>
      </c>
      <c r="K30" s="142">
        <f>SUMIF(Timing!$J$5:$AG$5,K$8,IFS!$J31:$AG31)</f>
        <v>0</v>
      </c>
      <c r="L30" s="159">
        <f>SUMIF(Timing!$J$5:$AG$5,L$8,IFS!$J31:$AG31)</f>
        <v>0</v>
      </c>
      <c r="M30" s="160">
        <f>SUMIF(Timing!$J$5:$AG$5,M$8,IFS!$J31:$AG31)</f>
        <v>12083.333333333334</v>
      </c>
      <c r="N30" s="142">
        <f>SUMIF(Timing!$J$5:$AG$5,N$8,IFS!$J31:$AG31)</f>
        <v>7085.3333333333339</v>
      </c>
      <c r="O30" s="159">
        <f>SUMIF(Timing!$J$5:$AG$5,O$8,IFS!$J31:$AG31)</f>
        <v>7087.3533333333344</v>
      </c>
      <c r="P30" s="160">
        <f>SUMIF(Timing!$J$5:$AG$5,P$8,IFS!$J31:$AG31)</f>
        <v>7089.3935333333338</v>
      </c>
      <c r="Q30" s="142">
        <f>SUMIF(Timing!$J$5:$AG$5,Q$8,IFS!$J31:$AG31)</f>
        <v>7091.4541353333343</v>
      </c>
      <c r="R30" s="159">
        <f>SUMIF(Timing!$J$5:$AG$5,R$8,IFS!$J31:$AG31)</f>
        <v>7093.5353433533337</v>
      </c>
      <c r="S30" s="160">
        <f>SUMIF(Timing!$J$5:$AG$5,S$8,IFS!$J31:$AG31)</f>
        <v>7095.6373634535339</v>
      </c>
      <c r="T30" s="142">
        <f>SUMIF(Timing!$J$5:$AG$5,T$8,IFS!$J31:$AG31)</f>
        <v>7097.7604037547362</v>
      </c>
      <c r="U30" s="142">
        <f>SUMIF(Timing!$J$5:$AG$5,U$8,IFS!$J31:$AG31)</f>
        <v>7099.9046744589496</v>
      </c>
      <c r="V30" s="143">
        <f t="shared" ref="V30:V34" si="12">SUM(J30:U30)</f>
        <v>68823.705453687217</v>
      </c>
      <c r="W30" s="165">
        <f>SUMPRODUCT((Timing!$J$29:$AG$29=1)*(Timing!$J$15:$AG$15=2)*(IFS!$J31:$AG31))</f>
        <v>36948.628482285509</v>
      </c>
      <c r="X30" s="171">
        <f>SUMPRODUCT((Timing!$J$29:$AG$29=2)*(Timing!$J$15:$AG$15=2)*(IFS!$J31:$AG31))</f>
        <v>37386.628504760578</v>
      </c>
      <c r="Y30" s="171">
        <f>SUMPRODUCT((Timing!$J$29:$AG$29=3)*(Timing!$J$15:$AG$15=2)*(IFS!$J31:$AG31))</f>
        <v>37457.320406333325</v>
      </c>
      <c r="Z30" s="166">
        <f>SUMPRODUCT((Timing!$J$29:$AG$29=4)*(Timing!$J$15:$AG$15=2)*(IFS!$J31:$AG31))</f>
        <v>37478.63929321563</v>
      </c>
      <c r="AA30" s="143">
        <f t="shared" ref="AA30:AA34" si="13">SUM(W30:Z30)</f>
        <v>149271.21668659506</v>
      </c>
    </row>
    <row r="31" spans="1:27" ht="16.5" customHeight="1" outlineLevel="1">
      <c r="A31" s="831"/>
      <c r="B31" s="126"/>
      <c r="C31" s="830" t="str">
        <f>IF(IFS!C32="","",IFS!C32)</f>
        <v xml:space="preserve">  -  Operational</v>
      </c>
      <c r="J31" s="142">
        <f>SUMIF(Timing!$J$5:$AG$5,J$8,IFS!$J32:$AG32)</f>
        <v>0</v>
      </c>
      <c r="K31" s="142">
        <f>SUMIF(Timing!$J$5:$AG$5,K$8,IFS!$J32:$AG32)</f>
        <v>0</v>
      </c>
      <c r="L31" s="159">
        <f>SUMIF(Timing!$J$5:$AG$5,L$8,IFS!$J32:$AG32)</f>
        <v>0</v>
      </c>
      <c r="M31" s="160">
        <f>SUMIF(Timing!$J$5:$AG$5,M$8,IFS!$J32:$AG32)</f>
        <v>4633.333333333333</v>
      </c>
      <c r="N31" s="142">
        <f>SUMIF(Timing!$J$5:$AG$5,N$8,IFS!$J32:$AG32)</f>
        <v>4773.333333333333</v>
      </c>
      <c r="O31" s="159">
        <f>SUMIF(Timing!$J$5:$AG$5,O$8,IFS!$J32:$AG32)</f>
        <v>4843.333333333333</v>
      </c>
      <c r="P31" s="160">
        <f>SUMIF(Timing!$J$5:$AG$5,P$8,IFS!$J32:$AG32)</f>
        <v>4913.333333333333</v>
      </c>
      <c r="Q31" s="142">
        <f>SUMIF(Timing!$J$5:$AG$5,Q$8,IFS!$J32:$AG32)</f>
        <v>4983.333333333333</v>
      </c>
      <c r="R31" s="159">
        <f>SUMIF(Timing!$J$5:$AG$5,R$8,IFS!$J32:$AG32)</f>
        <v>5053.333333333333</v>
      </c>
      <c r="S31" s="160">
        <f>SUMIF(Timing!$J$5:$AG$5,S$8,IFS!$J32:$AG32)</f>
        <v>5123.333333333333</v>
      </c>
      <c r="T31" s="142">
        <f>SUMIF(Timing!$J$5:$AG$5,T$8,IFS!$J32:$AG32)</f>
        <v>13593.333333333332</v>
      </c>
      <c r="U31" s="142">
        <f>SUMIF(Timing!$J$5:$AG$5,U$8,IFS!$J32:$AG32)</f>
        <v>13663.333333333332</v>
      </c>
      <c r="V31" s="143">
        <f t="shared" si="12"/>
        <v>61579.999999999985</v>
      </c>
      <c r="W31" s="165">
        <f>SUMPRODUCT((Timing!$J$29:$AG$29=1)*(Timing!$J$15:$AG$15=2)*(IFS!$J32:$AG32))</f>
        <v>41996.666666666672</v>
      </c>
      <c r="X31" s="171">
        <f>SUMPRODUCT((Timing!$J$29:$AG$29=2)*(Timing!$J$15:$AG$15=2)*(IFS!$J32:$AG32))</f>
        <v>42920</v>
      </c>
      <c r="Y31" s="171">
        <f>SUMPRODUCT((Timing!$J$29:$AG$29=3)*(Timing!$J$15:$AG$15=2)*(IFS!$J32:$AG32))</f>
        <v>43550</v>
      </c>
      <c r="Z31" s="166">
        <f>SUMPRODUCT((Timing!$J$29:$AG$29=4)*(Timing!$J$15:$AG$15=2)*(IFS!$J32:$AG32))</f>
        <v>56260</v>
      </c>
      <c r="AA31" s="143">
        <f t="shared" si="13"/>
        <v>184726.66666666669</v>
      </c>
    </row>
    <row r="32" spans="1:27" ht="16.5" customHeight="1" outlineLevel="1">
      <c r="A32" s="831"/>
      <c r="B32" s="126"/>
      <c r="C32" s="830" t="str">
        <f>IF(IFS!C33="","",IFS!C33)</f>
        <v xml:space="preserve">  -  Sales, Marketing &amp; Distribution</v>
      </c>
      <c r="J32" s="142">
        <f>SUMIF(Timing!$J$5:$AG$5,J$8,IFS!$J33:$AG33)</f>
        <v>0</v>
      </c>
      <c r="K32" s="142">
        <f>SUMIF(Timing!$J$5:$AG$5,K$8,IFS!$J33:$AG33)</f>
        <v>0</v>
      </c>
      <c r="L32" s="159">
        <f>SUMIF(Timing!$J$5:$AG$5,L$8,IFS!$J33:$AG33)</f>
        <v>0</v>
      </c>
      <c r="M32" s="160">
        <f>SUMIF(Timing!$J$5:$AG$5,M$8,IFS!$J33:$AG33)</f>
        <v>12942.44</v>
      </c>
      <c r="N32" s="142">
        <f>SUMIF(Timing!$J$5:$AG$5,N$8,IFS!$J33:$AG33)</f>
        <v>11269.231</v>
      </c>
      <c r="O32" s="159">
        <f>SUMIF(Timing!$J$5:$AG$5,O$8,IFS!$J33:$AG33)</f>
        <v>11273.05991</v>
      </c>
      <c r="P32" s="160">
        <f>SUMIF(Timing!$J$5:$AG$5,P$8,IFS!$J33:$AG33)</f>
        <v>11606.927109100001</v>
      </c>
      <c r="Q32" s="142">
        <f>SUMIF(Timing!$J$5:$AG$5,Q$8,IFS!$J33:$AG33)</f>
        <v>11280.832980191</v>
      </c>
      <c r="R32" s="159">
        <f>SUMIF(Timing!$J$5:$AG$5,R$8,IFS!$J33:$AG33)</f>
        <v>17834.77790999291</v>
      </c>
      <c r="S32" s="160">
        <f>SUMIF(Timing!$J$5:$AG$5,S$8,IFS!$J33:$AG33)</f>
        <v>18839.162289092841</v>
      </c>
      <c r="T32" s="142">
        <f>SUMIF(Timing!$J$5:$AG$5,T$8,IFS!$J33:$AG33)</f>
        <v>16413.586511983769</v>
      </c>
      <c r="U32" s="142">
        <f>SUMIF(Timing!$J$5:$AG$5,U$8,IFS!$J33:$AG33)</f>
        <v>16797.650977103607</v>
      </c>
      <c r="V32" s="143">
        <f t="shared" si="12"/>
        <v>128257.66868746413</v>
      </c>
      <c r="W32" s="165">
        <f>SUMPRODUCT((Timing!$J$29:$AG$29=1)*(Timing!$J$15:$AG$15=2)*(IFS!$J33:$AG33))</f>
        <v>52451.918204838854</v>
      </c>
      <c r="X32" s="171">
        <f>SUMPRODUCT((Timing!$J$29:$AG$29=2)*(Timing!$J$15:$AG$15=2)*(IFS!$J33:$AG33))</f>
        <v>64658.487711783673</v>
      </c>
      <c r="Y32" s="171">
        <f>SUMPRODUCT((Timing!$J$29:$AG$29=3)*(Timing!$J$15:$AG$15=2)*(IFS!$J33:$AG33))</f>
        <v>67893.768926038436</v>
      </c>
      <c r="Z32" s="166">
        <f>SUMPRODUCT((Timing!$J$29:$AG$29=4)*(Timing!$J$15:$AG$15=2)*(IFS!$J33:$AG33))</f>
        <v>68408.825229766313</v>
      </c>
      <c r="AA32" s="143">
        <f t="shared" si="13"/>
        <v>253413.00007242727</v>
      </c>
    </row>
    <row r="33" spans="1:27" ht="16.5" customHeight="1" outlineLevel="1">
      <c r="A33" s="831"/>
      <c r="B33" s="126"/>
      <c r="C33" s="830" t="str">
        <f>IF(IFS!C34="","",IFS!C34)</f>
        <v xml:space="preserve">  -  Research &amp; Development</v>
      </c>
      <c r="J33" s="142">
        <f>SUMIF(Timing!$J$5:$AG$5,J$8,IFS!$J34:$AG34)</f>
        <v>0</v>
      </c>
      <c r="K33" s="142">
        <f>SUMIF(Timing!$J$5:$AG$5,K$8,IFS!$J34:$AG34)</f>
        <v>0</v>
      </c>
      <c r="L33" s="159">
        <f>SUMIF(Timing!$J$5:$AG$5,L$8,IFS!$J34:$AG34)</f>
        <v>0</v>
      </c>
      <c r="M33" s="160">
        <f>SUMIF(Timing!$J$5:$AG$5,M$8,IFS!$J34:$AG34)</f>
        <v>0</v>
      </c>
      <c r="N33" s="142">
        <f>SUMIF(Timing!$J$5:$AG$5,N$8,IFS!$J34:$AG34)</f>
        <v>0</v>
      </c>
      <c r="O33" s="159">
        <f>SUMIF(Timing!$J$5:$AG$5,O$8,IFS!$J34:$AG34)</f>
        <v>0</v>
      </c>
      <c r="P33" s="160">
        <f>SUMIF(Timing!$J$5:$AG$5,P$8,IFS!$J34:$AG34)</f>
        <v>0</v>
      </c>
      <c r="Q33" s="142">
        <f>SUMIF(Timing!$J$5:$AG$5,Q$8,IFS!$J34:$AG34)</f>
        <v>0</v>
      </c>
      <c r="R33" s="159">
        <f>SUMIF(Timing!$J$5:$AG$5,R$8,IFS!$J34:$AG34)</f>
        <v>6100</v>
      </c>
      <c r="S33" s="160">
        <f>SUMIF(Timing!$J$5:$AG$5,S$8,IFS!$J34:$AG34)</f>
        <v>5100</v>
      </c>
      <c r="T33" s="142">
        <f>SUMIF(Timing!$J$5:$AG$5,T$8,IFS!$J34:$AG34)</f>
        <v>5100</v>
      </c>
      <c r="U33" s="142">
        <f>SUMIF(Timing!$J$5:$AG$5,U$8,IFS!$J34:$AG34)</f>
        <v>5100</v>
      </c>
      <c r="V33" s="143">
        <f t="shared" si="12"/>
        <v>21400</v>
      </c>
      <c r="W33" s="165">
        <f>SUMPRODUCT((Timing!$J$29:$AG$29=1)*(Timing!$J$15:$AG$15=2)*(IFS!$J34:$AG34))</f>
        <v>15498</v>
      </c>
      <c r="X33" s="171">
        <f>SUMPRODUCT((Timing!$J$29:$AG$29=2)*(Timing!$J$15:$AG$15=2)*(IFS!$J34:$AG34))</f>
        <v>15597</v>
      </c>
      <c r="Y33" s="171">
        <f>SUMPRODUCT((Timing!$J$29:$AG$29=3)*(Timing!$J$15:$AG$15=2)*(IFS!$J34:$AG34))</f>
        <v>15597</v>
      </c>
      <c r="Z33" s="166">
        <f>SUMPRODUCT((Timing!$J$29:$AG$29=4)*(Timing!$J$15:$AG$15=2)*(IFS!$J34:$AG34))</f>
        <v>15597</v>
      </c>
      <c r="AA33" s="143">
        <f t="shared" si="13"/>
        <v>62289</v>
      </c>
    </row>
    <row r="34" spans="1:27" ht="16.5" customHeight="1" outlineLevel="1">
      <c r="A34" s="831"/>
      <c r="B34" s="126"/>
      <c r="C34" s="830" t="str">
        <f>IF(IFS!C35="","",IFS!C35)</f>
        <v xml:space="preserve">  -  General &amp; Miscellaneous</v>
      </c>
      <c r="J34" s="142">
        <f>SUMIF(Timing!$J$5:$AG$5,J$8,IFS!$J35:$AG35)</f>
        <v>0</v>
      </c>
      <c r="K34" s="142">
        <f>SUMIF(Timing!$J$5:$AG$5,K$8,IFS!$J35:$AG35)</f>
        <v>0</v>
      </c>
      <c r="L34" s="159">
        <f>SUMIF(Timing!$J$5:$AG$5,L$8,IFS!$J35:$AG35)</f>
        <v>0</v>
      </c>
      <c r="M34" s="160">
        <f>SUMIF(Timing!$J$5:$AG$5,M$8,IFS!$J35:$AG35)</f>
        <v>4450</v>
      </c>
      <c r="N34" s="142">
        <f>SUMIF(Timing!$J$5:$AG$5,N$8,IFS!$J35:$AG35)</f>
        <v>4450</v>
      </c>
      <c r="O34" s="159">
        <f>SUMIF(Timing!$J$5:$AG$5,O$8,IFS!$J35:$AG35)</f>
        <v>4450</v>
      </c>
      <c r="P34" s="160">
        <f>SUMIF(Timing!$J$5:$AG$5,P$8,IFS!$J35:$AG35)</f>
        <v>4450</v>
      </c>
      <c r="Q34" s="142">
        <f>SUMIF(Timing!$J$5:$AG$5,Q$8,IFS!$J35:$AG35)</f>
        <v>4450</v>
      </c>
      <c r="R34" s="159">
        <f>SUMIF(Timing!$J$5:$AG$5,R$8,IFS!$J35:$AG35)</f>
        <v>4450</v>
      </c>
      <c r="S34" s="160">
        <f>SUMIF(Timing!$J$5:$AG$5,S$8,IFS!$J35:$AG35)</f>
        <v>4450</v>
      </c>
      <c r="T34" s="142">
        <f>SUMIF(Timing!$J$5:$AG$5,T$8,IFS!$J35:$AG35)</f>
        <v>4450</v>
      </c>
      <c r="U34" s="142">
        <f>SUMIF(Timing!$J$5:$AG$5,U$8,IFS!$J35:$AG35)</f>
        <v>4450</v>
      </c>
      <c r="V34" s="143">
        <f t="shared" si="12"/>
        <v>40050</v>
      </c>
      <c r="W34" s="165">
        <f>SUMPRODUCT((Timing!$J$29:$AG$29=1)*(Timing!$J$15:$AG$15=2)*(IFS!$J35:$AG35))</f>
        <v>13350</v>
      </c>
      <c r="X34" s="171">
        <f>SUMPRODUCT((Timing!$J$29:$AG$29=2)*(Timing!$J$15:$AG$15=2)*(IFS!$J35:$AG35))</f>
        <v>13350</v>
      </c>
      <c r="Y34" s="171">
        <f>SUMPRODUCT((Timing!$J$29:$AG$29=3)*(Timing!$J$15:$AG$15=2)*(IFS!$J35:$AG35))</f>
        <v>13350</v>
      </c>
      <c r="Z34" s="166">
        <f>SUMPRODUCT((Timing!$J$29:$AG$29=4)*(Timing!$J$15:$AG$15=2)*(IFS!$J35:$AG35))</f>
        <v>13350</v>
      </c>
      <c r="AA34" s="143">
        <f t="shared" si="13"/>
        <v>53400</v>
      </c>
    </row>
    <row r="35" spans="1:27" ht="16.5" customHeight="1">
      <c r="A35" s="831"/>
      <c r="B35" s="126"/>
      <c r="C35" s="133" t="str">
        <f>IF(IFS!C36="","",IFS!C36)</f>
        <v xml:space="preserve">     Total Overheads</v>
      </c>
      <c r="D35" s="134"/>
      <c r="E35" s="134"/>
      <c r="F35" s="134"/>
      <c r="G35" s="134"/>
      <c r="H35" s="134"/>
      <c r="I35" s="134"/>
      <c r="J35" s="145">
        <f>SUM(J30:J34)</f>
        <v>0</v>
      </c>
      <c r="K35" s="145">
        <f t="shared" ref="K35:U35" si="14">SUM(K30:K34)</f>
        <v>0</v>
      </c>
      <c r="L35" s="161">
        <f t="shared" si="14"/>
        <v>0</v>
      </c>
      <c r="M35" s="162">
        <f t="shared" si="14"/>
        <v>34109.106666666667</v>
      </c>
      <c r="N35" s="145">
        <f t="shared" si="14"/>
        <v>27577.897666666668</v>
      </c>
      <c r="O35" s="161">
        <f t="shared" si="14"/>
        <v>27653.746576666668</v>
      </c>
      <c r="P35" s="162">
        <f t="shared" si="14"/>
        <v>28059.653975766669</v>
      </c>
      <c r="Q35" s="145">
        <f t="shared" si="14"/>
        <v>27805.62044885767</v>
      </c>
      <c r="R35" s="161">
        <f t="shared" si="14"/>
        <v>40531.646586679577</v>
      </c>
      <c r="S35" s="162">
        <f t="shared" si="14"/>
        <v>40608.132985879711</v>
      </c>
      <c r="T35" s="145">
        <f t="shared" si="14"/>
        <v>46654.68024907184</v>
      </c>
      <c r="U35" s="145">
        <f t="shared" si="14"/>
        <v>47110.888984895893</v>
      </c>
      <c r="V35" s="145">
        <f t="shared" ref="V35:V48" si="15">SUM(J35:U35)</f>
        <v>320111.37414115138</v>
      </c>
      <c r="W35" s="161">
        <f>SUM(W30:W34)</f>
        <v>160245.21335379104</v>
      </c>
      <c r="X35" s="169">
        <f>SUM(X30:X34)</f>
        <v>173912.11621654424</v>
      </c>
      <c r="Y35" s="169">
        <f>SUM(Y30:Y34)</f>
        <v>177848.08933237178</v>
      </c>
      <c r="Z35" s="162">
        <f>SUM(Z30:Z34)</f>
        <v>191094.46452298196</v>
      </c>
      <c r="AA35" s="145">
        <f t="shared" ref="AA35:AA45" si="16">SUM(W35:Z35)</f>
        <v>703099.88342568907</v>
      </c>
    </row>
    <row r="36" spans="1:27" ht="16.5" customHeight="1">
      <c r="A36" s="831"/>
      <c r="B36" s="126"/>
      <c r="C36" s="837" t="str">
        <f>IF(IFS!C37="","",IFS!C37)</f>
        <v>Trading Profit</v>
      </c>
      <c r="D36" s="838"/>
      <c r="E36" s="838"/>
      <c r="F36" s="838"/>
      <c r="G36" s="838"/>
      <c r="H36" s="838"/>
      <c r="I36" s="838"/>
      <c r="J36" s="877">
        <f>J27-J35</f>
        <v>0</v>
      </c>
      <c r="K36" s="877">
        <f t="shared" ref="K36:U36" si="17">K27-K35</f>
        <v>0</v>
      </c>
      <c r="L36" s="878">
        <f t="shared" si="17"/>
        <v>0</v>
      </c>
      <c r="M36" s="879">
        <f t="shared" si="17"/>
        <v>33971.098333333335</v>
      </c>
      <c r="N36" s="877">
        <f t="shared" si="17"/>
        <v>42906.745583333322</v>
      </c>
      <c r="O36" s="878">
        <f t="shared" si="17"/>
        <v>42953.569305833313</v>
      </c>
      <c r="P36" s="879">
        <f t="shared" si="17"/>
        <v>42669.461265558341</v>
      </c>
      <c r="Q36" s="877">
        <f t="shared" si="17"/>
        <v>43044.307144880579</v>
      </c>
      <c r="R36" s="878">
        <f t="shared" si="17"/>
        <v>30437.986232996045</v>
      </c>
      <c r="S36" s="879">
        <f t="shared" si="17"/>
        <v>127416.43776615938</v>
      </c>
      <c r="T36" s="877">
        <f t="shared" si="17"/>
        <v>18643.460584862623</v>
      </c>
      <c r="U36" s="877">
        <f t="shared" si="17"/>
        <v>20552.846107138321</v>
      </c>
      <c r="V36" s="877">
        <f t="shared" si="15"/>
        <v>402595.91232409526</v>
      </c>
      <c r="W36" s="878">
        <f>W27-W35</f>
        <v>146403.42648338084</v>
      </c>
      <c r="X36" s="880">
        <f>X27-X35</f>
        <v>133443.76734617661</v>
      </c>
      <c r="Y36" s="880">
        <f>Y27-Y35</f>
        <v>132067.04354516434</v>
      </c>
      <c r="Z36" s="879">
        <f>Z27-Z35</f>
        <v>123576.04625347425</v>
      </c>
      <c r="AA36" s="877">
        <f t="shared" si="16"/>
        <v>535490.28362819599</v>
      </c>
    </row>
    <row r="37" spans="1:27" ht="16.5" customHeight="1" outlineLevel="1">
      <c r="A37" s="831"/>
      <c r="B37" s="126"/>
      <c r="C37" s="830" t="str">
        <f>IF(IFS!C38="","",IFS!C38)</f>
        <v>Other operating income</v>
      </c>
      <c r="J37" s="142">
        <f>SUMIF(Timing!$J$5:$AG$5,J$8,IFS!$J38:$AG38)</f>
        <v>0</v>
      </c>
      <c r="K37" s="142">
        <f>SUMIF(Timing!$J$5:$AG$5,K$8,IFS!$J38:$AG38)</f>
        <v>0</v>
      </c>
      <c r="L37" s="159">
        <f>SUMIF(Timing!$J$5:$AG$5,L$8,IFS!$J38:$AG38)</f>
        <v>0</v>
      </c>
      <c r="M37" s="160">
        <f>SUMIF(Timing!$J$5:$AG$5,M$8,IFS!$J38:$AG38)</f>
        <v>0</v>
      </c>
      <c r="N37" s="142">
        <f>SUMIF(Timing!$J$5:$AG$5,N$8,IFS!$J38:$AG38)</f>
        <v>0</v>
      </c>
      <c r="O37" s="159">
        <f>SUMIF(Timing!$J$5:$AG$5,O$8,IFS!$J38:$AG38)</f>
        <v>0</v>
      </c>
      <c r="P37" s="160">
        <f>SUMIF(Timing!$J$5:$AG$5,P$8,IFS!$J38:$AG38)</f>
        <v>4500</v>
      </c>
      <c r="Q37" s="142">
        <f>SUMIF(Timing!$J$5:$AG$5,Q$8,IFS!$J38:$AG38)</f>
        <v>0</v>
      </c>
      <c r="R37" s="159">
        <f>SUMIF(Timing!$J$5:$AG$5,R$8,IFS!$J38:$AG38)</f>
        <v>0</v>
      </c>
      <c r="S37" s="160">
        <f>SUMIF(Timing!$J$5:$AG$5,S$8,IFS!$J38:$AG38)</f>
        <v>0</v>
      </c>
      <c r="T37" s="142">
        <f>SUMIF(Timing!$J$5:$AG$5,T$8,IFS!$J38:$AG38)</f>
        <v>0</v>
      </c>
      <c r="U37" s="142">
        <f>SUMIF(Timing!$J$5:$AG$5,U$8,IFS!$J38:$AG38)</f>
        <v>0</v>
      </c>
      <c r="V37" s="143">
        <f t="shared" si="15"/>
        <v>4500</v>
      </c>
      <c r="W37" s="165">
        <f>SUMPRODUCT((Timing!$J$29:$AG$29=1)*(Timing!$J$15:$AG$15=2)*(IFS!$J38:$AG38))</f>
        <v>0</v>
      </c>
      <c r="X37" s="171">
        <f>SUMPRODUCT((Timing!$J$29:$AG$29=2)*(Timing!$J$15:$AG$15=2)*(IFS!$J38:$AG38))</f>
        <v>7250</v>
      </c>
      <c r="Y37" s="171">
        <f>SUMPRODUCT((Timing!$J$29:$AG$29=3)*(Timing!$J$15:$AG$15=2)*(IFS!$J38:$AG38))</f>
        <v>0</v>
      </c>
      <c r="Z37" s="166">
        <f>SUMPRODUCT((Timing!$J$29:$AG$29=4)*(Timing!$J$15:$AG$15=2)*(IFS!$J38:$AG38))</f>
        <v>0</v>
      </c>
      <c r="AA37" s="143">
        <f t="shared" si="16"/>
        <v>7250</v>
      </c>
    </row>
    <row r="38" spans="1:27" ht="16.5" customHeight="1" outlineLevel="1">
      <c r="A38" s="831"/>
      <c r="B38" s="126"/>
      <c r="C38" s="830" t="str">
        <f>IF(IFS!C39="","",IFS!C39)</f>
        <v>Bad debts</v>
      </c>
      <c r="J38" s="142">
        <f>SUMIF(Timing!$J$5:$AG$5,J$8,IFS!$J39:$AG39)</f>
        <v>0</v>
      </c>
      <c r="K38" s="142">
        <f>SUMIF(Timing!$J$5:$AG$5,K$8,IFS!$J39:$AG39)</f>
        <v>0</v>
      </c>
      <c r="L38" s="159">
        <f>SUMIF(Timing!$J$5:$AG$5,L$8,IFS!$J39:$AG39)</f>
        <v>0</v>
      </c>
      <c r="M38" s="160">
        <f>SUMIF(Timing!$J$5:$AG$5,M$8,IFS!$J39:$AG39)</f>
        <v>2154.33</v>
      </c>
      <c r="N38" s="142">
        <f>SUMIF(Timing!$J$5:$AG$5,N$8,IFS!$J39:$AG39)</f>
        <v>2271.9232499999998</v>
      </c>
      <c r="O38" s="159">
        <f>SUMIF(Timing!$J$5:$AG$5,O$8,IFS!$J39:$AG39)</f>
        <v>2274.7949325</v>
      </c>
      <c r="P38" s="160">
        <f>SUMIF(Timing!$J$5:$AG$5,P$8,IFS!$J39:$AG39)</f>
        <v>2277.6953318250003</v>
      </c>
      <c r="Q38" s="142">
        <f>SUMIF(Timing!$J$5:$AG$5,Q$8,IFS!$J39:$AG39)</f>
        <v>2280.6247351432498</v>
      </c>
      <c r="R38" s="159">
        <f>SUMIF(Timing!$J$5:$AG$5,R$8,IFS!$J39:$AG39)</f>
        <v>2283.5834324946823</v>
      </c>
      <c r="S38" s="160">
        <f>SUMIF(Timing!$J$5:$AG$5,S$8,IFS!$J39:$AG39)</f>
        <v>3786.8717168196295</v>
      </c>
      <c r="T38" s="142">
        <f>SUMIF(Timing!$J$5:$AG$5,T$8,IFS!$J39:$AG39)</f>
        <v>2222.6898839878259</v>
      </c>
      <c r="U38" s="142">
        <f>SUMIF(Timing!$J$5:$AG$5,U$8,IFS!$J39:$AG39)</f>
        <v>2263.238232827704</v>
      </c>
      <c r="V38" s="143">
        <f t="shared" si="15"/>
        <v>21815.751515598095</v>
      </c>
      <c r="W38" s="165">
        <f>SUMPRODUCT((Timing!$J$29:$AG$29=1)*(Timing!$J$15:$AG$15=2)*(IFS!$J39:$AG39))</f>
        <v>8498.9386536291386</v>
      </c>
      <c r="X38" s="171">
        <f>SUMPRODUCT((Timing!$J$29:$AG$29=2)*(Timing!$J$15:$AG$15=2)*(IFS!$J39:$AG39))</f>
        <v>8496.3657838377549</v>
      </c>
      <c r="Y38" s="171">
        <f>SUMPRODUCT((Timing!$J$29:$AG$29=3)*(Timing!$J$15:$AG$15=2)*(IFS!$J39:$AG39))</f>
        <v>8552.8266945288215</v>
      </c>
      <c r="Z38" s="166">
        <f>SUMPRODUCT((Timing!$J$29:$AG$29=4)*(Timing!$J$15:$AG$15=2)*(IFS!$J39:$AG39))</f>
        <v>8691.6189223247402</v>
      </c>
      <c r="AA38" s="143">
        <f t="shared" si="16"/>
        <v>34239.750054320459</v>
      </c>
    </row>
    <row r="39" spans="1:27" ht="16.5" customHeight="1" outlineLevel="1">
      <c r="A39" s="831"/>
      <c r="B39" s="126"/>
      <c r="C39" s="830" t="str">
        <f>IF(IFS!C40="","",IFS!C40)</f>
        <v>Profit/loss sale of fixed assets</v>
      </c>
      <c r="J39" s="142">
        <f>SUMIF(Timing!$J$5:$AG$5,J$8,IFS!$J40:$AG40)</f>
        <v>0</v>
      </c>
      <c r="K39" s="142">
        <f>SUMIF(Timing!$J$5:$AG$5,K$8,IFS!$J40:$AG40)</f>
        <v>0</v>
      </c>
      <c r="L39" s="159">
        <f>SUMIF(Timing!$J$5:$AG$5,L$8,IFS!$J40:$AG40)</f>
        <v>0</v>
      </c>
      <c r="M39" s="160">
        <f>SUMIF(Timing!$J$5:$AG$5,M$8,IFS!$J40:$AG40)</f>
        <v>0</v>
      </c>
      <c r="N39" s="142">
        <f>SUMIF(Timing!$J$5:$AG$5,N$8,IFS!$J40:$AG40)</f>
        <v>0</v>
      </c>
      <c r="O39" s="159">
        <f>SUMIF(Timing!$J$5:$AG$5,O$8,IFS!$J40:$AG40)</f>
        <v>0</v>
      </c>
      <c r="P39" s="160">
        <f>SUMIF(Timing!$J$5:$AG$5,P$8,IFS!$J40:$AG40)</f>
        <v>0</v>
      </c>
      <c r="Q39" s="142">
        <f>SUMIF(Timing!$J$5:$AG$5,Q$8,IFS!$J40:$AG40)</f>
        <v>0</v>
      </c>
      <c r="R39" s="159">
        <f>SUMIF(Timing!$J$5:$AG$5,R$8,IFS!$J40:$AG40)</f>
        <v>0</v>
      </c>
      <c r="S39" s="160">
        <f>SUMIF(Timing!$J$5:$AG$5,S$8,IFS!$J40:$AG40)</f>
        <v>0</v>
      </c>
      <c r="T39" s="142">
        <f>SUMIF(Timing!$J$5:$AG$5,T$8,IFS!$J40:$AG40)</f>
        <v>0</v>
      </c>
      <c r="U39" s="142">
        <f>SUMIF(Timing!$J$5:$AG$5,U$8,IFS!$J40:$AG40)</f>
        <v>0</v>
      </c>
      <c r="V39" s="143">
        <f t="shared" si="15"/>
        <v>0</v>
      </c>
      <c r="W39" s="165">
        <f>SUMPRODUCT((Timing!$J$29:$AG$29=1)*(Timing!$J$15:$AG$15=2)*(IFS!$J40:$AG40))</f>
        <v>0</v>
      </c>
      <c r="X39" s="171">
        <f>SUMPRODUCT((Timing!$J$29:$AG$29=2)*(Timing!$J$15:$AG$15=2)*(IFS!$J40:$AG40))</f>
        <v>0</v>
      </c>
      <c r="Y39" s="171">
        <f>SUMPRODUCT((Timing!$J$29:$AG$29=3)*(Timing!$J$15:$AG$15=2)*(IFS!$J40:$AG40))</f>
        <v>0</v>
      </c>
      <c r="Z39" s="166">
        <f>SUMPRODUCT((Timing!$J$29:$AG$29=4)*(Timing!$J$15:$AG$15=2)*(IFS!$J40:$AG40))</f>
        <v>0</v>
      </c>
      <c r="AA39" s="143">
        <f t="shared" si="16"/>
        <v>0</v>
      </c>
    </row>
    <row r="40" spans="1:27" ht="16.5" customHeight="1" outlineLevel="1">
      <c r="A40" s="831"/>
      <c r="B40" s="126"/>
      <c r="C40" s="830" t="str">
        <f>IF(IFS!C41="","",IFS!C41)</f>
        <v>Depreciation &amp; Amortization</v>
      </c>
      <c r="J40" s="142">
        <f>SUMIF(Timing!$J$5:$AG$5,J$8,IFS!$J41:$AG41)</f>
        <v>0</v>
      </c>
      <c r="K40" s="142">
        <f>SUMIF(Timing!$J$5:$AG$5,K$8,IFS!$J41:$AG41)</f>
        <v>0</v>
      </c>
      <c r="L40" s="159">
        <f>SUMIF(Timing!$J$5:$AG$5,L$8,IFS!$J41:$AG41)</f>
        <v>0</v>
      </c>
      <c r="M40" s="160">
        <f>SUMIF(Timing!$J$5:$AG$5,M$8,IFS!$J41:$AG41)</f>
        <v>4530.5555555555557</v>
      </c>
      <c r="N40" s="142">
        <f>SUMIF(Timing!$J$5:$AG$5,N$8,IFS!$J41:$AG41)</f>
        <v>5850</v>
      </c>
      <c r="O40" s="159">
        <f>SUMIF(Timing!$J$5:$AG$5,O$8,IFS!$J41:$AG41)</f>
        <v>9516.6666666666661</v>
      </c>
      <c r="P40" s="160">
        <f>SUMIF(Timing!$J$5:$AG$5,P$8,IFS!$J41:$AG41)</f>
        <v>9516.6666666666661</v>
      </c>
      <c r="Q40" s="142">
        <f>SUMIF(Timing!$J$5:$AG$5,Q$8,IFS!$J41:$AG41)</f>
        <v>10183.333333333332</v>
      </c>
      <c r="R40" s="159">
        <f>SUMIF(Timing!$J$5:$AG$5,R$8,IFS!$J41:$AG41)</f>
        <v>10183.333333333332</v>
      </c>
      <c r="S40" s="160">
        <f>SUMIF(Timing!$J$5:$AG$5,S$8,IFS!$J41:$AG41)</f>
        <v>10183.333333333332</v>
      </c>
      <c r="T40" s="142">
        <f>SUMIF(Timing!$J$5:$AG$5,T$8,IFS!$J41:$AG41)</f>
        <v>10183.333333333332</v>
      </c>
      <c r="U40" s="142">
        <f>SUMIF(Timing!$J$5:$AG$5,U$8,IFS!$J41:$AG41)</f>
        <v>10183.333333333332</v>
      </c>
      <c r="V40" s="143">
        <f t="shared" si="15"/>
        <v>80330.555555555533</v>
      </c>
      <c r="W40" s="165">
        <f>SUMPRODUCT((Timing!$J$29:$AG$29=1)*(Timing!$J$15:$AG$15=2)*(IFS!$J41:$AG41))</f>
        <v>30549.999999999996</v>
      </c>
      <c r="X40" s="171">
        <f>SUMPRODUCT((Timing!$J$29:$AG$29=2)*(Timing!$J$15:$AG$15=2)*(IFS!$J41:$AG41))</f>
        <v>32869.444444444445</v>
      </c>
      <c r="Y40" s="171">
        <f>SUMPRODUCT((Timing!$J$29:$AG$29=3)*(Timing!$J$15:$AG$15=2)*(IFS!$J41:$AG41))</f>
        <v>34258.333333333336</v>
      </c>
      <c r="Z40" s="166">
        <f>SUMPRODUCT((Timing!$J$29:$AG$29=4)*(Timing!$J$15:$AG$15=2)*(IFS!$J41:$AG41))</f>
        <v>34258.333333333336</v>
      </c>
      <c r="AA40" s="143">
        <f t="shared" si="16"/>
        <v>131936.11111111112</v>
      </c>
    </row>
    <row r="41" spans="1:27" ht="16.5" customHeight="1">
      <c r="A41" s="831"/>
      <c r="B41" s="126"/>
      <c r="C41" s="837" t="str">
        <f>IF(IFS!C42="","",IFS!C42)</f>
        <v>Operating Profit</v>
      </c>
      <c r="D41" s="838"/>
      <c r="E41" s="838"/>
      <c r="F41" s="838"/>
      <c r="G41" s="838"/>
      <c r="H41" s="838"/>
      <c r="I41" s="838"/>
      <c r="J41" s="877">
        <f>J36+J37-J38+J39-J40</f>
        <v>0</v>
      </c>
      <c r="K41" s="877">
        <f t="shared" ref="K41:U41" si="18">K36+K37-K38+K39-K40</f>
        <v>0</v>
      </c>
      <c r="L41" s="878">
        <f t="shared" si="18"/>
        <v>0</v>
      </c>
      <c r="M41" s="879">
        <f t="shared" si="18"/>
        <v>27286.212777777779</v>
      </c>
      <c r="N41" s="877">
        <f t="shared" si="18"/>
        <v>34784.822333333323</v>
      </c>
      <c r="O41" s="878">
        <f t="shared" si="18"/>
        <v>31162.107706666648</v>
      </c>
      <c r="P41" s="879">
        <f t="shared" si="18"/>
        <v>35375.099267066675</v>
      </c>
      <c r="Q41" s="877">
        <f t="shared" si="18"/>
        <v>30580.349076404</v>
      </c>
      <c r="R41" s="878">
        <f t="shared" si="18"/>
        <v>17971.069467168032</v>
      </c>
      <c r="S41" s="879">
        <f t="shared" si="18"/>
        <v>113446.23271600642</v>
      </c>
      <c r="T41" s="877">
        <f t="shared" si="18"/>
        <v>6237.4373675414645</v>
      </c>
      <c r="U41" s="877">
        <f t="shared" si="18"/>
        <v>8106.2745409772833</v>
      </c>
      <c r="V41" s="877">
        <f t="shared" si="15"/>
        <v>304949.6052529416</v>
      </c>
      <c r="W41" s="878">
        <f>W36+W37-W38+W39-W40</f>
        <v>107354.48782975171</v>
      </c>
      <c r="X41" s="880">
        <f>X36+X37-X38+X39-X40</f>
        <v>99327.957117894432</v>
      </c>
      <c r="Y41" s="880">
        <f>Y36+Y37-Y38+Y39-Y40</f>
        <v>89255.883517302194</v>
      </c>
      <c r="Z41" s="879">
        <f>Z36+Z37-Z38+Z39-Z40</f>
        <v>80626.093997816177</v>
      </c>
      <c r="AA41" s="877">
        <f t="shared" si="16"/>
        <v>376564.42246276455</v>
      </c>
    </row>
    <row r="42" spans="1:27" ht="16.5" customHeight="1" outlineLevel="1">
      <c r="A42" s="831"/>
      <c r="B42" s="126"/>
      <c r="C42" s="830" t="str">
        <f>IF(IFS!C43="","",IFS!C43)</f>
        <v>Interest payable</v>
      </c>
      <c r="J42" s="142">
        <f>SUMIF(Timing!$J$5:$AG$5,J$8,IFS!$J43:$AG43)</f>
        <v>0</v>
      </c>
      <c r="K42" s="142">
        <f>SUMIF(Timing!$J$5:$AG$5,K$8,IFS!$J43:$AG43)</f>
        <v>0</v>
      </c>
      <c r="L42" s="159">
        <f>SUMIF(Timing!$J$5:$AG$5,L$8,IFS!$J43:$AG43)</f>
        <v>0</v>
      </c>
      <c r="M42" s="160">
        <f>SUMIF(Timing!$J$5:$AG$5,M$8,IFS!$J43:$AG43)</f>
        <v>2200.833333333333</v>
      </c>
      <c r="N42" s="142">
        <f ca="1">SUMIF(Timing!$J$5:$AG$5,N$8,IFS!$J43:$AG43)</f>
        <v>3449.50876625</v>
      </c>
      <c r="O42" s="159">
        <f ca="1">SUMIF(Timing!$J$5:$AG$5,O$8,IFS!$J43:$AG43)</f>
        <v>1474.2149497208331</v>
      </c>
      <c r="P42" s="160">
        <f ca="1">SUMIF(Timing!$J$5:$AG$5,P$8,IFS!$J43:$AG43)</f>
        <v>1257.1232680986247</v>
      </c>
      <c r="Q42" s="142">
        <f ca="1">SUMIF(Timing!$J$5:$AG$5,Q$8,IFS!$J43:$AG43)</f>
        <v>1311.6666666666667</v>
      </c>
      <c r="R42" s="159">
        <f ca="1">SUMIF(Timing!$J$5:$AG$5,R$8,IFS!$J43:$AG43)</f>
        <v>1311.6666666666667</v>
      </c>
      <c r="S42" s="160">
        <f ca="1">SUMIF(Timing!$J$5:$AG$5,S$8,IFS!$J43:$AG43)</f>
        <v>1292.9166666666667</v>
      </c>
      <c r="T42" s="142">
        <f ca="1">SUMIF(Timing!$J$5:$AG$5,T$8,IFS!$J43:$AG43)</f>
        <v>1292.9166666666667</v>
      </c>
      <c r="U42" s="142">
        <f ca="1">SUMIF(Timing!$J$5:$AG$5,U$8,IFS!$J43:$AG43)</f>
        <v>1292.9166666666667</v>
      </c>
      <c r="V42" s="143">
        <f t="shared" ca="1" si="15"/>
        <v>14883.76365073612</v>
      </c>
      <c r="W42" s="165">
        <f ca="1">SUMPRODUCT((Timing!$J$29:$AG$29=1)*(Timing!$J$15:$AG$15=2)*(IFS!$J43:$AG43))</f>
        <v>3793.3333333333335</v>
      </c>
      <c r="X42" s="171">
        <f ca="1">SUMPRODUCT((Timing!$J$29:$AG$29=2)*(Timing!$J$15:$AG$15=2)*(IFS!$J43:$AG43))</f>
        <v>4428.75</v>
      </c>
      <c r="Y42" s="171">
        <f ca="1">SUMPRODUCT((Timing!$J$29:$AG$29=3)*(Timing!$J$15:$AG$15=2)*(IFS!$J43:$AG43))</f>
        <v>4235</v>
      </c>
      <c r="Z42" s="166">
        <f ca="1">SUMPRODUCT((Timing!$J$29:$AG$29=4)*(Timing!$J$15:$AG$15=2)*(IFS!$J43:$AG43))</f>
        <v>4085</v>
      </c>
      <c r="AA42" s="143">
        <f t="shared" ca="1" si="16"/>
        <v>16542.083333333336</v>
      </c>
    </row>
    <row r="43" spans="1:27" ht="16.5" customHeight="1" outlineLevel="1">
      <c r="A43" s="831"/>
      <c r="B43" s="126"/>
      <c r="C43" s="830" t="str">
        <f>IF(IFS!C44="","",IFS!C44)</f>
        <v>Interest receivable</v>
      </c>
      <c r="J43" s="142">
        <f>SUMIF(Timing!$J$5:$AG$5,J$8,IFS!$J44:$AG44)</f>
        <v>0</v>
      </c>
      <c r="K43" s="142">
        <f>SUMIF(Timing!$J$5:$AG$5,K$8,IFS!$J44:$AG44)</f>
        <v>0</v>
      </c>
      <c r="L43" s="159">
        <f>SUMIF(Timing!$J$5:$AG$5,L$8,IFS!$J44:$AG44)</f>
        <v>0</v>
      </c>
      <c r="M43" s="160">
        <f>SUMIF(Timing!$J$5:$AG$5,M$8,IFS!$J44:$AG44)</f>
        <v>6.25</v>
      </c>
      <c r="N43" s="142">
        <f ca="1">SUMIF(Timing!$J$5:$AG$5,N$8,IFS!$J44:$AG44)</f>
        <v>0</v>
      </c>
      <c r="O43" s="159">
        <f ca="1">SUMIF(Timing!$J$5:$AG$5,O$8,IFS!$J44:$AG44)</f>
        <v>0</v>
      </c>
      <c r="P43" s="160">
        <f ca="1">SUMIF(Timing!$J$5:$AG$5,P$8,IFS!$J44:$AG44)</f>
        <v>0</v>
      </c>
      <c r="Q43" s="142">
        <f ca="1">SUMIF(Timing!$J$5:$AG$5,Q$8,IFS!$J44:$AG44)</f>
        <v>65.398914499208331</v>
      </c>
      <c r="R43" s="159">
        <f ca="1">SUMIF(Timing!$J$5:$AG$5,R$8,IFS!$J44:$AG44)</f>
        <v>61.332165751621964</v>
      </c>
      <c r="S43" s="160">
        <f ca="1">SUMIF(Timing!$J$5:$AG$5,S$8,IFS!$J44:$AG44)</f>
        <v>70.400458855444001</v>
      </c>
      <c r="T43" s="142">
        <f ca="1">SUMIF(Timing!$J$5:$AG$5,T$8,IFS!$J44:$AG44)</f>
        <v>199.63864246709906</v>
      </c>
      <c r="U43" s="142">
        <f ca="1">SUMIF(Timing!$J$5:$AG$5,U$8,IFS!$J44:$AG44)</f>
        <v>243.81094353681067</v>
      </c>
      <c r="V43" s="143">
        <f t="shared" ca="1" si="15"/>
        <v>646.83112511018408</v>
      </c>
      <c r="W43" s="165">
        <f ca="1">SUMPRODUCT((Timing!$J$29:$AG$29=1)*(Timing!$J$15:$AG$15=2)*(IFS!$J44:$AG44))</f>
        <v>925.21637290459694</v>
      </c>
      <c r="X43" s="171">
        <f ca="1">SUMPRODUCT((Timing!$J$29:$AG$29=2)*(Timing!$J$15:$AG$15=2)*(IFS!$J44:$AG44))</f>
        <v>598.41424630432618</v>
      </c>
      <c r="Y43" s="171">
        <f ca="1">SUMPRODUCT((Timing!$J$29:$AG$29=3)*(Timing!$J$15:$AG$15=2)*(IFS!$J44:$AG44))</f>
        <v>539.32977463209261</v>
      </c>
      <c r="Z43" s="166">
        <f ca="1">SUMPRODUCT((Timing!$J$29:$AG$29=4)*(Timing!$J$15:$AG$15=2)*(IFS!$J44:$AG44))</f>
        <v>817.99314109778004</v>
      </c>
      <c r="AA43" s="143">
        <f t="shared" ca="1" si="16"/>
        <v>2880.9535349387961</v>
      </c>
    </row>
    <row r="44" spans="1:27" ht="16.5" customHeight="1" outlineLevel="1">
      <c r="A44" s="831"/>
      <c r="B44" s="126"/>
      <c r="C44" s="830" t="str">
        <f>IF(IFS!C45="","",IFS!C45)</f>
        <v>Extraordinary expenses</v>
      </c>
      <c r="J44" s="142">
        <f>SUMIF(Timing!$J$5:$AG$5,J$8,IFS!$J45:$AG45)</f>
        <v>0</v>
      </c>
      <c r="K44" s="142">
        <f>SUMIF(Timing!$J$5:$AG$5,K$8,IFS!$J45:$AG45)</f>
        <v>0</v>
      </c>
      <c r="L44" s="159">
        <f>SUMIF(Timing!$J$5:$AG$5,L$8,IFS!$J45:$AG45)</f>
        <v>0</v>
      </c>
      <c r="M44" s="160">
        <f>SUMIF(Timing!$J$5:$AG$5,M$8,IFS!$J45:$AG45)</f>
        <v>0</v>
      </c>
      <c r="N44" s="142">
        <f>SUMIF(Timing!$J$5:$AG$5,N$8,IFS!$J45:$AG45)</f>
        <v>1000</v>
      </c>
      <c r="O44" s="159">
        <f>SUMIF(Timing!$J$5:$AG$5,O$8,IFS!$J45:$AG45)</f>
        <v>0</v>
      </c>
      <c r="P44" s="160">
        <f>SUMIF(Timing!$J$5:$AG$5,P$8,IFS!$J45:$AG45)</f>
        <v>0</v>
      </c>
      <c r="Q44" s="142">
        <f>SUMIF(Timing!$J$5:$AG$5,Q$8,IFS!$J45:$AG45)</f>
        <v>0</v>
      </c>
      <c r="R44" s="159">
        <f>SUMIF(Timing!$J$5:$AG$5,R$8,IFS!$J45:$AG45)</f>
        <v>0</v>
      </c>
      <c r="S44" s="160">
        <f>SUMIF(Timing!$J$5:$AG$5,S$8,IFS!$J45:$AG45)</f>
        <v>0</v>
      </c>
      <c r="T44" s="142">
        <f>SUMIF(Timing!$J$5:$AG$5,T$8,IFS!$J45:$AG45)</f>
        <v>0</v>
      </c>
      <c r="U44" s="142">
        <f>SUMIF(Timing!$J$5:$AG$5,U$8,IFS!$J45:$AG45)</f>
        <v>0</v>
      </c>
      <c r="V44" s="143">
        <f t="shared" si="15"/>
        <v>1000</v>
      </c>
      <c r="W44" s="165">
        <f>SUMPRODUCT((Timing!$J$29:$AG$29=1)*(Timing!$J$15:$AG$15=2)*(IFS!$J45:$AG45))</f>
        <v>0</v>
      </c>
      <c r="X44" s="171">
        <f>SUMPRODUCT((Timing!$J$29:$AG$29=2)*(Timing!$J$15:$AG$15=2)*(IFS!$J45:$AG45))</f>
        <v>0</v>
      </c>
      <c r="Y44" s="171">
        <f>SUMPRODUCT((Timing!$J$29:$AG$29=3)*(Timing!$J$15:$AG$15=2)*(IFS!$J45:$AG45))</f>
        <v>1750</v>
      </c>
      <c r="Z44" s="166">
        <f>SUMPRODUCT((Timing!$J$29:$AG$29=4)*(Timing!$J$15:$AG$15=2)*(IFS!$J45:$AG45))</f>
        <v>0</v>
      </c>
      <c r="AA44" s="143">
        <f t="shared" si="16"/>
        <v>1750</v>
      </c>
    </row>
    <row r="45" spans="1:27" ht="16.5" customHeight="1" outlineLevel="1">
      <c r="A45" s="831"/>
      <c r="B45" s="126"/>
      <c r="C45" s="830" t="str">
        <f>IF(IFS!C46="","",IFS!C46)</f>
        <v>Extraordinary income</v>
      </c>
      <c r="J45" s="142">
        <f>SUMIF(Timing!$J$5:$AG$5,J$8,IFS!$J46:$AG46)</f>
        <v>0</v>
      </c>
      <c r="K45" s="142">
        <f>SUMIF(Timing!$J$5:$AG$5,K$8,IFS!$J46:$AG46)</f>
        <v>0</v>
      </c>
      <c r="L45" s="159">
        <f>SUMIF(Timing!$J$5:$AG$5,L$8,IFS!$J46:$AG46)</f>
        <v>0</v>
      </c>
      <c r="M45" s="160">
        <f>SUMIF(Timing!$J$5:$AG$5,M$8,IFS!$J46:$AG46)</f>
        <v>0</v>
      </c>
      <c r="N45" s="142">
        <f>SUMIF(Timing!$J$5:$AG$5,N$8,IFS!$J46:$AG46)</f>
        <v>0</v>
      </c>
      <c r="O45" s="159">
        <f>SUMIF(Timing!$J$5:$AG$5,O$8,IFS!$J46:$AG46)</f>
        <v>0</v>
      </c>
      <c r="P45" s="160">
        <f>SUMIF(Timing!$J$5:$AG$5,P$8,IFS!$J46:$AG46)</f>
        <v>0</v>
      </c>
      <c r="Q45" s="142">
        <f>SUMIF(Timing!$J$5:$AG$5,Q$8,IFS!$J46:$AG46)</f>
        <v>0</v>
      </c>
      <c r="R45" s="159">
        <f>SUMIF(Timing!$J$5:$AG$5,R$8,IFS!$J46:$AG46)</f>
        <v>0</v>
      </c>
      <c r="S45" s="160">
        <f>SUMIF(Timing!$J$5:$AG$5,S$8,IFS!$J46:$AG46)</f>
        <v>0</v>
      </c>
      <c r="T45" s="142">
        <f>SUMIF(Timing!$J$5:$AG$5,T$8,IFS!$J46:$AG46)</f>
        <v>6500</v>
      </c>
      <c r="U45" s="142">
        <f>SUMIF(Timing!$J$5:$AG$5,U$8,IFS!$J46:$AG46)</f>
        <v>0</v>
      </c>
      <c r="V45" s="143">
        <f t="shared" si="15"/>
        <v>6500</v>
      </c>
      <c r="W45" s="165">
        <f>SUMPRODUCT((Timing!$J$29:$AG$29=1)*(Timing!$J$15:$AG$15=2)*(IFS!$J46:$AG46))</f>
        <v>0</v>
      </c>
      <c r="X45" s="171">
        <f>SUMPRODUCT((Timing!$J$29:$AG$29=2)*(Timing!$J$15:$AG$15=2)*(IFS!$J46:$AG46))</f>
        <v>0</v>
      </c>
      <c r="Y45" s="171">
        <f>SUMPRODUCT((Timing!$J$29:$AG$29=3)*(Timing!$J$15:$AG$15=2)*(IFS!$J46:$AG46))</f>
        <v>0</v>
      </c>
      <c r="Z45" s="166">
        <f>SUMPRODUCT((Timing!$J$29:$AG$29=4)*(Timing!$J$15:$AG$15=2)*(IFS!$J46:$AG46))</f>
        <v>0</v>
      </c>
      <c r="AA45" s="143">
        <f t="shared" si="16"/>
        <v>0</v>
      </c>
    </row>
    <row r="46" spans="1:27" ht="16.5" customHeight="1">
      <c r="A46" s="831"/>
      <c r="B46" s="126"/>
      <c r="C46" s="837" t="str">
        <f>IF(IFS!C47="","",IFS!C47)</f>
        <v>Net Profit before Tax</v>
      </c>
      <c r="D46" s="838"/>
      <c r="E46" s="838"/>
      <c r="F46" s="838"/>
      <c r="G46" s="838"/>
      <c r="H46" s="838"/>
      <c r="I46" s="838"/>
      <c r="J46" s="877">
        <f t="shared" ref="J46:Z46" si="19">J41-J42+J43-J44+J45</f>
        <v>0</v>
      </c>
      <c r="K46" s="877">
        <f t="shared" si="19"/>
        <v>0</v>
      </c>
      <c r="L46" s="878">
        <f t="shared" si="19"/>
        <v>0</v>
      </c>
      <c r="M46" s="879">
        <f t="shared" si="19"/>
        <v>25091.629444444447</v>
      </c>
      <c r="N46" s="877">
        <f t="shared" ca="1" si="19"/>
        <v>30335.313567083322</v>
      </c>
      <c r="O46" s="878">
        <f t="shared" ca="1" si="19"/>
        <v>29687.892756945814</v>
      </c>
      <c r="P46" s="879">
        <f t="shared" ca="1" si="19"/>
        <v>34117.975998968053</v>
      </c>
      <c r="Q46" s="877">
        <f t="shared" ca="1" si="19"/>
        <v>29334.08132423654</v>
      </c>
      <c r="R46" s="878">
        <f t="shared" ca="1" si="19"/>
        <v>16720.734966252985</v>
      </c>
      <c r="S46" s="879">
        <f t="shared" ca="1" si="19"/>
        <v>112223.71650819518</v>
      </c>
      <c r="T46" s="877">
        <f t="shared" ca="1" si="19"/>
        <v>11644.159343341897</v>
      </c>
      <c r="U46" s="877">
        <f t="shared" ca="1" si="19"/>
        <v>7057.1688178474269</v>
      </c>
      <c r="V46" s="877">
        <f t="shared" ca="1" si="15"/>
        <v>296212.67272731569</v>
      </c>
      <c r="W46" s="878">
        <f t="shared" ca="1" si="19"/>
        <v>104486.37086932299</v>
      </c>
      <c r="X46" s="880">
        <f t="shared" ca="1" si="19"/>
        <v>95497.621364198756</v>
      </c>
      <c r="Y46" s="880">
        <f t="shared" ca="1" si="19"/>
        <v>83810.213291934284</v>
      </c>
      <c r="Z46" s="879">
        <f t="shared" ca="1" si="19"/>
        <v>77359.08713891395</v>
      </c>
      <c r="AA46" s="877">
        <f t="shared" ref="AA46:AA47" ca="1" si="20">SUM(W46:Z46)</f>
        <v>361153.29266436992</v>
      </c>
    </row>
    <row r="47" spans="1:27" ht="16.5" customHeight="1">
      <c r="A47" s="831"/>
      <c r="B47" s="126"/>
      <c r="C47" s="830" t="str">
        <f>IF(IFS!C48="","",IFS!C48)</f>
        <v>Taxes on income</v>
      </c>
      <c r="J47" s="142">
        <f>SUMIF(Timing!$J$5:$AG$5,J$8,IFS!$J48:$AG48)</f>
        <v>0</v>
      </c>
      <c r="K47" s="142">
        <f>SUMIF(Timing!$J$5:$AG$5,K$8,IFS!$J48:$AG48)</f>
        <v>0</v>
      </c>
      <c r="L47" s="159">
        <f>SUMIF(Timing!$J$5:$AG$5,L$8,IFS!$J48:$AG48)</f>
        <v>0</v>
      </c>
      <c r="M47" s="160">
        <f ca="1">SUMIF(Timing!$J$5:$AG$5,M$8,IFS!$J48:$AG48)</f>
        <v>9873.755757577188</v>
      </c>
      <c r="N47" s="142">
        <f ca="1">SUMIF(Timing!$J$5:$AG$5,N$8,IFS!$J48:$AG48)</f>
        <v>9873.755757577188</v>
      </c>
      <c r="O47" s="159">
        <f ca="1">SUMIF(Timing!$J$5:$AG$5,O$8,IFS!$J48:$AG48)</f>
        <v>9873.755757577188</v>
      </c>
      <c r="P47" s="160">
        <f ca="1">SUMIF(Timing!$J$5:$AG$5,P$8,IFS!$J48:$AG48)</f>
        <v>9873.755757577188</v>
      </c>
      <c r="Q47" s="142">
        <f ca="1">SUMIF(Timing!$J$5:$AG$5,Q$8,IFS!$J48:$AG48)</f>
        <v>9873.755757577188</v>
      </c>
      <c r="R47" s="159">
        <f ca="1">SUMIF(Timing!$J$5:$AG$5,R$8,IFS!$J48:$AG48)</f>
        <v>9873.755757577188</v>
      </c>
      <c r="S47" s="160">
        <f ca="1">SUMIF(Timing!$J$5:$AG$5,S$8,IFS!$J48:$AG48)</f>
        <v>9873.755757577188</v>
      </c>
      <c r="T47" s="142">
        <f ca="1">SUMIF(Timing!$J$5:$AG$5,T$8,IFS!$J48:$AG48)</f>
        <v>9873.755757577188</v>
      </c>
      <c r="U47" s="142">
        <f ca="1">SUMIF(Timing!$J$5:$AG$5,U$8,IFS!$J48:$AG48)</f>
        <v>9873.755757577188</v>
      </c>
      <c r="V47" s="143">
        <f t="shared" ca="1" si="15"/>
        <v>88863.801818194697</v>
      </c>
      <c r="W47" s="165">
        <f ca="1">SUMPRODUCT((Timing!$J$29:$AG$29=1)*(Timing!$J$15:$AG$15=2)*(IFS!$J48:$AG48))</f>
        <v>27086.496949827742</v>
      </c>
      <c r="X47" s="171">
        <f ca="1">SUMPRODUCT((Timing!$J$29:$AG$29=2)*(Timing!$J$15:$AG$15=2)*(IFS!$J48:$AG48))</f>
        <v>27086.496949827742</v>
      </c>
      <c r="Y47" s="171">
        <f ca="1">SUMPRODUCT((Timing!$J$29:$AG$29=3)*(Timing!$J$15:$AG$15=2)*(IFS!$J48:$AG48))</f>
        <v>27086.496949827742</v>
      </c>
      <c r="Z47" s="166">
        <f ca="1">SUMPRODUCT((Timing!$J$29:$AG$29=4)*(Timing!$J$15:$AG$15=2)*(IFS!$J48:$AG48))</f>
        <v>27086.496949827742</v>
      </c>
      <c r="AA47" s="143">
        <f t="shared" ca="1" si="20"/>
        <v>108345.98779931097</v>
      </c>
    </row>
    <row r="48" spans="1:27" ht="16.5" customHeight="1" thickBot="1">
      <c r="A48" s="831"/>
      <c r="B48" s="126"/>
      <c r="C48" s="837" t="str">
        <f>IF(IFS!C49="","",IFS!C49)</f>
        <v>Net Profit after Tax (NPAT)</v>
      </c>
      <c r="D48" s="838"/>
      <c r="E48" s="838"/>
      <c r="F48" s="838"/>
      <c r="G48" s="838"/>
      <c r="H48" s="838"/>
      <c r="I48" s="838"/>
      <c r="J48" s="887">
        <f t="shared" ref="J48:Z48" si="21">J46-J47</f>
        <v>0</v>
      </c>
      <c r="K48" s="887">
        <f t="shared" si="21"/>
        <v>0</v>
      </c>
      <c r="L48" s="888">
        <f t="shared" si="21"/>
        <v>0</v>
      </c>
      <c r="M48" s="889">
        <f t="shared" ca="1" si="21"/>
        <v>15217.873686867259</v>
      </c>
      <c r="N48" s="887">
        <f t="shared" ca="1" si="21"/>
        <v>20461.557809506136</v>
      </c>
      <c r="O48" s="888">
        <f t="shared" ca="1" si="21"/>
        <v>19814.136999368624</v>
      </c>
      <c r="P48" s="889">
        <f t="shared" ca="1" si="21"/>
        <v>24244.220241390867</v>
      </c>
      <c r="Q48" s="887">
        <f t="shared" ca="1" si="21"/>
        <v>19460.325566659354</v>
      </c>
      <c r="R48" s="888">
        <f t="shared" ca="1" si="21"/>
        <v>6846.9792086757971</v>
      </c>
      <c r="S48" s="889">
        <f t="shared" ca="1" si="21"/>
        <v>102349.96075061799</v>
      </c>
      <c r="T48" s="887">
        <f t="shared" ca="1" si="21"/>
        <v>1770.4035857647086</v>
      </c>
      <c r="U48" s="887">
        <f t="shared" ca="1" si="21"/>
        <v>-2816.5869397297611</v>
      </c>
      <c r="V48" s="887">
        <f t="shared" ca="1" si="15"/>
        <v>207348.87090912097</v>
      </c>
      <c r="W48" s="888">
        <f t="shared" ca="1" si="21"/>
        <v>77399.873919495236</v>
      </c>
      <c r="X48" s="890">
        <f t="shared" ca="1" si="21"/>
        <v>68411.124414371006</v>
      </c>
      <c r="Y48" s="890">
        <f t="shared" ca="1" si="21"/>
        <v>56723.716342106542</v>
      </c>
      <c r="Z48" s="889">
        <f t="shared" ca="1" si="21"/>
        <v>50272.590189086208</v>
      </c>
      <c r="AA48" s="887">
        <f t="shared" ref="AA48" ca="1" si="22">SUM(W48:Z48)</f>
        <v>252807.30486505901</v>
      </c>
    </row>
    <row r="49" spans="1:27" ht="16.5" customHeight="1" thickTop="1">
      <c r="A49" s="831"/>
      <c r="B49" s="126"/>
      <c r="C49" s="48" t="str">
        <f>IF(IFS!C50="","",IFS!C50)</f>
        <v xml:space="preserve">   cumulated</v>
      </c>
      <c r="I49" s="147">
        <f>Inputs!F248</f>
        <v>-33500</v>
      </c>
      <c r="J49" s="144">
        <f>I49+J48</f>
        <v>-33500</v>
      </c>
      <c r="K49" s="144">
        <f t="shared" ref="K49:Z49" si="23">J49+K48</f>
        <v>-33500</v>
      </c>
      <c r="L49" s="165">
        <f t="shared" si="23"/>
        <v>-33500</v>
      </c>
      <c r="M49" s="166">
        <f t="shared" ca="1" si="23"/>
        <v>-18282.126313132743</v>
      </c>
      <c r="N49" s="144">
        <f t="shared" ca="1" si="23"/>
        <v>2179.4314963733923</v>
      </c>
      <c r="O49" s="165">
        <f t="shared" ca="1" si="23"/>
        <v>21993.568495742016</v>
      </c>
      <c r="P49" s="166">
        <f t="shared" ca="1" si="23"/>
        <v>46237.788737132883</v>
      </c>
      <c r="Q49" s="144">
        <f t="shared" ca="1" si="23"/>
        <v>65698.114303792245</v>
      </c>
      <c r="R49" s="165">
        <f t="shared" ca="1" si="23"/>
        <v>72545.09351246804</v>
      </c>
      <c r="S49" s="166">
        <f t="shared" ca="1" si="23"/>
        <v>174895.05426308603</v>
      </c>
      <c r="T49" s="144">
        <f t="shared" ca="1" si="23"/>
        <v>176665.45784885072</v>
      </c>
      <c r="U49" s="144">
        <f t="shared" ca="1" si="23"/>
        <v>173848.87090912097</v>
      </c>
      <c r="V49" s="143">
        <f ca="1">U49</f>
        <v>173848.87090912097</v>
      </c>
      <c r="W49" s="165">
        <f ca="1">U49+W48</f>
        <v>251248.74482861621</v>
      </c>
      <c r="X49" s="171">
        <f t="shared" ca="1" si="23"/>
        <v>319659.86924298725</v>
      </c>
      <c r="Y49" s="171">
        <f t="shared" ca="1" si="23"/>
        <v>376383.58558509377</v>
      </c>
      <c r="Z49" s="166">
        <f t="shared" ca="1" si="23"/>
        <v>426656.17577417998</v>
      </c>
      <c r="AA49" s="143">
        <f ca="1">Z49</f>
        <v>426656.17577417998</v>
      </c>
    </row>
    <row r="50" spans="1:27">
      <c r="A50" s="831"/>
      <c r="B50" s="192"/>
      <c r="C50" s="257" t="s">
        <v>735</v>
      </c>
      <c r="D50" s="253"/>
      <c r="E50" s="253"/>
      <c r="F50" s="253"/>
      <c r="G50" s="253"/>
      <c r="H50" s="253"/>
      <c r="I50" s="643">
        <f ca="1">ROUND(LOOKUP(Enddatum,IFS!$J$5:$AG$5,IFS!$J$50:$AG$50)-LOOKUP(Enddatum,$J$8:$AA$8,$J$49:$AA$49),2)</f>
        <v>0</v>
      </c>
      <c r="J50" s="253"/>
    </row>
    <row r="51" spans="1:27">
      <c r="A51" s="831"/>
      <c r="B51" s="126"/>
      <c r="I51" s="385"/>
    </row>
    <row r="52" spans="1:27" ht="16.5" customHeight="1">
      <c r="A52" s="831"/>
      <c r="B52" s="126"/>
    </row>
    <row r="53" spans="1:27" ht="16.5" customHeight="1"/>
    <row r="54" spans="1:27" ht="16.5" customHeight="1"/>
    <row r="55" spans="1:27" ht="16.5" customHeight="1"/>
  </sheetData>
  <sheetProtection password="F66A" sheet="1"/>
  <mergeCells count="2">
    <mergeCell ref="J5:U5"/>
    <mergeCell ref="W5:Z5"/>
  </mergeCells>
  <conditionalFormatting sqref="D3">
    <cfRule type="cellIs" dxfId="466" priority="2" operator="notEqual">
      <formula>0</formula>
    </cfRule>
  </conditionalFormatting>
  <conditionalFormatting sqref="I50">
    <cfRule type="cellIs" dxfId="465" priority="1" operator="notEqual">
      <formula>0</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5" fitToWidth="2" pageOrder="overThenDown" orientation="landscape" r:id="rId1"/>
  <headerFooter>
    <oddFooter>&amp;Lwww.excel-financial-model.com&amp;C&amp;A&amp;Rpage &amp;P of &amp;N</oddFooter>
  </headerFooter>
  <colBreaks count="1" manualBreakCount="1">
    <brk id="22" min="4" max="5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Uebersicht03">
    <tabColor rgb="FFFF0000"/>
  </sheetPr>
  <dimension ref="A1:NE60"/>
  <sheetViews>
    <sheetView showGridLines="0" zoomScale="85" zoomScaleNormal="85" zoomScaleSheetLayoutView="85" workbookViewId="0"/>
  </sheetViews>
  <sheetFormatPr baseColWidth="10" defaultColWidth="0" defaultRowHeight="12.75" outlineLevelCol="1"/>
  <cols>
    <col min="1" max="2" width="4.140625" style="203" customWidth="1"/>
    <col min="3" max="3" width="36.7109375" style="203" customWidth="1"/>
    <col min="4" max="4" width="18" style="203" customWidth="1"/>
    <col min="5" max="5" width="4.7109375" style="203" customWidth="1"/>
    <col min="6" max="6" width="3.140625" style="203" customWidth="1"/>
    <col min="7" max="7" width="3.7109375" style="203" customWidth="1"/>
    <col min="8" max="8" width="13.85546875" style="203" customWidth="1"/>
    <col min="9" max="9" width="10.85546875" style="203" customWidth="1"/>
    <col min="10" max="21" width="13.7109375" style="203" customWidth="1" outlineLevel="1"/>
    <col min="22" max="22" width="17.28515625" style="203" customWidth="1"/>
    <col min="23" max="26" width="13.7109375" style="203" customWidth="1" outlineLevel="1"/>
    <col min="27" max="27" width="17.28515625" style="203" customWidth="1"/>
    <col min="28" max="65" width="11.42578125" style="203" hidden="1" customWidth="1"/>
    <col min="66" max="369" width="0" style="203" hidden="1" customWidth="1"/>
    <col min="370" max="16384" width="11.42578125" style="203" hidden="1"/>
  </cols>
  <sheetData>
    <row r="1" spans="1:28" ht="20.25">
      <c r="A1" s="41" t="s">
        <v>388</v>
      </c>
      <c r="B1" s="41"/>
      <c r="C1" s="41"/>
      <c r="D1" s="41"/>
      <c r="E1" s="356"/>
      <c r="F1" s="41"/>
      <c r="G1" s="41"/>
      <c r="H1" s="41"/>
      <c r="I1" s="41"/>
      <c r="J1" s="41"/>
      <c r="K1" s="41"/>
      <c r="L1" s="41"/>
      <c r="M1" s="41"/>
      <c r="N1" s="41"/>
      <c r="O1" s="41"/>
      <c r="P1" s="41"/>
      <c r="Q1" s="41"/>
      <c r="R1" s="41"/>
      <c r="S1" s="41"/>
      <c r="T1" s="41"/>
      <c r="U1" s="41"/>
      <c r="V1" s="41"/>
      <c r="W1" s="41"/>
      <c r="X1" s="41"/>
      <c r="Y1" s="41"/>
      <c r="Z1" s="41"/>
      <c r="AA1" s="41"/>
    </row>
    <row r="2" spans="1:28" ht="15">
      <c r="A2" s="1021"/>
      <c r="B2" s="186"/>
      <c r="C2" s="186" t="str">
        <f>Timing!C2</f>
        <v>Model: 5 Year Forecast</v>
      </c>
      <c r="D2" s="186"/>
      <c r="E2" s="646" t="s">
        <v>148</v>
      </c>
      <c r="F2" s="185"/>
      <c r="G2" s="185"/>
      <c r="H2" s="388"/>
      <c r="I2" s="388"/>
      <c r="J2" s="388"/>
      <c r="K2" s="388"/>
      <c r="L2" s="388"/>
      <c r="M2" s="388"/>
    </row>
    <row r="3" spans="1:28" ht="20.25">
      <c r="A3" s="255"/>
      <c r="B3" s="255"/>
      <c r="C3" s="186" t="str">
        <f>Timing!C3</f>
        <v>Model Integrity:</v>
      </c>
      <c r="D3" s="836">
        <f ca="1">Timing!D3</f>
        <v>0</v>
      </c>
      <c r="E3" s="646" t="s">
        <v>149</v>
      </c>
      <c r="F3" s="185"/>
      <c r="G3" s="256"/>
      <c r="H3" s="256"/>
      <c r="I3" s="188"/>
      <c r="J3" s="388"/>
      <c r="K3" s="388"/>
      <c r="L3" s="388"/>
      <c r="M3" s="388"/>
      <c r="N3" s="388"/>
      <c r="O3" s="388"/>
      <c r="P3" s="388"/>
      <c r="Q3" s="388"/>
      <c r="R3" s="388"/>
      <c r="S3" s="388"/>
      <c r="T3" s="67"/>
      <c r="V3" s="381"/>
      <c r="X3" s="67"/>
      <c r="Z3" s="67"/>
      <c r="AB3" s="67"/>
    </row>
    <row r="4" spans="1:28" ht="24" thickBot="1">
      <c r="A4" s="149"/>
      <c r="B4" s="149"/>
      <c r="C4" s="38"/>
      <c r="D4" s="148"/>
      <c r="E4" s="38"/>
      <c r="F4" s="38"/>
      <c r="G4" s="38"/>
      <c r="H4" s="38"/>
      <c r="I4" s="38"/>
      <c r="J4" s="38"/>
      <c r="K4" s="38"/>
      <c r="L4" s="38"/>
      <c r="M4" s="38"/>
      <c r="N4" s="38"/>
      <c r="O4" s="38"/>
      <c r="P4" s="38"/>
      <c r="Q4" s="38"/>
      <c r="R4" s="38"/>
      <c r="S4" s="38"/>
      <c r="T4" s="38"/>
      <c r="U4" s="38"/>
      <c r="V4" s="38"/>
      <c r="W4" s="38"/>
      <c r="X4" s="38"/>
      <c r="Y4" s="38"/>
      <c r="Z4" s="38"/>
      <c r="AA4" s="38"/>
    </row>
    <row r="5" spans="1:28" ht="19.5" customHeight="1">
      <c r="A5" s="831"/>
      <c r="B5" s="126"/>
      <c r="D5" s="120"/>
      <c r="E5" s="40"/>
      <c r="F5" s="40"/>
      <c r="G5" s="40"/>
      <c r="H5" s="40"/>
      <c r="I5" s="40"/>
      <c r="J5" s="1139" t="s">
        <v>949</v>
      </c>
      <c r="K5" s="1139"/>
      <c r="L5" s="1139"/>
      <c r="M5" s="1139"/>
      <c r="N5" s="1139"/>
      <c r="O5" s="1139"/>
      <c r="P5" s="1139"/>
      <c r="Q5" s="1139"/>
      <c r="R5" s="1139"/>
      <c r="S5" s="1139"/>
      <c r="T5" s="1139"/>
      <c r="U5" s="1139"/>
      <c r="V5" s="172" t="s">
        <v>949</v>
      </c>
      <c r="W5" s="1139" t="s">
        <v>950</v>
      </c>
      <c r="X5" s="1139"/>
      <c r="Y5" s="1139"/>
      <c r="Z5" s="1139"/>
      <c r="AA5" s="172" t="s">
        <v>950</v>
      </c>
    </row>
    <row r="6" spans="1:28" ht="24" thickBot="1">
      <c r="A6" s="149"/>
      <c r="B6" s="149"/>
      <c r="C6" s="38" t="s">
        <v>388</v>
      </c>
      <c r="D6" s="38"/>
      <c r="E6" s="38"/>
      <c r="F6" s="38"/>
      <c r="G6" s="38"/>
      <c r="H6" s="38"/>
      <c r="I6" s="38"/>
      <c r="J6" s="173"/>
      <c r="K6" s="156">
        <v>1</v>
      </c>
      <c r="L6" s="174"/>
      <c r="M6" s="173"/>
      <c r="N6" s="156">
        <v>2</v>
      </c>
      <c r="O6" s="174"/>
      <c r="P6" s="173"/>
      <c r="Q6" s="156">
        <v>3</v>
      </c>
      <c r="R6" s="174"/>
      <c r="S6" s="173"/>
      <c r="T6" s="156">
        <v>4</v>
      </c>
      <c r="U6" s="174"/>
      <c r="V6" s="175" t="s">
        <v>46</v>
      </c>
      <c r="W6" s="155">
        <v>1</v>
      </c>
      <c r="X6" s="155">
        <v>2</v>
      </c>
      <c r="Y6" s="155">
        <v>3</v>
      </c>
      <c r="Z6" s="155">
        <v>4</v>
      </c>
      <c r="AA6" s="175" t="s">
        <v>46</v>
      </c>
    </row>
    <row r="7" spans="1:28" ht="17.25" customHeight="1">
      <c r="A7" s="831"/>
      <c r="B7" s="126"/>
      <c r="C7" s="195" t="str">
        <f>"   (all figures in " &amp;Currency_Label &amp;")"</f>
        <v xml:space="preserve">   (all figures in USD)</v>
      </c>
      <c r="D7" s="120"/>
      <c r="E7" s="40"/>
      <c r="F7" s="40"/>
      <c r="G7" s="68"/>
      <c r="H7" s="40"/>
      <c r="I7" s="154" t="s">
        <v>657</v>
      </c>
      <c r="J7" s="843">
        <v>43435</v>
      </c>
      <c r="K7" s="843">
        <v>43466</v>
      </c>
      <c r="L7" s="843">
        <v>43497</v>
      </c>
      <c r="M7" s="843">
        <v>43525</v>
      </c>
      <c r="N7" s="843">
        <v>43556</v>
      </c>
      <c r="O7" s="843">
        <v>43586</v>
      </c>
      <c r="P7" s="843">
        <v>43617</v>
      </c>
      <c r="Q7" s="843">
        <v>43647</v>
      </c>
      <c r="R7" s="843">
        <v>43678</v>
      </c>
      <c r="S7" s="843">
        <v>43709</v>
      </c>
      <c r="T7" s="843">
        <v>43739</v>
      </c>
      <c r="U7" s="843">
        <v>43770</v>
      </c>
      <c r="V7" s="844">
        <v>43525</v>
      </c>
      <c r="W7" s="843">
        <v>43800</v>
      </c>
      <c r="X7" s="843">
        <v>43891</v>
      </c>
      <c r="Y7" s="843">
        <v>43983</v>
      </c>
      <c r="Z7" s="843">
        <v>44075</v>
      </c>
      <c r="AA7" s="844">
        <v>43800</v>
      </c>
    </row>
    <row r="8" spans="1:28" ht="17.25" customHeight="1">
      <c r="A8" s="831"/>
      <c r="B8" s="126"/>
      <c r="D8" s="120"/>
      <c r="E8" s="40"/>
      <c r="F8" s="40"/>
      <c r="G8" s="68"/>
      <c r="H8" s="40"/>
      <c r="I8" s="154" t="s">
        <v>658</v>
      </c>
      <c r="J8" s="843">
        <v>43465</v>
      </c>
      <c r="K8" s="843">
        <v>43496</v>
      </c>
      <c r="L8" s="843">
        <v>43524</v>
      </c>
      <c r="M8" s="843">
        <v>43555</v>
      </c>
      <c r="N8" s="843">
        <v>43585</v>
      </c>
      <c r="O8" s="843">
        <v>43616</v>
      </c>
      <c r="P8" s="843">
        <v>43646</v>
      </c>
      <c r="Q8" s="843">
        <v>43677</v>
      </c>
      <c r="R8" s="843">
        <v>43708</v>
      </c>
      <c r="S8" s="843">
        <v>43738</v>
      </c>
      <c r="T8" s="843">
        <v>43769</v>
      </c>
      <c r="U8" s="843">
        <v>43799</v>
      </c>
      <c r="V8" s="844">
        <v>43799</v>
      </c>
      <c r="W8" s="843">
        <v>43890</v>
      </c>
      <c r="X8" s="843">
        <v>43982</v>
      </c>
      <c r="Y8" s="843">
        <v>44074</v>
      </c>
      <c r="Z8" s="843">
        <v>44165</v>
      </c>
      <c r="AA8" s="844">
        <v>44165</v>
      </c>
    </row>
    <row r="9" spans="1:28" ht="20.25">
      <c r="A9" s="831"/>
      <c r="B9" s="126"/>
      <c r="C9" s="2" t="str">
        <f>IF(IFS!C60="","",IFS!C60)</f>
        <v>Cash Inflows</v>
      </c>
      <c r="L9" s="157"/>
      <c r="M9" s="158"/>
      <c r="O9" s="157"/>
      <c r="P9" s="158"/>
      <c r="R9" s="157"/>
      <c r="S9" s="158"/>
      <c r="V9" s="143"/>
      <c r="W9" s="157"/>
      <c r="X9" s="167"/>
      <c r="Y9" s="167"/>
      <c r="Z9" s="158"/>
      <c r="AA9" s="143"/>
    </row>
    <row r="10" spans="1:28" ht="16.5" customHeight="1">
      <c r="A10" s="831"/>
      <c r="B10" s="126"/>
      <c r="C10" s="203" t="str">
        <f>IF(IFS!C61="","",IFS!C61)</f>
        <v>Cash collected from sales (incl. VAT)</v>
      </c>
      <c r="J10" s="142">
        <f>SUMIF(Timing!$J$5:$AG$5,J$8,IFS!$J61:$AG61)</f>
        <v>0</v>
      </c>
      <c r="K10" s="142">
        <f>SUMIF(Timing!$J$5:$AG$5,K$8,IFS!$J61:$AG61)</f>
        <v>0</v>
      </c>
      <c r="L10" s="159">
        <f>SUMIF(Timing!$J$5:$AG$5,L$8,IFS!$J61:$AG61)</f>
        <v>0</v>
      </c>
      <c r="M10" s="160">
        <f>SUMIF(Timing!$J$5:$AG$5,M$8,IFS!$J61:$AG61)</f>
        <v>135221.774</v>
      </c>
      <c r="N10" s="142">
        <f>SUMIF(Timing!$J$5:$AG$5,N$8,IFS!$J61:$AG61)</f>
        <v>168870.81209999998</v>
      </c>
      <c r="O10" s="159">
        <f>SUMIF(Timing!$J$5:$AG$5,O$8,IFS!$J61:$AG61)</f>
        <v>177966.04068099998</v>
      </c>
      <c r="P10" s="160">
        <f>SUMIF(Timing!$J$5:$AG$5,P$8,IFS!$J61:$AG61)</f>
        <v>178490.09214781001</v>
      </c>
      <c r="Q10" s="142">
        <f>SUMIF(Timing!$J$5:$AG$5,Q$8,IFS!$J61:$AG61)</f>
        <v>175595.9291292881</v>
      </c>
      <c r="R10" s="159">
        <f>SUMIF(Timing!$J$5:$AG$5,R$8,IFS!$J61:$AG61)</f>
        <v>175829.07448058098</v>
      </c>
      <c r="S10" s="160">
        <f>SUMIF(Timing!$J$5:$AG$5,S$8,IFS!$J61:$AG61)</f>
        <v>274584.2512853868</v>
      </c>
      <c r="T10" s="142">
        <f>SUMIF(Timing!$J$5:$AG$5,T$8,IFS!$J61:$AG61)</f>
        <v>172794.99485824065</v>
      </c>
      <c r="U10" s="142">
        <f>SUMIF(Timing!$J$5:$AG$5,U$8,IFS!$J61:$AG61)</f>
        <v>174590.32274682308</v>
      </c>
      <c r="V10" s="143">
        <f t="shared" ref="V10" si="0">SUM(J10:U10)</f>
        <v>1633943.2914291297</v>
      </c>
      <c r="W10" s="165">
        <f>SUMPRODUCT((Timing!$J$29:$AG$29=1)*(Timing!$J$15:$AG$15=2)*(IFS!$J61:$AG61))</f>
        <v>633216.14680597605</v>
      </c>
      <c r="X10" s="171">
        <f>SUMPRODUCT((Timing!$J$29:$AG$29=2)*(Timing!$J$15:$AG$15=2)*(IFS!$J61:$AG61))</f>
        <v>635449.22196589597</v>
      </c>
      <c r="Y10" s="171">
        <f>SUMPRODUCT((Timing!$J$29:$AG$29=3)*(Timing!$J$15:$AG$15=2)*(IFS!$J61:$AG61))</f>
        <v>639567.42281374463</v>
      </c>
      <c r="Z10" s="166">
        <f>SUMPRODUCT((Timing!$J$29:$AG$29=4)*(Timing!$J$15:$AG$15=2)*(IFS!$J61:$AG61))</f>
        <v>648208.92641403584</v>
      </c>
      <c r="AA10" s="143">
        <f t="shared" ref="AA10" si="1">SUM(W10:Z10)</f>
        <v>2556441.7179996525</v>
      </c>
    </row>
    <row r="11" spans="1:28" ht="16.5" customHeight="1">
      <c r="A11" s="831"/>
      <c r="B11" s="126"/>
      <c r="C11" s="830" t="str">
        <f>IF(IFS!C62="","",IFS!C62)</f>
        <v>Changes in advances received</v>
      </c>
      <c r="J11" s="142">
        <f>SUMIF(Timing!$J$5:$AG$5,J$8,IFS!$J62:$AG62)</f>
        <v>0</v>
      </c>
      <c r="K11" s="142">
        <f>SUMIF(Timing!$J$5:$AG$5,K$8,IFS!$J62:$AG62)</f>
        <v>0</v>
      </c>
      <c r="L11" s="159">
        <f>SUMIF(Timing!$J$5:$AG$5,L$8,IFS!$J62:$AG62)</f>
        <v>0</v>
      </c>
      <c r="M11" s="160">
        <f>SUMIF(Timing!$J$5:$AG$5,M$8,IFS!$J62:$AG62)</f>
        <v>0</v>
      </c>
      <c r="N11" s="142">
        <f>SUMIF(Timing!$J$5:$AG$5,N$8,IFS!$J62:$AG62)</f>
        <v>5000</v>
      </c>
      <c r="O11" s="159">
        <f>SUMIF(Timing!$J$5:$AG$5,O$8,IFS!$J62:$AG62)</f>
        <v>0</v>
      </c>
      <c r="P11" s="160">
        <f>SUMIF(Timing!$J$5:$AG$5,P$8,IFS!$J62:$AG62)</f>
        <v>0</v>
      </c>
      <c r="Q11" s="142">
        <f>SUMIF(Timing!$J$5:$AG$5,Q$8,IFS!$J62:$AG62)</f>
        <v>0</v>
      </c>
      <c r="R11" s="159">
        <f>SUMIF(Timing!$J$5:$AG$5,R$8,IFS!$J62:$AG62)</f>
        <v>0</v>
      </c>
      <c r="S11" s="160">
        <f>SUMIF(Timing!$J$5:$AG$5,S$8,IFS!$J62:$AG62)</f>
        <v>0</v>
      </c>
      <c r="T11" s="142">
        <f>SUMIF(Timing!$J$5:$AG$5,T$8,IFS!$J62:$AG62)</f>
        <v>0</v>
      </c>
      <c r="U11" s="142">
        <f>SUMIF(Timing!$J$5:$AG$5,U$8,IFS!$J62:$AG62)</f>
        <v>0</v>
      </c>
      <c r="V11" s="143">
        <f t="shared" ref="V11:V14" si="2">SUM(J11:U11)</f>
        <v>5000</v>
      </c>
      <c r="W11" s="165">
        <f>SUMPRODUCT((Timing!$J$29:$AG$29=1)*(Timing!$J$15:$AG$15=2)*(IFS!$J62:$AG62))</f>
        <v>0</v>
      </c>
      <c r="X11" s="171">
        <f>SUMPRODUCT((Timing!$J$29:$AG$29=2)*(Timing!$J$15:$AG$15=2)*(IFS!$J62:$AG62))</f>
        <v>-3000</v>
      </c>
      <c r="Y11" s="171">
        <f>SUMPRODUCT((Timing!$J$29:$AG$29=3)*(Timing!$J$15:$AG$15=2)*(IFS!$J62:$AG62))</f>
        <v>0</v>
      </c>
      <c r="Z11" s="166">
        <f>SUMPRODUCT((Timing!$J$29:$AG$29=4)*(Timing!$J$15:$AG$15=2)*(IFS!$J62:$AG62))</f>
        <v>-2000</v>
      </c>
      <c r="AA11" s="143">
        <f t="shared" ref="AA11:AA14" si="3">SUM(W11:Z11)</f>
        <v>-5000</v>
      </c>
    </row>
    <row r="12" spans="1:28" ht="16.5" customHeight="1">
      <c r="A12" s="831"/>
      <c r="B12" s="126"/>
      <c r="C12" s="830" t="str">
        <f>IF(IFS!C63="","",IFS!C63)</f>
        <v>Other operating &amp; extraordinary income</v>
      </c>
      <c r="J12" s="142">
        <f>SUMIF(Timing!$J$5:$AG$5,J$8,IFS!$J63:$AG63)</f>
        <v>0</v>
      </c>
      <c r="K12" s="142">
        <f>SUMIF(Timing!$J$5:$AG$5,K$8,IFS!$J63:$AG63)</f>
        <v>0</v>
      </c>
      <c r="L12" s="159">
        <f>SUMIF(Timing!$J$5:$AG$5,L$8,IFS!$J63:$AG63)</f>
        <v>0</v>
      </c>
      <c r="M12" s="160">
        <f>SUMIF(Timing!$J$5:$AG$5,M$8,IFS!$J63:$AG63)</f>
        <v>0</v>
      </c>
      <c r="N12" s="142">
        <f>SUMIF(Timing!$J$5:$AG$5,N$8,IFS!$J63:$AG63)</f>
        <v>0</v>
      </c>
      <c r="O12" s="159">
        <f>SUMIF(Timing!$J$5:$AG$5,O$8,IFS!$J63:$AG63)</f>
        <v>0</v>
      </c>
      <c r="P12" s="160">
        <f>SUMIF(Timing!$J$5:$AG$5,P$8,IFS!$J63:$AG63)</f>
        <v>4500</v>
      </c>
      <c r="Q12" s="142">
        <f>SUMIF(Timing!$J$5:$AG$5,Q$8,IFS!$J63:$AG63)</f>
        <v>0</v>
      </c>
      <c r="R12" s="159">
        <f>SUMIF(Timing!$J$5:$AG$5,R$8,IFS!$J63:$AG63)</f>
        <v>0</v>
      </c>
      <c r="S12" s="160">
        <f>SUMIF(Timing!$J$5:$AG$5,S$8,IFS!$J63:$AG63)</f>
        <v>0</v>
      </c>
      <c r="T12" s="142">
        <f>SUMIF(Timing!$J$5:$AG$5,T$8,IFS!$J63:$AG63)</f>
        <v>6500</v>
      </c>
      <c r="U12" s="142">
        <f>SUMIF(Timing!$J$5:$AG$5,U$8,IFS!$J63:$AG63)</f>
        <v>0</v>
      </c>
      <c r="V12" s="143">
        <f t="shared" si="2"/>
        <v>11000</v>
      </c>
      <c r="W12" s="165">
        <f>SUMPRODUCT((Timing!$J$29:$AG$29=1)*(Timing!$J$15:$AG$15=2)*(IFS!$J63:$AG63))</f>
        <v>0</v>
      </c>
      <c r="X12" s="171">
        <f>SUMPRODUCT((Timing!$J$29:$AG$29=2)*(Timing!$J$15:$AG$15=2)*(IFS!$J63:$AG63))</f>
        <v>7250</v>
      </c>
      <c r="Y12" s="171">
        <f>SUMPRODUCT((Timing!$J$29:$AG$29=3)*(Timing!$J$15:$AG$15=2)*(IFS!$J63:$AG63))</f>
        <v>0</v>
      </c>
      <c r="Z12" s="166">
        <f>SUMPRODUCT((Timing!$J$29:$AG$29=4)*(Timing!$J$15:$AG$15=2)*(IFS!$J63:$AG63))</f>
        <v>0</v>
      </c>
      <c r="AA12" s="143">
        <f t="shared" si="3"/>
        <v>7250</v>
      </c>
    </row>
    <row r="13" spans="1:28" ht="16.5" customHeight="1">
      <c r="A13" s="831"/>
      <c r="B13" s="126"/>
      <c r="C13" s="830" t="str">
        <f>IF(IFS!C64="","",IFS!C64)</f>
        <v>Fixed asset disposals (intangible &amp; tangible assets)</v>
      </c>
      <c r="J13" s="142">
        <f>SUMIF(Timing!$J$5:$AG$5,J$8,IFS!$J64:$AG64)</f>
        <v>0</v>
      </c>
      <c r="K13" s="142">
        <f>SUMIF(Timing!$J$5:$AG$5,K$8,IFS!$J64:$AG64)</f>
        <v>0</v>
      </c>
      <c r="L13" s="159">
        <f>SUMIF(Timing!$J$5:$AG$5,L$8,IFS!$J64:$AG64)</f>
        <v>0</v>
      </c>
      <c r="M13" s="160">
        <f>SUMIF(Timing!$J$5:$AG$5,M$8,IFS!$J64:$AG64)</f>
        <v>0</v>
      </c>
      <c r="N13" s="142">
        <f>SUMIF(Timing!$J$5:$AG$5,N$8,IFS!$J64:$AG64)</f>
        <v>0</v>
      </c>
      <c r="O13" s="159">
        <f>SUMIF(Timing!$J$5:$AG$5,O$8,IFS!$J64:$AG64)</f>
        <v>0</v>
      </c>
      <c r="P13" s="160">
        <f>SUMIF(Timing!$J$5:$AG$5,P$8,IFS!$J64:$AG64)</f>
        <v>0</v>
      </c>
      <c r="Q13" s="142">
        <f>SUMIF(Timing!$J$5:$AG$5,Q$8,IFS!$J64:$AG64)</f>
        <v>0</v>
      </c>
      <c r="R13" s="159">
        <f>SUMIF(Timing!$J$5:$AG$5,R$8,IFS!$J64:$AG64)</f>
        <v>0</v>
      </c>
      <c r="S13" s="160">
        <f>SUMIF(Timing!$J$5:$AG$5,S$8,IFS!$J64:$AG64)</f>
        <v>0</v>
      </c>
      <c r="T13" s="142">
        <f>SUMIF(Timing!$J$5:$AG$5,T$8,IFS!$J64:$AG64)</f>
        <v>0</v>
      </c>
      <c r="U13" s="142">
        <f>SUMIF(Timing!$J$5:$AG$5,U$8,IFS!$J64:$AG64)</f>
        <v>0</v>
      </c>
      <c r="V13" s="143">
        <f t="shared" si="2"/>
        <v>0</v>
      </c>
      <c r="W13" s="165">
        <f>SUMPRODUCT((Timing!$J$29:$AG$29=1)*(Timing!$J$15:$AG$15=2)*(IFS!$J64:$AG64))</f>
        <v>0</v>
      </c>
      <c r="X13" s="171">
        <f>SUMPRODUCT((Timing!$J$29:$AG$29=2)*(Timing!$J$15:$AG$15=2)*(IFS!$J64:$AG64))</f>
        <v>0</v>
      </c>
      <c r="Y13" s="171">
        <f>SUMPRODUCT((Timing!$J$29:$AG$29=3)*(Timing!$J$15:$AG$15=2)*(IFS!$J64:$AG64))</f>
        <v>0</v>
      </c>
      <c r="Z13" s="166">
        <f>SUMPRODUCT((Timing!$J$29:$AG$29=4)*(Timing!$J$15:$AG$15=2)*(IFS!$J64:$AG64))</f>
        <v>0</v>
      </c>
      <c r="AA13" s="143">
        <f t="shared" si="3"/>
        <v>0</v>
      </c>
    </row>
    <row r="14" spans="1:28" ht="16.5" customHeight="1">
      <c r="A14" s="831"/>
      <c r="B14" s="126"/>
      <c r="C14" s="830" t="str">
        <f>IF(IFS!C65="","",IFS!C65)</f>
        <v>Interest received on cash deposits</v>
      </c>
      <c r="J14" s="142">
        <f>SUMIF(Timing!$J$5:$AG$5,J$8,IFS!$J65:$AG65)</f>
        <v>0</v>
      </c>
      <c r="K14" s="142">
        <f>SUMIF(Timing!$J$5:$AG$5,K$8,IFS!$J65:$AG65)</f>
        <v>0</v>
      </c>
      <c r="L14" s="159">
        <f>SUMIF(Timing!$J$5:$AG$5,L$8,IFS!$J65:$AG65)</f>
        <v>0</v>
      </c>
      <c r="M14" s="160">
        <f>SUMIF(Timing!$J$5:$AG$5,M$8,IFS!$J65:$AG65)</f>
        <v>6.25</v>
      </c>
      <c r="N14" s="142">
        <f ca="1">SUMIF(Timing!$J$5:$AG$5,N$8,IFS!$J65:$AG65)</f>
        <v>0</v>
      </c>
      <c r="O14" s="159">
        <f ca="1">SUMIF(Timing!$J$5:$AG$5,O$8,IFS!$J65:$AG65)</f>
        <v>0</v>
      </c>
      <c r="P14" s="160">
        <f ca="1">SUMIF(Timing!$J$5:$AG$5,P$8,IFS!$J65:$AG65)</f>
        <v>0</v>
      </c>
      <c r="Q14" s="142">
        <f ca="1">SUMIF(Timing!$J$5:$AG$5,Q$8,IFS!$J65:$AG65)</f>
        <v>65.398914499208331</v>
      </c>
      <c r="R14" s="159">
        <f ca="1">SUMIF(Timing!$J$5:$AG$5,R$8,IFS!$J65:$AG65)</f>
        <v>61.332165751621964</v>
      </c>
      <c r="S14" s="160">
        <f ca="1">SUMIF(Timing!$J$5:$AG$5,S$8,IFS!$J65:$AG65)</f>
        <v>70.400458855444001</v>
      </c>
      <c r="T14" s="142">
        <f ca="1">SUMIF(Timing!$J$5:$AG$5,T$8,IFS!$J65:$AG65)</f>
        <v>199.63864246709906</v>
      </c>
      <c r="U14" s="142">
        <f ca="1">SUMIF(Timing!$J$5:$AG$5,U$8,IFS!$J65:$AG65)</f>
        <v>243.81094353681067</v>
      </c>
      <c r="V14" s="143">
        <f t="shared" ca="1" si="2"/>
        <v>646.83112511018408</v>
      </c>
      <c r="W14" s="165">
        <f ca="1">SUMPRODUCT((Timing!$J$29:$AG$29=1)*(Timing!$J$15:$AG$15=2)*(IFS!$J65:$AG65))</f>
        <v>925.21637290459694</v>
      </c>
      <c r="X14" s="171">
        <f ca="1">SUMPRODUCT((Timing!$J$29:$AG$29=2)*(Timing!$J$15:$AG$15=2)*(IFS!$J65:$AG65))</f>
        <v>598.41424630432618</v>
      </c>
      <c r="Y14" s="171">
        <f ca="1">SUMPRODUCT((Timing!$J$29:$AG$29=3)*(Timing!$J$15:$AG$15=2)*(IFS!$J65:$AG65))</f>
        <v>539.32977463209261</v>
      </c>
      <c r="Z14" s="166">
        <f ca="1">SUMPRODUCT((Timing!$J$29:$AG$29=4)*(Timing!$J$15:$AG$15=2)*(IFS!$J65:$AG65))</f>
        <v>817.99314109778004</v>
      </c>
      <c r="AA14" s="143">
        <f t="shared" ca="1" si="3"/>
        <v>2880.9535349387961</v>
      </c>
    </row>
    <row r="15" spans="1:28" ht="16.5" customHeight="1">
      <c r="A15" s="831"/>
      <c r="B15" s="126"/>
      <c r="C15" s="135" t="str">
        <f>IF(IFS!C66="","",IFS!C66)</f>
        <v xml:space="preserve">   Total Cash Inflows</v>
      </c>
      <c r="D15" s="134"/>
      <c r="E15" s="134"/>
      <c r="F15" s="134"/>
      <c r="G15" s="134"/>
      <c r="H15" s="134"/>
      <c r="I15" s="134"/>
      <c r="J15" s="151">
        <f t="shared" ref="J15:AA15" si="4">SUM(J10:J14)</f>
        <v>0</v>
      </c>
      <c r="K15" s="151">
        <f t="shared" si="4"/>
        <v>0</v>
      </c>
      <c r="L15" s="176">
        <f t="shared" si="4"/>
        <v>0</v>
      </c>
      <c r="M15" s="177">
        <f t="shared" si="4"/>
        <v>135228.024</v>
      </c>
      <c r="N15" s="151">
        <f t="shared" ca="1" si="4"/>
        <v>173870.81209999998</v>
      </c>
      <c r="O15" s="176">
        <f t="shared" ca="1" si="4"/>
        <v>177966.04068099998</v>
      </c>
      <c r="P15" s="177">
        <f t="shared" ca="1" si="4"/>
        <v>182990.09214781001</v>
      </c>
      <c r="Q15" s="151">
        <f t="shared" ca="1" si="4"/>
        <v>175661.3280437873</v>
      </c>
      <c r="R15" s="176">
        <f t="shared" ca="1" si="4"/>
        <v>175890.40664633262</v>
      </c>
      <c r="S15" s="177">
        <f t="shared" ca="1" si="4"/>
        <v>274654.65174424223</v>
      </c>
      <c r="T15" s="151">
        <f t="shared" ca="1" si="4"/>
        <v>179494.63350070774</v>
      </c>
      <c r="U15" s="151">
        <f t="shared" ca="1" si="4"/>
        <v>174834.13369035989</v>
      </c>
      <c r="V15" s="151">
        <f t="shared" ca="1" si="4"/>
        <v>1650590.1225542398</v>
      </c>
      <c r="W15" s="176">
        <f t="shared" ca="1" si="4"/>
        <v>634141.36317888065</v>
      </c>
      <c r="X15" s="180">
        <f t="shared" ca="1" si="4"/>
        <v>640297.63621220028</v>
      </c>
      <c r="Y15" s="180">
        <f t="shared" ca="1" si="4"/>
        <v>640106.75258837675</v>
      </c>
      <c r="Z15" s="177">
        <f t="shared" ca="1" si="4"/>
        <v>647026.91955513367</v>
      </c>
      <c r="AA15" s="151">
        <f t="shared" ca="1" si="4"/>
        <v>2561572.6715345914</v>
      </c>
    </row>
    <row r="16" spans="1:28" ht="12" customHeight="1">
      <c r="A16" s="831"/>
      <c r="B16" s="126"/>
      <c r="C16" s="203" t="str">
        <f>IF(IFS!C67="","",IFS!C67)</f>
        <v/>
      </c>
      <c r="J16" s="140"/>
      <c r="L16" s="163"/>
      <c r="M16" s="164"/>
      <c r="O16" s="163"/>
      <c r="P16" s="164"/>
      <c r="R16" s="163"/>
      <c r="S16" s="164"/>
      <c r="V16" s="143"/>
      <c r="W16" s="163"/>
      <c r="X16" s="170"/>
      <c r="Y16" s="170"/>
      <c r="Z16" s="164"/>
      <c r="AA16" s="152"/>
    </row>
    <row r="17" spans="1:27" ht="20.25">
      <c r="A17" s="831"/>
      <c r="B17" s="126"/>
      <c r="C17" s="2" t="str">
        <f>IF(IFS!C68="","",IFS!C68)</f>
        <v>Cash Outflows</v>
      </c>
      <c r="J17" s="140"/>
      <c r="L17" s="163"/>
      <c r="M17" s="164"/>
      <c r="O17" s="163"/>
      <c r="P17" s="164"/>
      <c r="R17" s="163"/>
      <c r="S17" s="164"/>
      <c r="V17" s="143"/>
      <c r="W17" s="382"/>
      <c r="X17" s="170"/>
      <c r="Y17" s="170"/>
      <c r="Z17" s="164"/>
      <c r="AA17" s="152"/>
    </row>
    <row r="18" spans="1:27" ht="16.5" customHeight="1">
      <c r="A18" s="831"/>
      <c r="B18" s="126"/>
      <c r="C18" s="203" t="str">
        <f>IF(IFS!C69="","",IFS!C69)</f>
        <v>Revenue share</v>
      </c>
      <c r="J18" s="142">
        <f>SUMIF(Timing!$J$5:$AG$5,J$8,IFS!$J69:$AG69)</f>
        <v>0</v>
      </c>
      <c r="K18" s="142">
        <f>SUMIF(Timing!$J$5:$AG$5,K$8,IFS!$J69:$AG69)</f>
        <v>0</v>
      </c>
      <c r="L18" s="159">
        <f>SUMIF(Timing!$J$5:$AG$5,L$8,IFS!$J69:$AG69)</f>
        <v>0</v>
      </c>
      <c r="M18" s="160">
        <f>SUMIF(Timing!$J$5:$AG$5,M$8,IFS!$J69:$AG69)</f>
        <v>-1037.5</v>
      </c>
      <c r="N18" s="142">
        <f>SUMIF(Timing!$J$5:$AG$5,N$8,IFS!$J69:$AG69)</f>
        <v>-1798.5</v>
      </c>
      <c r="O18" s="159">
        <f>SUMIF(Timing!$J$5:$AG$5,O$8,IFS!$J69:$AG69)</f>
        <v>-2002</v>
      </c>
      <c r="P18" s="160">
        <f>SUMIF(Timing!$J$5:$AG$5,P$8,IFS!$J69:$AG69)</f>
        <v>-2005</v>
      </c>
      <c r="Q18" s="142">
        <f>SUMIF(Timing!$J$5:$AG$5,Q$8,IFS!$J69:$AG69)</f>
        <v>-2005</v>
      </c>
      <c r="R18" s="159">
        <f>SUMIF(Timing!$J$5:$AG$5,R$8,IFS!$J69:$AG69)</f>
        <v>-2005</v>
      </c>
      <c r="S18" s="160">
        <f>SUMIF(Timing!$J$5:$AG$5,S$8,IFS!$J69:$AG69)</f>
        <v>-2005</v>
      </c>
      <c r="T18" s="142">
        <f>SUMIF(Timing!$J$5:$AG$5,T$8,IFS!$J69:$AG69)</f>
        <v>-1984</v>
      </c>
      <c r="U18" s="142">
        <f>SUMIF(Timing!$J$5:$AG$5,U$8,IFS!$J69:$AG69)</f>
        <v>-1978</v>
      </c>
      <c r="V18" s="143">
        <f t="shared" ref="V18" si="5">SUM(J18:U18)</f>
        <v>-16820</v>
      </c>
      <c r="W18" s="165">
        <f>SUMPRODUCT((Timing!$J$29:$AG$29=1)*(Timing!$J$15:$AG$15=2)*(IFS!$J69:$AG69))</f>
        <v>-6500</v>
      </c>
      <c r="X18" s="171">
        <f>SUMPRODUCT((Timing!$J$29:$AG$29=2)*(Timing!$J$15:$AG$15=2)*(IFS!$J69:$AG69))</f>
        <v>-6615</v>
      </c>
      <c r="Y18" s="171">
        <f>SUMPRODUCT((Timing!$J$29:$AG$29=3)*(Timing!$J$15:$AG$15=2)*(IFS!$J69:$AG69))</f>
        <v>-6615</v>
      </c>
      <c r="Z18" s="166">
        <f>SUMPRODUCT((Timing!$J$29:$AG$29=4)*(Timing!$J$15:$AG$15=2)*(IFS!$J69:$AG69))</f>
        <v>-6516</v>
      </c>
      <c r="AA18" s="143">
        <f t="shared" ref="AA18" si="6">SUM(W18:Z18)</f>
        <v>-26246</v>
      </c>
    </row>
    <row r="19" spans="1:27" ht="16.5" customHeight="1">
      <c r="A19" s="831"/>
      <c r="B19" s="126"/>
      <c r="C19" s="830" t="str">
        <f>IF(IFS!C70="","",IFS!C70)</f>
        <v>Cost of Materials/Goods (incl. VAT)</v>
      </c>
      <c r="J19" s="142">
        <f>SUMIF(Timing!$J$5:$AG$5,J$8,IFS!$J70:$AG70)</f>
        <v>0</v>
      </c>
      <c r="K19" s="142">
        <f>SUMIF(Timing!$J$5:$AG$5,K$8,IFS!$J70:$AG70)</f>
        <v>0</v>
      </c>
      <c r="L19" s="159">
        <f>SUMIF(Timing!$J$5:$AG$5,L$8,IFS!$J70:$AG70)</f>
        <v>0</v>
      </c>
      <c r="M19" s="160">
        <f>SUMIF(Timing!$J$5:$AG$5,M$8,IFS!$J70:$AG70)</f>
        <v>-43846.591850000004</v>
      </c>
      <c r="N19" s="142">
        <f>SUMIF(Timing!$J$5:$AG$5,N$8,IFS!$J70:$AG70)</f>
        <v>-87180.639712499993</v>
      </c>
      <c r="O19" s="159">
        <f>SUMIF(Timing!$J$5:$AG$5,O$8,IFS!$J70:$AG70)</f>
        <v>-83705.461789624998</v>
      </c>
      <c r="P19" s="160">
        <f>SUMIF(Timing!$J$5:$AG$5,P$8,IFS!$J70:$AG70)</f>
        <v>-83378.799187521246</v>
      </c>
      <c r="Q19" s="142">
        <f>SUMIF(Timing!$J$5:$AG$5,Q$8,IFS!$J70:$AG70)</f>
        <v>-83508.183559396464</v>
      </c>
      <c r="R19" s="159">
        <f>SUMIF(Timing!$J$5:$AG$5,R$8,IFS!$J70:$AG70)</f>
        <v>-83525.216574990438</v>
      </c>
      <c r="S19" s="160">
        <f>SUMIF(Timing!$J$5:$AG$5,S$8,IFS!$J70:$AG70)</f>
        <v>-83542.419920740344</v>
      </c>
      <c r="T19" s="142">
        <f>SUMIF(Timing!$J$5:$AG$5,T$8,IFS!$J70:$AG70)</f>
        <v>-82537.255299947719</v>
      </c>
      <c r="U19" s="142">
        <f>SUMIF(Timing!$J$5:$AG$5,U$8,IFS!$J70:$AG70)</f>
        <v>-80149.544432947208</v>
      </c>
      <c r="V19" s="143">
        <f t="shared" ref="V19:V34" si="7">SUM(J19:U19)</f>
        <v>-711374.11232766835</v>
      </c>
      <c r="W19" s="165">
        <f>SUMPRODUCT((Timing!$J$29:$AG$29=1)*(Timing!$J$15:$AG$15=2)*(IFS!$J70:$AG70))</f>
        <v>-251492.9548022541</v>
      </c>
      <c r="X19" s="171">
        <f>SUMPRODUCT((Timing!$J$29:$AG$29=2)*(Timing!$J$15:$AG$15=2)*(IFS!$J70:$AG70))</f>
        <v>-249387.5609186248</v>
      </c>
      <c r="Y19" s="171">
        <f>SUMPRODUCT((Timing!$J$29:$AG$29=3)*(Timing!$J$15:$AG$15=2)*(IFS!$J70:$AG70))</f>
        <v>-249896.44664319002</v>
      </c>
      <c r="Z19" s="166">
        <f>SUMPRODUCT((Timing!$J$29:$AG$29=4)*(Timing!$J$15:$AG$15=2)*(IFS!$J70:$AG70))</f>
        <v>-249619.62750269537</v>
      </c>
      <c r="AA19" s="143">
        <f t="shared" ref="AA19:AA34" si="8">SUM(W19:Z19)</f>
        <v>-1000396.5898667644</v>
      </c>
    </row>
    <row r="20" spans="1:27" ht="16.5" customHeight="1">
      <c r="A20" s="831"/>
      <c r="B20" s="126"/>
      <c r="C20" s="830" t="str">
        <f>IF(IFS!C71="","",IFS!C71)</f>
        <v>Other Direct Costs (incl. VAT)</v>
      </c>
      <c r="J20" s="142">
        <f>SUMIF(Timing!$J$5:$AG$5,J$8,IFS!$J71:$AG71)</f>
        <v>0</v>
      </c>
      <c r="K20" s="142">
        <f>SUMIF(Timing!$J$5:$AG$5,K$8,IFS!$J71:$AG71)</f>
        <v>0</v>
      </c>
      <c r="L20" s="159">
        <f>SUMIF(Timing!$J$5:$AG$5,L$8,IFS!$J71:$AG71)</f>
        <v>0</v>
      </c>
      <c r="M20" s="160">
        <f ca="1">SUMIF(Timing!$J$5:$AG$5,M$8,IFS!$J71:$AG71)</f>
        <v>-3005.2908000000002</v>
      </c>
      <c r="N20" s="142">
        <f ca="1">SUMIF(Timing!$J$5:$AG$5,N$8,IFS!$J71:$AG71)</f>
        <v>-3151.66167</v>
      </c>
      <c r="O20" s="159">
        <f ca="1">SUMIF(Timing!$J$5:$AG$5,O$8,IFS!$J71:$AG71)</f>
        <v>-3213.6941486999999</v>
      </c>
      <c r="P20" s="160">
        <f ca="1">SUMIF(Timing!$J$5:$AG$5,P$8,IFS!$J71:$AG71)</f>
        <v>-3278.7409521870004</v>
      </c>
      <c r="Q20" s="142">
        <f ca="1">SUMIF(Timing!$J$5:$AG$5,Q$8,IFS!$J71:$AG71)</f>
        <v>-3346.9519237088703</v>
      </c>
      <c r="R20" s="159">
        <f ca="1">SUMIF(Timing!$J$5:$AG$5,R$8,IFS!$J71:$AG71)</f>
        <v>-3418.4843899459593</v>
      </c>
      <c r="S20" s="160">
        <f ca="1">SUMIF(Timing!$J$5:$AG$5,S$8,IFS!$J71:$AG71)</f>
        <v>-4633.7315350954195</v>
      </c>
      <c r="T20" s="142">
        <f ca="1">SUMIF(Timing!$J$5:$AG$5,T$8,IFS!$J71:$AG71)</f>
        <v>-3521.3387936588733</v>
      </c>
      <c r="U20" s="142">
        <f ca="1">SUMIF(Timing!$J$5:$AG$5,U$8,IFS!$J71:$AG71)</f>
        <v>-3632.3602628685867</v>
      </c>
      <c r="V20" s="143">
        <f t="shared" ca="1" si="7"/>
        <v>-31202.254476164711</v>
      </c>
      <c r="W20" s="165">
        <f ca="1">SUMPRODUCT((Timing!$J$29:$AG$29=1)*(Timing!$J$15:$AG$15=2)*(IFS!$J71:$AG71))</f>
        <v>-12718.434285752535</v>
      </c>
      <c r="X20" s="168">
        <f ca="1">SUMPRODUCT((Timing!$J$29:$AG$29=2)*(Timing!$J$15:$AG$15=2)*(IFS!$J71:$AG71))</f>
        <v>-13595.276252991327</v>
      </c>
      <c r="Y20" s="168">
        <f ca="1">SUMPRODUCT((Timing!$J$29:$AG$29=3)*(Timing!$J$15:$AG$15=2)*(IFS!$J71:$AG71))</f>
        <v>-14655.504325419453</v>
      </c>
      <c r="Z20" s="160">
        <f ca="1">SUMPRODUCT((Timing!$J$29:$AG$29=4)*(Timing!$J$15:$AG$15=2)*(IFS!$J71:$AG71))</f>
        <v>-15938.658913967512</v>
      </c>
      <c r="AA20" s="143">
        <f t="shared" ca="1" si="8"/>
        <v>-56907.87377813083</v>
      </c>
    </row>
    <row r="21" spans="1:27" ht="16.5" customHeight="1">
      <c r="A21" s="831"/>
      <c r="B21" s="126"/>
      <c r="C21" s="830" t="str">
        <f>IF(IFS!C72="","",IFS!C72)</f>
        <v>Overheads (incl. VAT)</v>
      </c>
      <c r="J21" s="142">
        <f>SUMIF(Timing!$J$5:$AG$5,J$8,IFS!$J72:$AG72)</f>
        <v>0</v>
      </c>
      <c r="K21" s="142">
        <f>SUMIF(Timing!$J$5:$AG$5,K$8,IFS!$J72:$AG72)</f>
        <v>0</v>
      </c>
      <c r="L21" s="159">
        <f>SUMIF(Timing!$J$5:$AG$5,L$8,IFS!$J72:$AG72)</f>
        <v>0</v>
      </c>
      <c r="M21" s="160">
        <f ca="1">SUMIF(Timing!$J$5:$AG$5,M$8,IFS!$J72:$AG72)</f>
        <v>-28515.881600000001</v>
      </c>
      <c r="N21" s="142">
        <f ca="1">SUMIF(Timing!$J$5:$AG$5,N$8,IFS!$J72:$AG72)</f>
        <v>-26321.423339999998</v>
      </c>
      <c r="O21" s="159">
        <f ca="1">SUMIF(Timing!$J$5:$AG$5,O$8,IFS!$J72:$AG72)</f>
        <v>-26715.6682974</v>
      </c>
      <c r="P21" s="160">
        <f ca="1">SUMIF(Timing!$J$5:$AG$5,P$8,IFS!$J72:$AG72)</f>
        <v>-27178.379704374001</v>
      </c>
      <c r="Q21" s="142">
        <f ca="1">SUMIF(Timing!$J$5:$AG$5,Q$8,IFS!$J72:$AG72)</f>
        <v>-26888.75822541774</v>
      </c>
      <c r="R21" s="159">
        <f ca="1">SUMIF(Timing!$J$5:$AG$5,R$8,IFS!$J72:$AG72)</f>
        <v>-37854.571198338585</v>
      </c>
      <c r="S21" s="160">
        <f ca="1">SUMIF(Timing!$J$5:$AG$5,S$8,IFS!$J72:$AG72)</f>
        <v>-38291.741967655304</v>
      </c>
      <c r="T21" s="142">
        <f ca="1">SUMIF(Timing!$J$5:$AG$5,T$8,IFS!$J72:$AG72)</f>
        <v>-42446.281884665186</v>
      </c>
      <c r="U21" s="142">
        <f ca="1">SUMIF(Timing!$J$5:$AG$5,U$8,IFS!$J72:$AG72)</f>
        <v>-42966.335640845173</v>
      </c>
      <c r="V21" s="143">
        <f t="shared" ca="1" si="7"/>
        <v>-297179.04185869603</v>
      </c>
      <c r="W21" s="165">
        <f ca="1">SUMPRODUCT((Timing!$J$29:$AG$29=1)*(Timing!$J$15:$AG$15=2)*(IFS!$J72:$AG72))</f>
        <v>-146102.85883583195</v>
      </c>
      <c r="X21" s="168">
        <f ca="1">SUMPRODUCT((Timing!$J$29:$AG$29=2)*(Timing!$J$15:$AG$15=2)*(IFS!$J72:$AG72))</f>
        <v>-157191.61641594864</v>
      </c>
      <c r="Y21" s="168">
        <f ca="1">SUMPRODUCT((Timing!$J$29:$AG$29=3)*(Timing!$J$15:$AG$15=2)*(IFS!$J72:$AG72))</f>
        <v>-160311.82554916898</v>
      </c>
      <c r="Z21" s="160">
        <f ca="1">SUMPRODUCT((Timing!$J$29:$AG$29=4)*(Timing!$J$15:$AG$15=2)*(IFS!$J72:$AG72))</f>
        <v>-171479.0651374443</v>
      </c>
      <c r="AA21" s="143">
        <f t="shared" ca="1" si="8"/>
        <v>-635085.36593839386</v>
      </c>
    </row>
    <row r="22" spans="1:27" ht="16.5" customHeight="1">
      <c r="A22" s="831"/>
      <c r="B22" s="126"/>
      <c r="C22" s="830" t="str">
        <f>IF(IFS!C73="","",IFS!C73)</f>
        <v>Direct labor expenses (w/o social insurance + income tax)</v>
      </c>
      <c r="J22" s="142">
        <f>SUMIF(Timing!$J$5:$AG$5,J$8,IFS!$J73:$AG73)</f>
        <v>0</v>
      </c>
      <c r="K22" s="142">
        <f>SUMIF(Timing!$J$5:$AG$5,K$8,IFS!$J73:$AG73)</f>
        <v>0</v>
      </c>
      <c r="L22" s="159">
        <f>SUMIF(Timing!$J$5:$AG$5,L$8,IFS!$J73:$AG73)</f>
        <v>0</v>
      </c>
      <c r="M22" s="160">
        <f>SUMIF(Timing!$J$5:$AG$5,M$8,IFS!$J73:$AG73)</f>
        <v>-3416.6666666666665</v>
      </c>
      <c r="N22" s="142">
        <f>SUMIF(Timing!$J$5:$AG$5,N$8,IFS!$J73:$AG73)</f>
        <v>-3416.6666666666665</v>
      </c>
      <c r="O22" s="159">
        <f>SUMIF(Timing!$J$5:$AG$5,O$8,IFS!$J73:$AG73)</f>
        <v>-3416.6666666666665</v>
      </c>
      <c r="P22" s="160">
        <f>SUMIF(Timing!$J$5:$AG$5,P$8,IFS!$J73:$AG73)</f>
        <v>-3416.6666666666665</v>
      </c>
      <c r="Q22" s="142">
        <f>SUMIF(Timing!$J$5:$AG$5,Q$8,IFS!$J73:$AG73)</f>
        <v>-3416.6666666666665</v>
      </c>
      <c r="R22" s="159">
        <f>SUMIF(Timing!$J$5:$AG$5,R$8,IFS!$J73:$AG73)</f>
        <v>-3416.6666666666665</v>
      </c>
      <c r="S22" s="160">
        <f>SUMIF(Timing!$J$5:$AG$5,S$8,IFS!$J73:$AG73)</f>
        <v>-5083.333333333333</v>
      </c>
      <c r="T22" s="142">
        <f>SUMIF(Timing!$J$5:$AG$5,T$8,IFS!$J73:$AG73)</f>
        <v>-6750.0000000000009</v>
      </c>
      <c r="U22" s="142">
        <f>SUMIF(Timing!$J$5:$AG$5,U$8,IFS!$J73:$AG73)</f>
        <v>-6750.0000000000009</v>
      </c>
      <c r="V22" s="143">
        <f t="shared" si="7"/>
        <v>-39083.333333333336</v>
      </c>
      <c r="W22" s="165">
        <f>SUMPRODUCT((Timing!$J$29:$AG$29=1)*(Timing!$J$15:$AG$15=2)*(IFS!$J73:$AG73))</f>
        <v>-20385</v>
      </c>
      <c r="X22" s="168">
        <f>SUMPRODUCT((Timing!$J$29:$AG$29=2)*(Timing!$J$15:$AG$15=2)*(IFS!$J73:$AG73))</f>
        <v>-20452.499999999996</v>
      </c>
      <c r="Y22" s="168">
        <f>SUMPRODUCT((Timing!$J$29:$AG$29=3)*(Timing!$J$15:$AG$15=2)*(IFS!$J73:$AG73))</f>
        <v>-20452.499999999996</v>
      </c>
      <c r="Z22" s="160">
        <f>SUMPRODUCT((Timing!$J$29:$AG$29=4)*(Timing!$J$15:$AG$15=2)*(IFS!$J73:$AG73))</f>
        <v>-20452.499999999996</v>
      </c>
      <c r="AA22" s="143">
        <f t="shared" si="8"/>
        <v>-81742.5</v>
      </c>
    </row>
    <row r="23" spans="1:27" ht="16.5" customHeight="1">
      <c r="A23" s="831"/>
      <c r="B23" s="126"/>
      <c r="C23" s="830" t="str">
        <f>IF(IFS!C74="","",IFS!C74)</f>
        <v>Social insurance &amp; income tax (PAYE/Payroll withholdings)</v>
      </c>
      <c r="J23" s="142">
        <f>SUMIF(Timing!$J$5:$AG$5,J$8,IFS!$J74:$AG74)</f>
        <v>0</v>
      </c>
      <c r="K23" s="142">
        <f>SUMIF(Timing!$J$5:$AG$5,K$8,IFS!$J74:$AG74)</f>
        <v>0</v>
      </c>
      <c r="L23" s="159">
        <f>SUMIF(Timing!$J$5:$AG$5,L$8,IFS!$J74:$AG74)</f>
        <v>0</v>
      </c>
      <c r="M23" s="160">
        <f>SUMIF(Timing!$J$5:$AG$5,M$8,IFS!$J74:$AG74)</f>
        <v>0</v>
      </c>
      <c r="N23" s="142">
        <f>SUMIF(Timing!$J$5:$AG$5,N$8,IFS!$J74:$AG74)</f>
        <v>-3437.5000000000005</v>
      </c>
      <c r="O23" s="159">
        <f>SUMIF(Timing!$J$5:$AG$5,O$8,IFS!$J74:$AG74)</f>
        <v>-5937.5</v>
      </c>
      <c r="P23" s="160">
        <f>SUMIF(Timing!$J$5:$AG$5,P$8,IFS!$J74:$AG74)</f>
        <v>-3437.5000000000005</v>
      </c>
      <c r="Q23" s="142">
        <f>SUMIF(Timing!$J$5:$AG$5,Q$8,IFS!$J74:$AG74)</f>
        <v>-3437.5000000000005</v>
      </c>
      <c r="R23" s="159">
        <f>SUMIF(Timing!$J$5:$AG$5,R$8,IFS!$J74:$AG74)</f>
        <v>-5437.5</v>
      </c>
      <c r="S23" s="160">
        <f>SUMIF(Timing!$J$5:$AG$5,S$8,IFS!$J74:$AG74)</f>
        <v>-5208.333333333333</v>
      </c>
      <c r="T23" s="142">
        <f>SUMIF(Timing!$J$5:$AG$5,T$8,IFS!$J74:$AG74)</f>
        <v>-5625</v>
      </c>
      <c r="U23" s="142">
        <f>SUMIF(Timing!$J$5:$AG$5,U$8,IFS!$J74:$AG74)</f>
        <v>-7604.166666666667</v>
      </c>
      <c r="V23" s="143">
        <f t="shared" si="7"/>
        <v>-40125</v>
      </c>
      <c r="W23" s="165">
        <f>SUMPRODUCT((Timing!$J$29:$AG$29=1)*(Timing!$J$15:$AG$15=2)*(IFS!$J74:$AG74))</f>
        <v>-23827.083333333336</v>
      </c>
      <c r="X23" s="168">
        <f>SUMPRODUCT((Timing!$J$29:$AG$29=2)*(Timing!$J$15:$AG$15=2)*(IFS!$J74:$AG74))</f>
        <v>-26710.416666666668</v>
      </c>
      <c r="Y23" s="168">
        <f>SUMPRODUCT((Timing!$J$29:$AG$29=3)*(Timing!$J$15:$AG$15=2)*(IFS!$J74:$AG74))</f>
        <v>-28418.750000000004</v>
      </c>
      <c r="Z23" s="160">
        <f>SUMPRODUCT((Timing!$J$29:$AG$29=4)*(Timing!$J$15:$AG$15=2)*(IFS!$J74:$AG74))</f>
        <v>-29913.541666666668</v>
      </c>
      <c r="AA23" s="143">
        <f t="shared" si="8"/>
        <v>-108869.79166666667</v>
      </c>
    </row>
    <row r="24" spans="1:27" ht="16.5" customHeight="1">
      <c r="A24" s="831"/>
      <c r="B24" s="126"/>
      <c r="C24" s="830" t="str">
        <f>IF(IFS!C75="","",IFS!C75)</f>
        <v>Extraordinary expenses</v>
      </c>
      <c r="J24" s="142">
        <f>SUMIF(Timing!$J$5:$AG$5,J$8,IFS!$J75:$AG75)</f>
        <v>0</v>
      </c>
      <c r="K24" s="142">
        <f>SUMIF(Timing!$J$5:$AG$5,K$8,IFS!$J75:$AG75)</f>
        <v>0</v>
      </c>
      <c r="L24" s="159">
        <f>SUMIF(Timing!$J$5:$AG$5,L$8,IFS!$J75:$AG75)</f>
        <v>0</v>
      </c>
      <c r="M24" s="160">
        <f>SUMIF(Timing!$J$5:$AG$5,M$8,IFS!$J75:$AG75)</f>
        <v>0</v>
      </c>
      <c r="N24" s="142">
        <f>SUMIF(Timing!$J$5:$AG$5,N$8,IFS!$J75:$AG75)</f>
        <v>0</v>
      </c>
      <c r="O24" s="159">
        <f>SUMIF(Timing!$J$5:$AG$5,O$8,IFS!$J75:$AG75)</f>
        <v>0</v>
      </c>
      <c r="P24" s="160">
        <f>SUMIF(Timing!$J$5:$AG$5,P$8,IFS!$J75:$AG75)</f>
        <v>0</v>
      </c>
      <c r="Q24" s="142">
        <f>SUMIF(Timing!$J$5:$AG$5,Q$8,IFS!$J75:$AG75)</f>
        <v>0</v>
      </c>
      <c r="R24" s="159">
        <f>SUMIF(Timing!$J$5:$AG$5,R$8,IFS!$J75:$AG75)</f>
        <v>0</v>
      </c>
      <c r="S24" s="160">
        <f>SUMIF(Timing!$J$5:$AG$5,S$8,IFS!$J75:$AG75)</f>
        <v>0</v>
      </c>
      <c r="T24" s="142">
        <f>SUMIF(Timing!$J$5:$AG$5,T$8,IFS!$J75:$AG75)</f>
        <v>0</v>
      </c>
      <c r="U24" s="142">
        <f>SUMIF(Timing!$J$5:$AG$5,U$8,IFS!$J75:$AG75)</f>
        <v>0</v>
      </c>
      <c r="V24" s="143">
        <f t="shared" si="7"/>
        <v>0</v>
      </c>
      <c r="W24" s="165">
        <f>SUMPRODUCT((Timing!$J$29:$AG$29=1)*(Timing!$J$15:$AG$15=2)*(IFS!$J75:$AG75))</f>
        <v>0</v>
      </c>
      <c r="X24" s="168">
        <f>SUMPRODUCT((Timing!$J$29:$AG$29=2)*(Timing!$J$15:$AG$15=2)*(IFS!$J75:$AG75))</f>
        <v>0</v>
      </c>
      <c r="Y24" s="168">
        <f>SUMPRODUCT((Timing!$J$29:$AG$29=3)*(Timing!$J$15:$AG$15=2)*(IFS!$J75:$AG75))</f>
        <v>-1750</v>
      </c>
      <c r="Z24" s="160">
        <f>SUMPRODUCT((Timing!$J$29:$AG$29=4)*(Timing!$J$15:$AG$15=2)*(IFS!$J75:$AG75))</f>
        <v>0</v>
      </c>
      <c r="AA24" s="143">
        <f t="shared" si="8"/>
        <v>-1750</v>
      </c>
    </row>
    <row r="25" spans="1:27" ht="16.5" customHeight="1">
      <c r="A25" s="831"/>
      <c r="B25" s="126"/>
      <c r="C25" s="830" t="str">
        <f>IF(IFS!C76="","",IFS!C76)</f>
        <v>Capital Expenditure (incl. VAT)</v>
      </c>
      <c r="J25" s="142">
        <f>SUMIF(Timing!$J$5:$AG$5,J$8,IFS!$J76:$AG76)</f>
        <v>0</v>
      </c>
      <c r="K25" s="142">
        <f>SUMIF(Timing!$J$5:$AG$5,K$8,IFS!$J76:$AG76)</f>
        <v>0</v>
      </c>
      <c r="L25" s="159">
        <f>SUMIF(Timing!$J$5:$AG$5,L$8,IFS!$J76:$AG76)</f>
        <v>0</v>
      </c>
      <c r="M25" s="160">
        <f>SUMIF(Timing!$J$5:$AG$5,M$8,IFS!$J76:$AG76)</f>
        <v>-134000</v>
      </c>
      <c r="N25" s="142">
        <f>SUMIF(Timing!$J$5:$AG$5,N$8,IFS!$J76:$AG76)</f>
        <v>-255200</v>
      </c>
      <c r="O25" s="159">
        <f>SUMIF(Timing!$J$5:$AG$5,O$8,IFS!$J76:$AG76)</f>
        <v>0</v>
      </c>
      <c r="P25" s="160">
        <f>SUMIF(Timing!$J$5:$AG$5,P$8,IFS!$J76:$AG76)</f>
        <v>-6400</v>
      </c>
      <c r="Q25" s="142">
        <f>SUMIF(Timing!$J$5:$AG$5,Q$8,IFS!$J76:$AG76)</f>
        <v>-55000</v>
      </c>
      <c r="R25" s="159">
        <f>SUMIF(Timing!$J$5:$AG$5,R$8,IFS!$J76:$AG76)</f>
        <v>0</v>
      </c>
      <c r="S25" s="160">
        <f>SUMIF(Timing!$J$5:$AG$5,S$8,IFS!$J76:$AG76)</f>
        <v>0</v>
      </c>
      <c r="T25" s="142">
        <f>SUMIF(Timing!$J$5:$AG$5,T$8,IFS!$J76:$AG76)</f>
        <v>0</v>
      </c>
      <c r="U25" s="142">
        <f>SUMIF(Timing!$J$5:$AG$5,U$8,IFS!$J76:$AG76)</f>
        <v>0</v>
      </c>
      <c r="V25" s="143">
        <f t="shared" si="7"/>
        <v>-450600</v>
      </c>
      <c r="W25" s="165">
        <f>SUMPRODUCT((Timing!$J$29:$AG$29=1)*(Timing!$J$15:$AG$15=2)*(IFS!$J76:$AG76))</f>
        <v>-48950</v>
      </c>
      <c r="X25" s="168">
        <f>SUMPRODUCT((Timing!$J$29:$AG$29=2)*(Timing!$J$15:$AG$15=2)*(IFS!$J76:$AG76))</f>
        <v>-59000</v>
      </c>
      <c r="Y25" s="168">
        <f>SUMPRODUCT((Timing!$J$29:$AG$29=3)*(Timing!$J$15:$AG$15=2)*(IFS!$J76:$AG76))</f>
        <v>0</v>
      </c>
      <c r="Z25" s="160">
        <f>SUMPRODUCT((Timing!$J$29:$AG$29=4)*(Timing!$J$15:$AG$15=2)*(IFS!$J76:$AG76))</f>
        <v>0</v>
      </c>
      <c r="AA25" s="143">
        <f t="shared" si="8"/>
        <v>-107950</v>
      </c>
    </row>
    <row r="26" spans="1:27" ht="16.5" customHeight="1">
      <c r="A26" s="831"/>
      <c r="B26" s="126"/>
      <c r="C26" s="830" t="str">
        <f>IF(IFS!C77="","",IFS!C77)</f>
        <v>Finance lease charges paid</v>
      </c>
      <c r="J26" s="142">
        <f>SUMIF(Timing!$J$5:$AG$5,J$8,IFS!$J77:$AG77)</f>
        <v>0</v>
      </c>
      <c r="K26" s="142">
        <f>SUMIF(Timing!$J$5:$AG$5,K$8,IFS!$J77:$AG77)</f>
        <v>0</v>
      </c>
      <c r="L26" s="159">
        <f>SUMIF(Timing!$J$5:$AG$5,L$8,IFS!$J77:$AG77)</f>
        <v>0</v>
      </c>
      <c r="M26" s="160">
        <f>SUMIF(Timing!$J$5:$AG$5,M$8,IFS!$J77:$AG77)</f>
        <v>0</v>
      </c>
      <c r="N26" s="142">
        <f>SUMIF(Timing!$J$5:$AG$5,N$8,IFS!$J77:$AG77)</f>
        <v>0</v>
      </c>
      <c r="O26" s="159">
        <f>SUMIF(Timing!$J$5:$AG$5,O$8,IFS!$J77:$AG77)</f>
        <v>0</v>
      </c>
      <c r="P26" s="160">
        <f>SUMIF(Timing!$J$5:$AG$5,P$8,IFS!$J77:$AG77)</f>
        <v>0</v>
      </c>
      <c r="Q26" s="142">
        <f>SUMIF(Timing!$J$5:$AG$5,Q$8,IFS!$J77:$AG77)</f>
        <v>-125</v>
      </c>
      <c r="R26" s="159">
        <f>SUMIF(Timing!$J$5:$AG$5,R$8,IFS!$J77:$AG77)</f>
        <v>-125</v>
      </c>
      <c r="S26" s="160">
        <f>SUMIF(Timing!$J$5:$AG$5,S$8,IFS!$J77:$AG77)</f>
        <v>-125</v>
      </c>
      <c r="T26" s="142">
        <f>SUMIF(Timing!$J$5:$AG$5,T$8,IFS!$J77:$AG77)</f>
        <v>-125</v>
      </c>
      <c r="U26" s="142">
        <f>SUMIF(Timing!$J$5:$AG$5,U$8,IFS!$J77:$AG77)</f>
        <v>-125</v>
      </c>
      <c r="V26" s="143">
        <f t="shared" si="7"/>
        <v>-625</v>
      </c>
      <c r="W26" s="165">
        <f>SUMPRODUCT((Timing!$J$29:$AG$29=1)*(Timing!$J$15:$AG$15=2)*(IFS!$J77:$AG77))</f>
        <v>-375</v>
      </c>
      <c r="X26" s="168">
        <f>SUMPRODUCT((Timing!$J$29:$AG$29=2)*(Timing!$J$15:$AG$15=2)*(IFS!$J77:$AG77))</f>
        <v>-375</v>
      </c>
      <c r="Y26" s="168">
        <f>SUMPRODUCT((Timing!$J$29:$AG$29=3)*(Timing!$J$15:$AG$15=2)*(IFS!$J77:$AG77))</f>
        <v>-375</v>
      </c>
      <c r="Z26" s="160">
        <f>SUMPRODUCT((Timing!$J$29:$AG$29=4)*(Timing!$J$15:$AG$15=2)*(IFS!$J77:$AG77))</f>
        <v>-375</v>
      </c>
      <c r="AA26" s="143">
        <f t="shared" si="8"/>
        <v>-1500</v>
      </c>
    </row>
    <row r="27" spans="1:27" ht="16.5" customHeight="1">
      <c r="A27" s="831"/>
      <c r="B27" s="126"/>
      <c r="C27" s="830" t="str">
        <f>IF(IFS!C78="","",IFS!C78)</f>
        <v>Finance lease capital payments</v>
      </c>
      <c r="J27" s="142">
        <f>SUMIF(Timing!$J$5:$AG$5,J$8,IFS!$J78:$AG78)</f>
        <v>0</v>
      </c>
      <c r="K27" s="142">
        <f>SUMIF(Timing!$J$5:$AG$5,K$8,IFS!$J78:$AG78)</f>
        <v>0</v>
      </c>
      <c r="L27" s="159">
        <f>SUMIF(Timing!$J$5:$AG$5,L$8,IFS!$J78:$AG78)</f>
        <v>0</v>
      </c>
      <c r="M27" s="160">
        <f>SUMIF(Timing!$J$5:$AG$5,M$8,IFS!$J78:$AG78)</f>
        <v>0</v>
      </c>
      <c r="N27" s="142">
        <f>SUMIF(Timing!$J$5:$AG$5,N$8,IFS!$J78:$AG78)</f>
        <v>0</v>
      </c>
      <c r="O27" s="159">
        <f>SUMIF(Timing!$J$5:$AG$5,O$8,IFS!$J78:$AG78)</f>
        <v>0</v>
      </c>
      <c r="P27" s="160">
        <f>SUMIF(Timing!$J$5:$AG$5,P$8,IFS!$J78:$AG78)</f>
        <v>0</v>
      </c>
      <c r="Q27" s="142">
        <f>SUMIF(Timing!$J$5:$AG$5,Q$8,IFS!$J78:$AG78)</f>
        <v>0</v>
      </c>
      <c r="R27" s="159">
        <f>SUMIF(Timing!$J$5:$AG$5,R$8,IFS!$J78:$AG78)</f>
        <v>0</v>
      </c>
      <c r="S27" s="160">
        <f>SUMIF(Timing!$J$5:$AG$5,S$8,IFS!$J78:$AG78)</f>
        <v>-1250</v>
      </c>
      <c r="T27" s="142">
        <f>SUMIF(Timing!$J$5:$AG$5,T$8,IFS!$J78:$AG78)</f>
        <v>0</v>
      </c>
      <c r="U27" s="142">
        <f>SUMIF(Timing!$J$5:$AG$5,U$8,IFS!$J78:$AG78)</f>
        <v>0</v>
      </c>
      <c r="V27" s="143">
        <f t="shared" si="7"/>
        <v>-1250</v>
      </c>
      <c r="W27" s="165">
        <f>SUMPRODUCT((Timing!$J$29:$AG$29=1)*(Timing!$J$15:$AG$15=2)*(IFS!$J78:$AG78))</f>
        <v>0</v>
      </c>
      <c r="X27" s="168">
        <f>SUMPRODUCT((Timing!$J$29:$AG$29=2)*(Timing!$J$15:$AG$15=2)*(IFS!$J78:$AG78))</f>
        <v>0</v>
      </c>
      <c r="Y27" s="168">
        <f>SUMPRODUCT((Timing!$J$29:$AG$29=3)*(Timing!$J$15:$AG$15=2)*(IFS!$J78:$AG78))</f>
        <v>0</v>
      </c>
      <c r="Z27" s="160">
        <f>SUMPRODUCT((Timing!$J$29:$AG$29=4)*(Timing!$J$15:$AG$15=2)*(IFS!$J78:$AG78))</f>
        <v>-1500</v>
      </c>
      <c r="AA27" s="143">
        <f t="shared" si="8"/>
        <v>-1500</v>
      </c>
    </row>
    <row r="28" spans="1:27" ht="16.5" customHeight="1">
      <c r="A28" s="831"/>
      <c r="B28" s="126"/>
      <c r="C28" s="830" t="str">
        <f>IF(IFS!C79="","",IFS!C79)</f>
        <v>Changes in advance payments</v>
      </c>
      <c r="J28" s="142">
        <f>SUMIF(Timing!$J$5:$AG$5,J$8,IFS!$J79:$AG79)</f>
        <v>0</v>
      </c>
      <c r="K28" s="142">
        <f>SUMIF(Timing!$J$5:$AG$5,K$8,IFS!$J79:$AG79)</f>
        <v>0</v>
      </c>
      <c r="L28" s="159">
        <f>SUMIF(Timing!$J$5:$AG$5,L$8,IFS!$J79:$AG79)</f>
        <v>0</v>
      </c>
      <c r="M28" s="160">
        <f>SUMIF(Timing!$J$5:$AG$5,M$8,IFS!$J79:$AG79)</f>
        <v>0</v>
      </c>
      <c r="N28" s="142">
        <f>SUMIF(Timing!$J$5:$AG$5,N$8,IFS!$J79:$AG79)</f>
        <v>0</v>
      </c>
      <c r="O28" s="159">
        <f>SUMIF(Timing!$J$5:$AG$5,O$8,IFS!$J79:$AG79)</f>
        <v>0</v>
      </c>
      <c r="P28" s="160">
        <f>SUMIF(Timing!$J$5:$AG$5,P$8,IFS!$J79:$AG79)</f>
        <v>0</v>
      </c>
      <c r="Q28" s="142">
        <f>SUMIF(Timing!$J$5:$AG$5,Q$8,IFS!$J79:$AG79)</f>
        <v>0</v>
      </c>
      <c r="R28" s="159">
        <f>SUMIF(Timing!$J$5:$AG$5,R$8,IFS!$J79:$AG79)</f>
        <v>0</v>
      </c>
      <c r="S28" s="160">
        <f>SUMIF(Timing!$J$5:$AG$5,S$8,IFS!$J79:$AG79)</f>
        <v>0</v>
      </c>
      <c r="T28" s="142">
        <f>SUMIF(Timing!$J$5:$AG$5,T$8,IFS!$J79:$AG79)</f>
        <v>0</v>
      </c>
      <c r="U28" s="142">
        <f>SUMIF(Timing!$J$5:$AG$5,U$8,IFS!$J79:$AG79)</f>
        <v>-10000</v>
      </c>
      <c r="V28" s="143">
        <f t="shared" si="7"/>
        <v>-10000</v>
      </c>
      <c r="W28" s="165">
        <f>SUMPRODUCT((Timing!$J$29:$AG$29=1)*(Timing!$J$15:$AG$15=2)*(IFS!$J79:$AG79))</f>
        <v>0</v>
      </c>
      <c r="X28" s="168">
        <f>SUMPRODUCT((Timing!$J$29:$AG$29=2)*(Timing!$J$15:$AG$15=2)*(IFS!$J79:$AG79))</f>
        <v>5000</v>
      </c>
      <c r="Y28" s="168">
        <f>SUMPRODUCT((Timing!$J$29:$AG$29=3)*(Timing!$J$15:$AG$15=2)*(IFS!$J79:$AG79))</f>
        <v>0</v>
      </c>
      <c r="Z28" s="160">
        <f>SUMPRODUCT((Timing!$J$29:$AG$29=4)*(Timing!$J$15:$AG$15=2)*(IFS!$J79:$AG79))</f>
        <v>0</v>
      </c>
      <c r="AA28" s="143">
        <f t="shared" si="8"/>
        <v>5000</v>
      </c>
    </row>
    <row r="29" spans="1:27" ht="16.5" customHeight="1">
      <c r="A29" s="831"/>
      <c r="B29" s="126"/>
      <c r="C29" s="830" t="str">
        <f>IF(IFS!C80="","",IFS!C80)</f>
        <v>Utilisation of accruals</v>
      </c>
      <c r="J29" s="142">
        <f>SUMIF(Timing!$J$5:$AG$5,J$8,IFS!$J80:$AG80)</f>
        <v>0</v>
      </c>
      <c r="K29" s="142">
        <f>SUMIF(Timing!$J$5:$AG$5,K$8,IFS!$J80:$AG80)</f>
        <v>0</v>
      </c>
      <c r="L29" s="159">
        <f>SUMIF(Timing!$J$5:$AG$5,L$8,IFS!$J80:$AG80)</f>
        <v>0</v>
      </c>
      <c r="M29" s="160">
        <f>SUMIF(Timing!$J$5:$AG$5,M$8,IFS!$J80:$AG80)</f>
        <v>0</v>
      </c>
      <c r="N29" s="142">
        <f>SUMIF(Timing!$J$5:$AG$5,N$8,IFS!$J80:$AG80)</f>
        <v>0</v>
      </c>
      <c r="O29" s="159">
        <f>SUMIF(Timing!$J$5:$AG$5,O$8,IFS!$J80:$AG80)</f>
        <v>0</v>
      </c>
      <c r="P29" s="160">
        <f>SUMIF(Timing!$J$5:$AG$5,P$8,IFS!$J80:$AG80)</f>
        <v>-2500</v>
      </c>
      <c r="Q29" s="142">
        <f>SUMIF(Timing!$J$5:$AG$5,Q$8,IFS!$J80:$AG80)</f>
        <v>0</v>
      </c>
      <c r="R29" s="159">
        <f>SUMIF(Timing!$J$5:$AG$5,R$8,IFS!$J80:$AG80)</f>
        <v>0</v>
      </c>
      <c r="S29" s="160">
        <f>SUMIF(Timing!$J$5:$AG$5,S$8,IFS!$J80:$AG80)</f>
        <v>0</v>
      </c>
      <c r="T29" s="142">
        <f>SUMIF(Timing!$J$5:$AG$5,T$8,IFS!$J80:$AG80)</f>
        <v>0</v>
      </c>
      <c r="U29" s="142">
        <f>SUMIF(Timing!$J$5:$AG$5,U$8,IFS!$J80:$AG80)</f>
        <v>0</v>
      </c>
      <c r="V29" s="143">
        <f t="shared" si="7"/>
        <v>-2500</v>
      </c>
      <c r="W29" s="165">
        <f>SUMPRODUCT((Timing!$J$29:$AG$29=1)*(Timing!$J$15:$AG$15=2)*(IFS!$J80:$AG80))</f>
        <v>0</v>
      </c>
      <c r="X29" s="168">
        <f>SUMPRODUCT((Timing!$J$29:$AG$29=2)*(Timing!$J$15:$AG$15=2)*(IFS!$J80:$AG80))</f>
        <v>0</v>
      </c>
      <c r="Y29" s="168">
        <f>SUMPRODUCT((Timing!$J$29:$AG$29=3)*(Timing!$J$15:$AG$15=2)*(IFS!$J80:$AG80))</f>
        <v>0</v>
      </c>
      <c r="Z29" s="160">
        <f>SUMPRODUCT((Timing!$J$29:$AG$29=4)*(Timing!$J$15:$AG$15=2)*(IFS!$J80:$AG80))</f>
        <v>0</v>
      </c>
      <c r="AA29" s="143">
        <f t="shared" si="8"/>
        <v>0</v>
      </c>
    </row>
    <row r="30" spans="1:27" ht="16.5" customHeight="1">
      <c r="A30" s="831"/>
      <c r="B30" s="126"/>
      <c r="C30" s="830" t="str">
        <f>IF(IFS!C81="","",IFS!C81)</f>
        <v>Interest paid (Debt 1-4)</v>
      </c>
      <c r="J30" s="142">
        <f>SUMIF(Timing!$J$5:$AG$5,J$8,IFS!$J81:$AG81)</f>
        <v>0</v>
      </c>
      <c r="K30" s="142">
        <f>SUMIF(Timing!$J$5:$AG$5,K$8,IFS!$J81:$AG81)</f>
        <v>0</v>
      </c>
      <c r="L30" s="159">
        <f>SUMIF(Timing!$J$5:$AG$5,L$8,IFS!$J81:$AG81)</f>
        <v>0</v>
      </c>
      <c r="M30" s="160">
        <f>SUMIF(Timing!$J$5:$AG$5,M$8,IFS!$J81:$AG81)</f>
        <v>-35</v>
      </c>
      <c r="N30" s="142">
        <f ca="1">SUMIF(Timing!$J$5:$AG$5,N$8,IFS!$J81:$AG81)</f>
        <v>-35</v>
      </c>
      <c r="O30" s="159">
        <f ca="1">SUMIF(Timing!$J$5:$AG$5,O$8,IFS!$J81:$AG81)</f>
        <v>-641.71494972083315</v>
      </c>
      <c r="P30" s="160">
        <f ca="1">SUMIF(Timing!$J$5:$AG$5,P$8,IFS!$J81:$AG81)</f>
        <v>-443.37326809862481</v>
      </c>
      <c r="Q30" s="142">
        <f ca="1">SUMIF(Timing!$J$5:$AG$5,Q$8,IFS!$J81:$AG81)</f>
        <v>-372.91666666666669</v>
      </c>
      <c r="R30" s="159">
        <f ca="1">SUMIF(Timing!$J$5:$AG$5,R$8,IFS!$J81:$AG81)</f>
        <v>-372.91666666666669</v>
      </c>
      <c r="S30" s="160">
        <f ca="1">SUMIF(Timing!$J$5:$AG$5,S$8,IFS!$J81:$AG81)</f>
        <v>-372.91666666666669</v>
      </c>
      <c r="T30" s="142">
        <f ca="1">SUMIF(Timing!$J$5:$AG$5,T$8,IFS!$J81:$AG81)</f>
        <v>-372.91666666666669</v>
      </c>
      <c r="U30" s="142">
        <f ca="1">SUMIF(Timing!$J$5:$AG$5,U$8,IFS!$J81:$AG81)</f>
        <v>-372.91666666666669</v>
      </c>
      <c r="V30" s="143">
        <f t="shared" ca="1" si="7"/>
        <v>-3019.6715511527909</v>
      </c>
      <c r="W30" s="165">
        <f ca="1">SUMPRODUCT((Timing!$J$29:$AG$29=1)*(Timing!$J$15:$AG$15=2)*(IFS!$J81:$AG81))</f>
        <v>-1089.5833333333335</v>
      </c>
      <c r="X30" s="168">
        <f ca="1">SUMPRODUCT((Timing!$J$29:$AG$29=2)*(Timing!$J$15:$AG$15=2)*(IFS!$J81:$AG81))</f>
        <v>-1781.25</v>
      </c>
      <c r="Y30" s="168">
        <f ca="1">SUMPRODUCT((Timing!$J$29:$AG$29=3)*(Timing!$J$15:$AG$15=2)*(IFS!$J81:$AG81))</f>
        <v>-1643.75</v>
      </c>
      <c r="Z30" s="160">
        <f ca="1">SUMPRODUCT((Timing!$J$29:$AG$29=4)*(Timing!$J$15:$AG$15=2)*(IFS!$J81:$AG81))</f>
        <v>-1550</v>
      </c>
      <c r="AA30" s="143">
        <f t="shared" ca="1" si="8"/>
        <v>-6064.5833333333339</v>
      </c>
    </row>
    <row r="31" spans="1:27" ht="16.5" customHeight="1">
      <c r="A31" s="831"/>
      <c r="B31" s="126"/>
      <c r="C31" s="830" t="str">
        <f>IF(IFS!C82="","",IFS!C82)</f>
        <v>Financing fees (Debt 1-4)</v>
      </c>
      <c r="J31" s="142">
        <f>SUMIF(Timing!$J$5:$AG$5,J$8,IFS!$J82:$AG82)</f>
        <v>0</v>
      </c>
      <c r="K31" s="142">
        <f>SUMIF(Timing!$J$5:$AG$5,K$8,IFS!$J82:$AG82)</f>
        <v>0</v>
      </c>
      <c r="L31" s="159">
        <f>SUMIF(Timing!$J$5:$AG$5,L$8,IFS!$J82:$AG82)</f>
        <v>0</v>
      </c>
      <c r="M31" s="160">
        <f>SUMIF(Timing!$J$5:$AG$5,M$8,IFS!$J82:$AG82)</f>
        <v>-1333.3333333333333</v>
      </c>
      <c r="N31" s="142">
        <f ca="1">SUMIF(Timing!$J$5:$AG$5,N$8,IFS!$J82:$AG82)</f>
        <v>-2582.00876625</v>
      </c>
      <c r="O31" s="159">
        <f ca="1">SUMIF(Timing!$J$5:$AG$5,O$8,IFS!$J82:$AG82)</f>
        <v>0</v>
      </c>
      <c r="P31" s="160">
        <f ca="1">SUMIF(Timing!$J$5:$AG$5,P$8,IFS!$J82:$AG82)</f>
        <v>0</v>
      </c>
      <c r="Q31" s="142">
        <f ca="1">SUMIF(Timing!$J$5:$AG$5,Q$8,IFS!$J82:$AG82)</f>
        <v>0</v>
      </c>
      <c r="R31" s="159">
        <f ca="1">SUMIF(Timing!$J$5:$AG$5,R$8,IFS!$J82:$AG82)</f>
        <v>0</v>
      </c>
      <c r="S31" s="160">
        <f ca="1">SUMIF(Timing!$J$5:$AG$5,S$8,IFS!$J82:$AG82)</f>
        <v>0</v>
      </c>
      <c r="T31" s="142">
        <f ca="1">SUMIF(Timing!$J$5:$AG$5,T$8,IFS!$J82:$AG82)</f>
        <v>0</v>
      </c>
      <c r="U31" s="142">
        <f ca="1">SUMIF(Timing!$J$5:$AG$5,U$8,IFS!$J82:$AG82)</f>
        <v>0</v>
      </c>
      <c r="V31" s="143">
        <f t="shared" ca="1" si="7"/>
        <v>-3915.342099583333</v>
      </c>
      <c r="W31" s="165">
        <f ca="1">SUMPRODUCT((Timing!$J$29:$AG$29=1)*(Timing!$J$15:$AG$15=2)*(IFS!$J82:$AG82))</f>
        <v>0</v>
      </c>
      <c r="X31" s="168">
        <f ca="1">SUMPRODUCT((Timing!$J$29:$AG$29=2)*(Timing!$J$15:$AG$15=2)*(IFS!$J82:$AG82))</f>
        <v>0</v>
      </c>
      <c r="Y31" s="168">
        <f ca="1">SUMPRODUCT((Timing!$J$29:$AG$29=3)*(Timing!$J$15:$AG$15=2)*(IFS!$J82:$AG82))</f>
        <v>0</v>
      </c>
      <c r="Z31" s="160">
        <f ca="1">SUMPRODUCT((Timing!$J$29:$AG$29=4)*(Timing!$J$15:$AG$15=2)*(IFS!$J82:$AG82))</f>
        <v>0</v>
      </c>
      <c r="AA31" s="143">
        <f t="shared" ca="1" si="8"/>
        <v>0</v>
      </c>
    </row>
    <row r="32" spans="1:27" ht="16.5" customHeight="1">
      <c r="A32" s="831"/>
      <c r="B32" s="126"/>
      <c r="C32" s="830" t="str">
        <f>IF(IFS!C83="","",IFS!C83)</f>
        <v>Interest paid (debt facilities existent at model start)</v>
      </c>
      <c r="J32" s="142">
        <f>SUMIF(Timing!$J$5:$AG$5,J$8,IFS!$J83:$AG83)</f>
        <v>0</v>
      </c>
      <c r="K32" s="142">
        <f>SUMIF(Timing!$J$5:$AG$5,K$8,IFS!$J83:$AG83)</f>
        <v>0</v>
      </c>
      <c r="L32" s="159">
        <f>SUMIF(Timing!$J$5:$AG$5,L$8,IFS!$J83:$AG83)</f>
        <v>0</v>
      </c>
      <c r="M32" s="160">
        <f>SUMIF(Timing!$J$5:$AG$5,M$8,IFS!$J83:$AG83)</f>
        <v>-832.5</v>
      </c>
      <c r="N32" s="142">
        <f>SUMIF(Timing!$J$5:$AG$5,N$8,IFS!$J83:$AG83)</f>
        <v>-832.5</v>
      </c>
      <c r="O32" s="159">
        <f>SUMIF(Timing!$J$5:$AG$5,O$8,IFS!$J83:$AG83)</f>
        <v>-832.5</v>
      </c>
      <c r="P32" s="160">
        <f>SUMIF(Timing!$J$5:$AG$5,P$8,IFS!$J83:$AG83)</f>
        <v>-813.75</v>
      </c>
      <c r="Q32" s="142">
        <f>SUMIF(Timing!$J$5:$AG$5,Q$8,IFS!$J83:$AG83)</f>
        <v>-813.75</v>
      </c>
      <c r="R32" s="159">
        <f>SUMIF(Timing!$J$5:$AG$5,R$8,IFS!$J83:$AG83)</f>
        <v>-813.75</v>
      </c>
      <c r="S32" s="160">
        <f>SUMIF(Timing!$J$5:$AG$5,S$8,IFS!$J83:$AG83)</f>
        <v>-795</v>
      </c>
      <c r="T32" s="142">
        <f>SUMIF(Timing!$J$5:$AG$5,T$8,IFS!$J83:$AG83)</f>
        <v>-795</v>
      </c>
      <c r="U32" s="142">
        <f>SUMIF(Timing!$J$5:$AG$5,U$8,IFS!$J83:$AG83)</f>
        <v>-795</v>
      </c>
      <c r="V32" s="143">
        <f t="shared" si="7"/>
        <v>-7323.75</v>
      </c>
      <c r="W32" s="165">
        <f>SUMPRODUCT((Timing!$J$29:$AG$29=1)*(Timing!$J$15:$AG$15=2)*(IFS!$J83:$AG83))</f>
        <v>-2328.75</v>
      </c>
      <c r="X32" s="168">
        <f>SUMPRODUCT((Timing!$J$29:$AG$29=2)*(Timing!$J$15:$AG$15=2)*(IFS!$J83:$AG83))</f>
        <v>-2272.5</v>
      </c>
      <c r="Y32" s="168">
        <f>SUMPRODUCT((Timing!$J$29:$AG$29=3)*(Timing!$J$15:$AG$15=2)*(IFS!$J83:$AG83))</f>
        <v>-2216.25</v>
      </c>
      <c r="Z32" s="160">
        <f>SUMPRODUCT((Timing!$J$29:$AG$29=4)*(Timing!$J$15:$AG$15=2)*(IFS!$J83:$AG83))</f>
        <v>-2160</v>
      </c>
      <c r="AA32" s="143">
        <f t="shared" si="8"/>
        <v>-8977.5</v>
      </c>
    </row>
    <row r="33" spans="1:27" ht="16.5" customHeight="1">
      <c r="A33" s="831"/>
      <c r="B33" s="126"/>
      <c r="C33" s="830" t="str">
        <f>IF(IFS!C84="","",IFS!C84)</f>
        <v>VAT paid/recovered to/from tax authority</v>
      </c>
      <c r="J33" s="142">
        <f>SUMIF(Timing!$J$5:$AG$5,J$8,IFS!$J84:$AG84)</f>
        <v>0</v>
      </c>
      <c r="K33" s="142">
        <f>SUMIF(Timing!$J$5:$AG$5,K$8,IFS!$J84:$AG84)</f>
        <v>0</v>
      </c>
      <c r="L33" s="159">
        <f>SUMIF(Timing!$J$5:$AG$5,L$8,IFS!$J84:$AG84)</f>
        <v>0</v>
      </c>
      <c r="M33" s="160">
        <f ca="1">SUMIF(Timing!$J$5:$AG$5,M$8,IFS!$J84:$AG84)</f>
        <v>0</v>
      </c>
      <c r="N33" s="142">
        <f ca="1">SUMIF(Timing!$J$5:$AG$5,N$8,IFS!$J84:$AG84)</f>
        <v>0</v>
      </c>
      <c r="O33" s="159">
        <f ca="1">SUMIF(Timing!$J$5:$AG$5,O$8,IFS!$J84:$AG84)</f>
        <v>0</v>
      </c>
      <c r="P33" s="160">
        <f ca="1">SUMIF(Timing!$J$5:$AG$5,P$8,IFS!$J84:$AG84)</f>
        <v>9226.9093736000068</v>
      </c>
      <c r="Q33" s="142">
        <f ca="1">SUMIF(Timing!$J$5:$AG$5,Q$8,IFS!$J84:$AG84)</f>
        <v>0</v>
      </c>
      <c r="R33" s="159">
        <f ca="1">SUMIF(Timing!$J$5:$AG$5,R$8,IFS!$J84:$AG84)</f>
        <v>0</v>
      </c>
      <c r="S33" s="160">
        <f ca="1">SUMIF(Timing!$J$5:$AG$5,S$8,IFS!$J84:$AG84)</f>
        <v>-29956.628098093737</v>
      </c>
      <c r="T33" s="142">
        <f ca="1">SUMIF(Timing!$J$5:$AG$5,T$8,IFS!$J84:$AG84)</f>
        <v>0</v>
      </c>
      <c r="U33" s="142">
        <f ca="1">SUMIF(Timing!$J$5:$AG$5,U$8,IFS!$J84:$AG84)</f>
        <v>0</v>
      </c>
      <c r="V33" s="143">
        <f t="shared" ca="1" si="7"/>
        <v>-20729.71872449373</v>
      </c>
      <c r="W33" s="165">
        <f ca="1">SUMPRODUCT((Timing!$J$29:$AG$29=1)*(Timing!$J$15:$AG$15=2)*(IFS!$J84:$AG84))</f>
        <v>-35311.296441925857</v>
      </c>
      <c r="X33" s="168">
        <f ca="1">SUMPRODUCT((Timing!$J$29:$AG$29=2)*(Timing!$J$15:$AG$15=2)*(IFS!$J84:$AG84))</f>
        <v>-30034.465842767782</v>
      </c>
      <c r="Y33" s="168">
        <f ca="1">SUMPRODUCT((Timing!$J$29:$AG$29=3)*(Timing!$J$15:$AG$15=2)*(IFS!$J84:$AG84))</f>
        <v>-26406.364184473347</v>
      </c>
      <c r="Z33" s="160">
        <f ca="1">SUMPRODUCT((Timing!$J$29:$AG$29=4)*(Timing!$J$15:$AG$15=2)*(IFS!$J84:$AG84))</f>
        <v>-35720.781662890484</v>
      </c>
      <c r="AA33" s="143">
        <f t="shared" ca="1" si="8"/>
        <v>-127472.90813205748</v>
      </c>
    </row>
    <row r="34" spans="1:27" ht="16.5" customHeight="1">
      <c r="A34" s="831"/>
      <c r="B34" s="126"/>
      <c r="C34" s="830" t="str">
        <f>IF(IFS!C85="","",IFS!C85)</f>
        <v>Taxes on income paid</v>
      </c>
      <c r="J34" s="142">
        <f>SUMIF(Timing!$J$5:$AG$5,J$8,IFS!$J85:$AG85)</f>
        <v>0</v>
      </c>
      <c r="K34" s="142">
        <f>SUMIF(Timing!$J$5:$AG$5,K$8,IFS!$J85:$AG85)</f>
        <v>0</v>
      </c>
      <c r="L34" s="159">
        <f>SUMIF(Timing!$J$5:$AG$5,L$8,IFS!$J85:$AG85)</f>
        <v>0</v>
      </c>
      <c r="M34" s="160">
        <f>SUMIF(Timing!$J$5:$AG$5,M$8,IFS!$J85:$AG85)</f>
        <v>0</v>
      </c>
      <c r="N34" s="142">
        <f>SUMIF(Timing!$J$5:$AG$5,N$8,IFS!$J85:$AG85)</f>
        <v>0</v>
      </c>
      <c r="O34" s="159">
        <f>SUMIF(Timing!$J$5:$AG$5,O$8,IFS!$J85:$AG85)</f>
        <v>-26666.666666666668</v>
      </c>
      <c r="P34" s="160">
        <f>SUMIF(Timing!$J$5:$AG$5,P$8,IFS!$J85:$AG85)</f>
        <v>0</v>
      </c>
      <c r="Q34" s="142">
        <f>SUMIF(Timing!$J$5:$AG$5,Q$8,IFS!$J85:$AG85)</f>
        <v>0</v>
      </c>
      <c r="R34" s="159">
        <f>SUMIF(Timing!$J$5:$AG$5,R$8,IFS!$J85:$AG85)</f>
        <v>-26666.666666666668</v>
      </c>
      <c r="S34" s="160">
        <f>SUMIF(Timing!$J$5:$AG$5,S$8,IFS!$J85:$AG85)</f>
        <v>0</v>
      </c>
      <c r="T34" s="142">
        <f>SUMIF(Timing!$J$5:$AG$5,T$8,IFS!$J85:$AG85)</f>
        <v>0</v>
      </c>
      <c r="U34" s="142">
        <f>SUMIF(Timing!$J$5:$AG$5,U$8,IFS!$J85:$AG85)</f>
        <v>-26666.666666666668</v>
      </c>
      <c r="V34" s="143">
        <f t="shared" si="7"/>
        <v>-80000</v>
      </c>
      <c r="W34" s="165">
        <f ca="1">SUMPRODUCT((Timing!$J$29:$AG$29=1)*(Timing!$J$15:$AG$15=2)*(IFS!$J85:$AG85))</f>
        <v>-25000</v>
      </c>
      <c r="X34" s="168">
        <f ca="1">SUMPRODUCT((Timing!$J$29:$AG$29=2)*(Timing!$J$15:$AG$15=2)*(IFS!$J85:$AG85))</f>
        <v>-33863.801818194697</v>
      </c>
      <c r="Y34" s="168">
        <f ca="1">SUMPRODUCT((Timing!$J$29:$AG$29=3)*(Timing!$J$15:$AG$15=2)*(IFS!$J85:$AG85))</f>
        <v>-25000</v>
      </c>
      <c r="Z34" s="160">
        <f ca="1">SUMPRODUCT((Timing!$J$29:$AG$29=4)*(Timing!$J$15:$AG$15=2)*(IFS!$J85:$AG85))</f>
        <v>-25000</v>
      </c>
      <c r="AA34" s="143">
        <f t="shared" ca="1" si="8"/>
        <v>-108863.8018181947</v>
      </c>
    </row>
    <row r="35" spans="1:27" ht="16.5" customHeight="1">
      <c r="A35" s="831"/>
      <c r="B35" s="126"/>
      <c r="C35" s="135" t="str">
        <f>IF(IFS!C86="","",IFS!C86)</f>
        <v xml:space="preserve">   Total Cash Outflows</v>
      </c>
      <c r="D35" s="134"/>
      <c r="E35" s="134"/>
      <c r="F35" s="134"/>
      <c r="G35" s="134"/>
      <c r="H35" s="134"/>
      <c r="I35" s="134"/>
      <c r="J35" s="151">
        <f t="shared" ref="J35:AA35" si="9">SUM(J18:J34)</f>
        <v>0</v>
      </c>
      <c r="K35" s="151">
        <f t="shared" si="9"/>
        <v>0</v>
      </c>
      <c r="L35" s="176">
        <f t="shared" si="9"/>
        <v>0</v>
      </c>
      <c r="M35" s="177">
        <f t="shared" ca="1" si="9"/>
        <v>-216022.76425000004</v>
      </c>
      <c r="N35" s="151">
        <f t="shared" ca="1" si="9"/>
        <v>-383955.90015541663</v>
      </c>
      <c r="O35" s="176">
        <f t="shared" ca="1" si="9"/>
        <v>-153131.87251877916</v>
      </c>
      <c r="P35" s="177">
        <f t="shared" ca="1" si="9"/>
        <v>-123625.30040524754</v>
      </c>
      <c r="Q35" s="151">
        <f t="shared" ca="1" si="9"/>
        <v>-178914.72704185641</v>
      </c>
      <c r="R35" s="176">
        <f t="shared" ca="1" si="9"/>
        <v>-163635.77216327499</v>
      </c>
      <c r="S35" s="177">
        <f t="shared" ca="1" si="9"/>
        <v>-171264.10485491814</v>
      </c>
      <c r="T35" s="151">
        <f t="shared" ca="1" si="9"/>
        <v>-144156.79264493842</v>
      </c>
      <c r="U35" s="151">
        <f t="shared" ca="1" si="9"/>
        <v>-181039.99033666094</v>
      </c>
      <c r="V35" s="151">
        <f t="shared" ca="1" si="9"/>
        <v>-1715747.2243710922</v>
      </c>
      <c r="W35" s="176">
        <f t="shared" ca="1" si="9"/>
        <v>-574080.96103243099</v>
      </c>
      <c r="X35" s="180">
        <f t="shared" ca="1" si="9"/>
        <v>-596279.3879151938</v>
      </c>
      <c r="Y35" s="180">
        <f t="shared" ca="1" si="9"/>
        <v>-537741.39070225181</v>
      </c>
      <c r="Z35" s="177">
        <f t="shared" ca="1" si="9"/>
        <v>-560225.17488366435</v>
      </c>
      <c r="AA35" s="151">
        <f t="shared" ca="1" si="9"/>
        <v>-2268326.9145335415</v>
      </c>
    </row>
    <row r="36" spans="1:27" ht="12" customHeight="1">
      <c r="A36" s="831"/>
      <c r="B36" s="126"/>
      <c r="C36" s="203" t="str">
        <f>IF(IFS!C87="","",IFS!C87)</f>
        <v/>
      </c>
      <c r="J36" s="140"/>
      <c r="L36" s="163"/>
      <c r="M36" s="164"/>
      <c r="O36" s="163"/>
      <c r="P36" s="164"/>
      <c r="R36" s="163"/>
      <c r="S36" s="164"/>
      <c r="V36" s="143"/>
      <c r="W36" s="163"/>
      <c r="X36" s="170"/>
      <c r="Y36" s="170"/>
      <c r="Z36" s="164"/>
      <c r="AA36" s="152"/>
    </row>
    <row r="37" spans="1:27" ht="20.25">
      <c r="A37" s="831"/>
      <c r="B37" s="126"/>
      <c r="C37" s="2" t="str">
        <f>IF(IFS!C88="","",IFS!C88)</f>
        <v>Financing</v>
      </c>
      <c r="J37" s="140"/>
      <c r="L37" s="163"/>
      <c r="M37" s="164"/>
      <c r="O37" s="163"/>
      <c r="P37" s="164"/>
      <c r="R37" s="163"/>
      <c r="S37" s="164"/>
      <c r="V37" s="143"/>
      <c r="W37" s="163"/>
      <c r="X37" s="170"/>
      <c r="Y37" s="170"/>
      <c r="Z37" s="164"/>
      <c r="AA37" s="152"/>
    </row>
    <row r="38" spans="1:27" ht="17.25" customHeight="1">
      <c r="A38" s="831"/>
      <c r="B38" s="126"/>
      <c r="C38" s="66" t="str">
        <f>IF(IFS!C89="","",IFS!C89)</f>
        <v>Equity</v>
      </c>
      <c r="J38" s="140"/>
      <c r="L38" s="163"/>
      <c r="M38" s="164"/>
      <c r="O38" s="163"/>
      <c r="P38" s="164"/>
      <c r="R38" s="163"/>
      <c r="S38" s="164"/>
      <c r="V38" s="143"/>
      <c r="W38" s="382"/>
      <c r="X38" s="170"/>
      <c r="Y38" s="170"/>
      <c r="Z38" s="164"/>
      <c r="AA38" s="152"/>
    </row>
    <row r="39" spans="1:27" ht="17.25" customHeight="1">
      <c r="A39" s="831"/>
      <c r="B39" s="126"/>
      <c r="C39" s="203" t="str">
        <f>IF(IFS!C90="","",IFS!C90)</f>
        <v>Share Capital</v>
      </c>
      <c r="J39" s="142">
        <f>SUMIF(Timing!$J$5:$AG$5,J$8,IFS!$J90:$AG90)</f>
        <v>0</v>
      </c>
      <c r="K39" s="142">
        <f>SUMIF(Timing!$J$5:$AG$5,K$8,IFS!$J90:$AG90)</f>
        <v>0</v>
      </c>
      <c r="L39" s="159">
        <f>SUMIF(Timing!$J$5:$AG$5,L$8,IFS!$J90:$AG90)</f>
        <v>0</v>
      </c>
      <c r="M39" s="160">
        <f ca="1">SUMIF(Timing!$J$5:$AG$5,M$8,IFS!$J90:$AG90)</f>
        <v>75000</v>
      </c>
      <c r="N39" s="142">
        <f ca="1">SUMIF(Timing!$J$5:$AG$5,N$8,IFS!$J90:$AG90)</f>
        <v>0</v>
      </c>
      <c r="O39" s="159">
        <f ca="1">SUMIF(Timing!$J$5:$AG$5,O$8,IFS!$J90:$AG90)</f>
        <v>0</v>
      </c>
      <c r="P39" s="160">
        <f ca="1">SUMIF(Timing!$J$5:$AG$5,P$8,IFS!$J90:$AG90)</f>
        <v>0</v>
      </c>
      <c r="Q39" s="142">
        <f ca="1">SUMIF(Timing!$J$5:$AG$5,Q$8,IFS!$J90:$AG90)</f>
        <v>0</v>
      </c>
      <c r="R39" s="159">
        <f ca="1">SUMIF(Timing!$J$5:$AG$5,R$8,IFS!$J90:$AG90)</f>
        <v>0</v>
      </c>
      <c r="S39" s="160">
        <f ca="1">SUMIF(Timing!$J$5:$AG$5,S$8,IFS!$J90:$AG90)</f>
        <v>0</v>
      </c>
      <c r="T39" s="142">
        <f ca="1">SUMIF(Timing!$J$5:$AG$5,T$8,IFS!$J90:$AG90)</f>
        <v>0</v>
      </c>
      <c r="U39" s="142">
        <f ca="1">SUMIF(Timing!$J$5:$AG$5,U$8,IFS!$J90:$AG90)</f>
        <v>0</v>
      </c>
      <c r="V39" s="143">
        <f ca="1">SUM(J39:U39)</f>
        <v>75000</v>
      </c>
      <c r="W39" s="165">
        <f ca="1">SUMPRODUCT((Timing!$J$29:$AG$29=1)*(Timing!$J$15:$AG$15=2)*(IFS!$J90:$AG90))</f>
        <v>0</v>
      </c>
      <c r="X39" s="168">
        <f ca="1">SUMPRODUCT((Timing!$J$29:$AG$29=2)*(Timing!$J$15:$AG$15=2)*(IFS!$J90:$AG90))</f>
        <v>0</v>
      </c>
      <c r="Y39" s="168">
        <f ca="1">SUMPRODUCT((Timing!$J$29:$AG$29=3)*(Timing!$J$15:$AG$15=2)*(IFS!$J90:$AG90))</f>
        <v>0</v>
      </c>
      <c r="Z39" s="160">
        <f ca="1">SUMPRODUCT((Timing!$J$29:$AG$29=4)*(Timing!$J$15:$AG$15=2)*(IFS!$J90:$AG90))</f>
        <v>0</v>
      </c>
      <c r="AA39" s="143">
        <f ca="1">SUM(W39:Z39)</f>
        <v>0</v>
      </c>
    </row>
    <row r="40" spans="1:27" ht="17.25" customHeight="1">
      <c r="A40" s="831"/>
      <c r="B40" s="126"/>
      <c r="C40" s="66" t="str">
        <f>IF(IFS!C91="","",IFS!C91)</f>
        <v>Debt</v>
      </c>
      <c r="J40" s="140"/>
      <c r="L40" s="163"/>
      <c r="M40" s="164"/>
      <c r="O40" s="163"/>
      <c r="P40" s="164"/>
      <c r="R40" s="163"/>
      <c r="S40" s="164"/>
      <c r="V40" s="143"/>
      <c r="W40" s="382"/>
      <c r="X40" s="170"/>
      <c r="Y40" s="170"/>
      <c r="Z40" s="164"/>
      <c r="AA40" s="152"/>
    </row>
    <row r="41" spans="1:27" ht="17.25" customHeight="1">
      <c r="A41" s="831"/>
      <c r="B41" s="126"/>
      <c r="C41" s="24" t="str">
        <f>IF(IFS!C92="","",IFS!C92)</f>
        <v>Debt Facilities (at model start)</v>
      </c>
      <c r="J41" s="142">
        <f>SUMIF(Timing!$J$5:$AG$5,J$8,IFS!$J92:$AG92)</f>
        <v>0</v>
      </c>
      <c r="K41" s="142">
        <f>SUMIF(Timing!$J$5:$AG$5,K$8,IFS!$J92:$AG92)</f>
        <v>0</v>
      </c>
      <c r="L41" s="159">
        <f>SUMIF(Timing!$J$5:$AG$5,L$8,IFS!$J92:$AG92)</f>
        <v>0</v>
      </c>
      <c r="M41" s="160">
        <f>SUMIF(Timing!$J$5:$AG$5,M$8,IFS!$J92:$AG92)</f>
        <v>0</v>
      </c>
      <c r="N41" s="142">
        <f>SUMIF(Timing!$J$5:$AG$5,N$8,IFS!$J92:$AG92)</f>
        <v>0</v>
      </c>
      <c r="O41" s="159">
        <f>SUMIF(Timing!$J$5:$AG$5,O$8,IFS!$J92:$AG92)</f>
        <v>-5000</v>
      </c>
      <c r="P41" s="160">
        <f>SUMIF(Timing!$J$5:$AG$5,P$8,IFS!$J92:$AG92)</f>
        <v>0</v>
      </c>
      <c r="Q41" s="142">
        <f>SUMIF(Timing!$J$5:$AG$5,Q$8,IFS!$J92:$AG92)</f>
        <v>0</v>
      </c>
      <c r="R41" s="159">
        <f>SUMIF(Timing!$J$5:$AG$5,R$8,IFS!$J92:$AG92)</f>
        <v>-5000</v>
      </c>
      <c r="S41" s="160">
        <f>SUMIF(Timing!$J$5:$AG$5,S$8,IFS!$J92:$AG92)</f>
        <v>0</v>
      </c>
      <c r="T41" s="142">
        <f>SUMIF(Timing!$J$5:$AG$5,T$8,IFS!$J92:$AG92)</f>
        <v>0</v>
      </c>
      <c r="U41" s="142">
        <f>SUMIF(Timing!$J$5:$AG$5,U$8,IFS!$J92:$AG92)</f>
        <v>-5000</v>
      </c>
      <c r="V41" s="143">
        <f t="shared" ref="V41:V46" si="10">SUM(J41:U41)</f>
        <v>-15000</v>
      </c>
      <c r="W41" s="165">
        <f>SUMPRODUCT((Timing!$J$29:$AG$29=1)*(Timing!$J$15:$AG$15=2)*(IFS!$J92:$AG92))</f>
        <v>-5000</v>
      </c>
      <c r="X41" s="168">
        <f>SUMPRODUCT((Timing!$J$29:$AG$29=2)*(Timing!$J$15:$AG$15=2)*(IFS!$J92:$AG92))</f>
        <v>-5000</v>
      </c>
      <c r="Y41" s="168">
        <f>SUMPRODUCT((Timing!$J$29:$AG$29=3)*(Timing!$J$15:$AG$15=2)*(IFS!$J92:$AG92))</f>
        <v>-5000</v>
      </c>
      <c r="Z41" s="160">
        <f>SUMPRODUCT((Timing!$J$29:$AG$29=4)*(Timing!$J$15:$AG$15=2)*(IFS!$J92:$AG92))</f>
        <v>-5000</v>
      </c>
      <c r="AA41" s="143">
        <f t="shared" ref="AA41:AA46" si="11">SUM(W41:Z41)</f>
        <v>-20000</v>
      </c>
    </row>
    <row r="42" spans="1:27" ht="17.25" customHeight="1">
      <c r="A42" s="831"/>
      <c r="B42" s="126"/>
      <c r="C42" s="24" t="str">
        <f>IF(IFS!C93="","",IFS!C93)</f>
        <v>Debt 1: UL Bank</v>
      </c>
      <c r="J42" s="142">
        <f>SUMIF(Timing!$J$5:$AG$5,J$8,IFS!$J93:$AG93)</f>
        <v>0</v>
      </c>
      <c r="K42" s="142">
        <f>SUMIF(Timing!$J$5:$AG$5,K$8,IFS!$J93:$AG93)</f>
        <v>0</v>
      </c>
      <c r="L42" s="159">
        <f>SUMIF(Timing!$J$5:$AG$5,L$8,IFS!$J93:$AG93)</f>
        <v>0</v>
      </c>
      <c r="M42" s="160">
        <f ca="1">SUMIF(Timing!$J$5:$AG$5,M$8,IFS!$J93:$AG93)</f>
        <v>794.74024999998801</v>
      </c>
      <c r="N42" s="142">
        <f ca="1">SUMIF(Timing!$J$5:$AG$5,N$8,IFS!$J93:$AG93)</f>
        <v>79205.259750000012</v>
      </c>
      <c r="O42" s="159">
        <f ca="1">SUMIF(Timing!$J$5:$AG$5,O$8,IFS!$J93:$AG93)</f>
        <v>0</v>
      </c>
      <c r="P42" s="160">
        <f ca="1">SUMIF(Timing!$J$5:$AG$5,P$8,IFS!$J93:$AG93)</f>
        <v>0</v>
      </c>
      <c r="Q42" s="142">
        <f ca="1">SUMIF(Timing!$J$5:$AG$5,Q$8,IFS!$J93:$AG93)</f>
        <v>0</v>
      </c>
      <c r="R42" s="159">
        <f ca="1">SUMIF(Timing!$J$5:$AG$5,R$8,IFS!$J93:$AG93)</f>
        <v>0</v>
      </c>
      <c r="S42" s="160">
        <f ca="1">SUMIF(Timing!$J$5:$AG$5,S$8,IFS!$J93:$AG93)</f>
        <v>0</v>
      </c>
      <c r="T42" s="142">
        <f ca="1">SUMIF(Timing!$J$5:$AG$5,T$8,IFS!$J93:$AG93)</f>
        <v>0</v>
      </c>
      <c r="U42" s="142">
        <f ca="1">SUMIF(Timing!$J$5:$AG$5,U$8,IFS!$J93:$AG93)</f>
        <v>0</v>
      </c>
      <c r="V42" s="143">
        <f t="shared" ca="1" si="10"/>
        <v>80000</v>
      </c>
      <c r="W42" s="165">
        <f ca="1">SUMPRODUCT((Timing!$J$29:$AG$29=1)*(Timing!$J$15:$AG$15=2)*(IFS!$J93:$AG93))</f>
        <v>0</v>
      </c>
      <c r="X42" s="168">
        <f ca="1">SUMPRODUCT((Timing!$J$29:$AG$29=2)*(Timing!$J$15:$AG$15=2)*(IFS!$J93:$AG93))</f>
        <v>0</v>
      </c>
      <c r="Y42" s="168">
        <f ca="1">SUMPRODUCT((Timing!$J$29:$AG$29=3)*(Timing!$J$15:$AG$15=2)*(IFS!$J93:$AG93))</f>
        <v>0</v>
      </c>
      <c r="Z42" s="160">
        <f ca="1">SUMPRODUCT((Timing!$J$29:$AG$29=4)*(Timing!$J$15:$AG$15=2)*(IFS!$J93:$AG93))</f>
        <v>-1762.2318307461082</v>
      </c>
      <c r="AA42" s="143">
        <f t="shared" ca="1" si="11"/>
        <v>-1762.2318307461082</v>
      </c>
    </row>
    <row r="43" spans="1:27" ht="17.25" customHeight="1">
      <c r="A43" s="831"/>
      <c r="B43" s="126"/>
      <c r="C43" s="24" t="str">
        <f>IF(IFS!C94="","",IFS!C94)</f>
        <v>Debt 2: HSBC Bank</v>
      </c>
      <c r="J43" s="142">
        <f>SUMIF(Timing!$J$5:$AG$5,J$8,IFS!$J94:$AG94)</f>
        <v>0</v>
      </c>
      <c r="K43" s="142">
        <f>SUMIF(Timing!$J$5:$AG$5,K$8,IFS!$J94:$AG94)</f>
        <v>0</v>
      </c>
      <c r="L43" s="159">
        <f>SUMIF(Timing!$J$5:$AG$5,L$8,IFS!$J94:$AG94)</f>
        <v>0</v>
      </c>
      <c r="M43" s="160">
        <f>SUMIF(Timing!$J$5:$AG$5,M$8,IFS!$J94:$AG94)</f>
        <v>0</v>
      </c>
      <c r="N43" s="142">
        <f>SUMIF(Timing!$J$5:$AG$5,N$8,IFS!$J94:$AG94)</f>
        <v>40000</v>
      </c>
      <c r="O43" s="159">
        <f>SUMIF(Timing!$J$5:$AG$5,O$8,IFS!$J94:$AG94)</f>
        <v>0</v>
      </c>
      <c r="P43" s="160">
        <f>SUMIF(Timing!$J$5:$AG$5,P$8,IFS!$J94:$AG94)</f>
        <v>0</v>
      </c>
      <c r="Q43" s="142">
        <f>SUMIF(Timing!$J$5:$AG$5,Q$8,IFS!$J94:$AG94)</f>
        <v>0</v>
      </c>
      <c r="R43" s="159">
        <f>SUMIF(Timing!$J$5:$AG$5,R$8,IFS!$J94:$AG94)</f>
        <v>0</v>
      </c>
      <c r="S43" s="160">
        <f>SUMIF(Timing!$J$5:$AG$5,S$8,IFS!$J94:$AG94)</f>
        <v>0</v>
      </c>
      <c r="T43" s="142">
        <f>SUMIF(Timing!$J$5:$AG$5,T$8,IFS!$J94:$AG94)</f>
        <v>0</v>
      </c>
      <c r="U43" s="142">
        <f>SUMIF(Timing!$J$5:$AG$5,U$8,IFS!$J94:$AG94)</f>
        <v>0</v>
      </c>
      <c r="V43" s="143">
        <f t="shared" si="10"/>
        <v>40000</v>
      </c>
      <c r="W43" s="165">
        <f>SUMPRODUCT((Timing!$J$29:$AG$29=1)*(Timing!$J$15:$AG$15=2)*(IFS!$J94:$AG94))</f>
        <v>-10000</v>
      </c>
      <c r="X43" s="168">
        <f>SUMPRODUCT((Timing!$J$29:$AG$29=2)*(Timing!$J$15:$AG$15=2)*(IFS!$J94:$AG94))</f>
        <v>0</v>
      </c>
      <c r="Y43" s="168">
        <f>SUMPRODUCT((Timing!$J$29:$AG$29=3)*(Timing!$J$15:$AG$15=2)*(IFS!$J94:$AG94))</f>
        <v>-10000</v>
      </c>
      <c r="Z43" s="160">
        <f>SUMPRODUCT((Timing!$J$29:$AG$29=4)*(Timing!$J$15:$AG$15=2)*(IFS!$J94:$AG94))</f>
        <v>0</v>
      </c>
      <c r="AA43" s="143">
        <f t="shared" si="11"/>
        <v>-20000</v>
      </c>
    </row>
    <row r="44" spans="1:27" ht="17.25" customHeight="1">
      <c r="A44" s="831"/>
      <c r="B44" s="126"/>
      <c r="C44" s="24" t="str">
        <f>IF(IFS!C95="","",IFS!C95)</f>
        <v>Debt 3: UBS</v>
      </c>
      <c r="J44" s="142">
        <f>SUMIF(Timing!$J$5:$AG$5,J$8,IFS!$J95:$AG95)</f>
        <v>0</v>
      </c>
      <c r="K44" s="142">
        <f>SUMIF(Timing!$J$5:$AG$5,K$8,IFS!$J95:$AG95)</f>
        <v>0</v>
      </c>
      <c r="L44" s="159">
        <f>SUMIF(Timing!$J$5:$AG$5,L$8,IFS!$J95:$AG95)</f>
        <v>0</v>
      </c>
      <c r="M44" s="160">
        <f>SUMIF(Timing!$J$5:$AG$5,M$8,IFS!$J95:$AG95)</f>
        <v>0</v>
      </c>
      <c r="N44" s="142">
        <f>SUMIF(Timing!$J$5:$AG$5,N$8,IFS!$J95:$AG95)</f>
        <v>60000</v>
      </c>
      <c r="O44" s="159">
        <f>SUMIF(Timing!$J$5:$AG$5,O$8,IFS!$J95:$AG95)</f>
        <v>0</v>
      </c>
      <c r="P44" s="160">
        <f>SUMIF(Timing!$J$5:$AG$5,P$8,IFS!$J95:$AG95)</f>
        <v>0</v>
      </c>
      <c r="Q44" s="142">
        <f>SUMIF(Timing!$J$5:$AG$5,Q$8,IFS!$J95:$AG95)</f>
        <v>0</v>
      </c>
      <c r="R44" s="159">
        <f>SUMIF(Timing!$J$5:$AG$5,R$8,IFS!$J95:$AG95)</f>
        <v>0</v>
      </c>
      <c r="S44" s="160">
        <f>SUMIF(Timing!$J$5:$AG$5,S$8,IFS!$J95:$AG95)</f>
        <v>0</v>
      </c>
      <c r="T44" s="142">
        <f>SUMIF(Timing!$J$5:$AG$5,T$8,IFS!$J95:$AG95)</f>
        <v>0</v>
      </c>
      <c r="U44" s="142">
        <f>SUMIF(Timing!$J$5:$AG$5,U$8,IFS!$J95:$AG95)</f>
        <v>0</v>
      </c>
      <c r="V44" s="143">
        <f t="shared" si="10"/>
        <v>60000</v>
      </c>
      <c r="W44" s="165">
        <f>SUMPRODUCT((Timing!$J$29:$AG$29=1)*(Timing!$J$15:$AG$15=2)*(IFS!$J95:$AG95))</f>
        <v>0</v>
      </c>
      <c r="X44" s="168">
        <f>SUMPRODUCT((Timing!$J$29:$AG$29=2)*(Timing!$J$15:$AG$15=2)*(IFS!$J95:$AG95))</f>
        <v>-10000</v>
      </c>
      <c r="Y44" s="168">
        <f>SUMPRODUCT((Timing!$J$29:$AG$29=3)*(Timing!$J$15:$AG$15=2)*(IFS!$J95:$AG95))</f>
        <v>0</v>
      </c>
      <c r="Z44" s="160">
        <f>SUMPRODUCT((Timing!$J$29:$AG$29=4)*(Timing!$J$15:$AG$15=2)*(IFS!$J95:$AG95))</f>
        <v>0</v>
      </c>
      <c r="AA44" s="143">
        <f t="shared" si="11"/>
        <v>-10000</v>
      </c>
    </row>
    <row r="45" spans="1:27" ht="17.25" customHeight="1">
      <c r="A45" s="831"/>
      <c r="B45" s="126"/>
      <c r="C45" s="24" t="str">
        <f>IF(IFS!C96="","",IFS!C96)</f>
        <v>Debt 4: Shareholder Loan</v>
      </c>
      <c r="J45" s="142">
        <f>SUMIF(Timing!$J$5:$AG$5,J$8,IFS!$J96:$AG96)</f>
        <v>0</v>
      </c>
      <c r="K45" s="142">
        <f>SUMIF(Timing!$J$5:$AG$5,K$8,IFS!$J96:$AG96)</f>
        <v>0</v>
      </c>
      <c r="L45" s="159">
        <f>SUMIF(Timing!$J$5:$AG$5,L$8,IFS!$J96:$AG96)</f>
        <v>0</v>
      </c>
      <c r="M45" s="160">
        <f>SUMIF(Timing!$J$5:$AG$5,M$8,IFS!$J96:$AG96)</f>
        <v>0</v>
      </c>
      <c r="N45" s="142">
        <f>SUMIF(Timing!$J$5:$AG$5,N$8,IFS!$J96:$AG96)</f>
        <v>7500</v>
      </c>
      <c r="O45" s="159">
        <f>SUMIF(Timing!$J$5:$AG$5,O$8,IFS!$J96:$AG96)</f>
        <v>0</v>
      </c>
      <c r="P45" s="160">
        <f>SUMIF(Timing!$J$5:$AG$5,P$8,IFS!$J96:$AG96)</f>
        <v>0</v>
      </c>
      <c r="Q45" s="142">
        <f>SUMIF(Timing!$J$5:$AG$5,Q$8,IFS!$J96:$AG96)</f>
        <v>0</v>
      </c>
      <c r="R45" s="159">
        <f>SUMIF(Timing!$J$5:$AG$5,R$8,IFS!$J96:$AG96)</f>
        <v>0</v>
      </c>
      <c r="S45" s="160">
        <f>SUMIF(Timing!$J$5:$AG$5,S$8,IFS!$J96:$AG96)</f>
        <v>0</v>
      </c>
      <c r="T45" s="142">
        <f>SUMIF(Timing!$J$5:$AG$5,T$8,IFS!$J96:$AG96)</f>
        <v>0</v>
      </c>
      <c r="U45" s="142">
        <f>SUMIF(Timing!$J$5:$AG$5,U$8,IFS!$J96:$AG96)</f>
        <v>0</v>
      </c>
      <c r="V45" s="143">
        <f t="shared" si="10"/>
        <v>7500</v>
      </c>
      <c r="W45" s="165">
        <f>SUMPRODUCT((Timing!$J$29:$AG$29=1)*(Timing!$J$15:$AG$15=2)*(IFS!$J96:$AG96))</f>
        <v>0</v>
      </c>
      <c r="X45" s="168">
        <f>SUMPRODUCT((Timing!$J$29:$AG$29=2)*(Timing!$J$15:$AG$15=2)*(IFS!$J96:$AG96))</f>
        <v>0</v>
      </c>
      <c r="Y45" s="168">
        <f>SUMPRODUCT((Timing!$J$29:$AG$29=3)*(Timing!$J$15:$AG$15=2)*(IFS!$J96:$AG96))</f>
        <v>-7500</v>
      </c>
      <c r="Z45" s="160">
        <f>SUMPRODUCT((Timing!$J$29:$AG$29=4)*(Timing!$J$15:$AG$15=2)*(IFS!$J96:$AG96))</f>
        <v>0</v>
      </c>
      <c r="AA45" s="143">
        <f t="shared" si="11"/>
        <v>-7500</v>
      </c>
    </row>
    <row r="46" spans="1:27" ht="17.25" customHeight="1">
      <c r="A46" s="831"/>
      <c r="B46" s="126"/>
      <c r="C46" s="203" t="str">
        <f>IF(IFS!C97="","",IFS!C97)</f>
        <v>Overdraft facility</v>
      </c>
      <c r="J46" s="142">
        <f>SUMIF(Timing!$J$5:$AG$5,J$8,IFS!$J97:$AG97)</f>
        <v>0</v>
      </c>
      <c r="K46" s="142">
        <f>SUMIF(Timing!$J$5:$AG$5,K$8,IFS!$J97:$AG97)</f>
        <v>0</v>
      </c>
      <c r="L46" s="159">
        <f>SUMIF(Timing!$J$5:$AG$5,L$8,IFS!$J97:$AG97)</f>
        <v>0</v>
      </c>
      <c r="M46" s="160">
        <f ca="1">SUMIF(Timing!$J$5:$AG$5,M$8,IFS!$J97:$AG97)</f>
        <v>0</v>
      </c>
      <c r="N46" s="142">
        <f ca="1">SUMIF(Timing!$J$5:$AG$5,N$8,IFS!$J97:$AG97)</f>
        <v>23379.828305416639</v>
      </c>
      <c r="O46" s="159">
        <f ca="1">SUMIF(Timing!$J$5:$AG$5,O$8,IFS!$J97:$AG97)</f>
        <v>-19834.168162220823</v>
      </c>
      <c r="P46" s="160">
        <f ca="1">SUMIF(Timing!$J$5:$AG$5,P$8,IFS!$J97:$AG97)</f>
        <v>-7045.6601431958152</v>
      </c>
      <c r="Q46" s="142">
        <f ca="1">SUMIF(Timing!$J$5:$AG$5,Q$8,IFS!$J97:$AG97)</f>
        <v>0</v>
      </c>
      <c r="R46" s="159">
        <f ca="1">SUMIF(Timing!$J$5:$AG$5,R$8,IFS!$J97:$AG97)</f>
        <v>0</v>
      </c>
      <c r="S46" s="160">
        <f ca="1">SUMIF(Timing!$J$5:$AG$5,S$8,IFS!$J97:$AG97)</f>
        <v>0</v>
      </c>
      <c r="T46" s="142">
        <f ca="1">SUMIF(Timing!$J$5:$AG$5,T$8,IFS!$J97:$AG97)</f>
        <v>0</v>
      </c>
      <c r="U46" s="142">
        <f ca="1">SUMIF(Timing!$J$5:$AG$5,U$8,IFS!$J97:$AG97)</f>
        <v>0</v>
      </c>
      <c r="V46" s="143">
        <f t="shared" ca="1" si="10"/>
        <v>-3500</v>
      </c>
      <c r="W46" s="165">
        <f ca="1">SUMPRODUCT((Timing!$J$29:$AG$29=1)*(Timing!$J$15:$AG$15=2)*(IFS!$J97:$AG97))</f>
        <v>0</v>
      </c>
      <c r="X46" s="168">
        <f ca="1">SUMPRODUCT((Timing!$J$29:$AG$29=2)*(Timing!$J$15:$AG$15=2)*(IFS!$J97:$AG97))</f>
        <v>0</v>
      </c>
      <c r="Y46" s="168">
        <f ca="1">SUMPRODUCT((Timing!$J$29:$AG$29=3)*(Timing!$J$15:$AG$15=2)*(IFS!$J97:$AG97))</f>
        <v>0</v>
      </c>
      <c r="Z46" s="160">
        <f ca="1">SUMPRODUCT((Timing!$J$29:$AG$29=4)*(Timing!$J$15:$AG$15=2)*(IFS!$J97:$AG97))</f>
        <v>0</v>
      </c>
      <c r="AA46" s="143">
        <f t="shared" ca="1" si="11"/>
        <v>0</v>
      </c>
    </row>
    <row r="47" spans="1:27" ht="17.25" customHeight="1">
      <c r="A47" s="831"/>
      <c r="B47" s="126"/>
      <c r="C47" s="135" t="str">
        <f>IF(IFS!C98="","",IFS!C98)</f>
        <v xml:space="preserve">   Total Financing</v>
      </c>
      <c r="D47" s="134"/>
      <c r="E47" s="134"/>
      <c r="F47" s="134"/>
      <c r="G47" s="134"/>
      <c r="H47" s="134"/>
      <c r="I47" s="134"/>
      <c r="J47" s="151">
        <f t="shared" ref="J47:AA47" si="12">SUM(J39:J46)</f>
        <v>0</v>
      </c>
      <c r="K47" s="151">
        <f t="shared" si="12"/>
        <v>0</v>
      </c>
      <c r="L47" s="176">
        <f t="shared" si="12"/>
        <v>0</v>
      </c>
      <c r="M47" s="177">
        <f t="shared" ca="1" si="12"/>
        <v>75794.740249999988</v>
      </c>
      <c r="N47" s="151">
        <f t="shared" ca="1" si="12"/>
        <v>210085.08805541665</v>
      </c>
      <c r="O47" s="176">
        <f t="shared" ca="1" si="12"/>
        <v>-24834.168162220823</v>
      </c>
      <c r="P47" s="177">
        <f t="shared" ca="1" si="12"/>
        <v>-7045.6601431958152</v>
      </c>
      <c r="Q47" s="151">
        <f t="shared" ca="1" si="12"/>
        <v>0</v>
      </c>
      <c r="R47" s="176">
        <f t="shared" ca="1" si="12"/>
        <v>-5000</v>
      </c>
      <c r="S47" s="177">
        <f t="shared" ca="1" si="12"/>
        <v>0</v>
      </c>
      <c r="T47" s="151">
        <f t="shared" ca="1" si="12"/>
        <v>0</v>
      </c>
      <c r="U47" s="151">
        <f t="shared" ca="1" si="12"/>
        <v>-5000</v>
      </c>
      <c r="V47" s="151">
        <f t="shared" ca="1" si="12"/>
        <v>244000</v>
      </c>
      <c r="W47" s="176">
        <f t="shared" ca="1" si="12"/>
        <v>-15000</v>
      </c>
      <c r="X47" s="180">
        <f t="shared" ca="1" si="12"/>
        <v>-15000</v>
      </c>
      <c r="Y47" s="180">
        <f t="shared" ca="1" si="12"/>
        <v>-22500</v>
      </c>
      <c r="Z47" s="177">
        <f t="shared" ca="1" si="12"/>
        <v>-6762.2318307461082</v>
      </c>
      <c r="AA47" s="151">
        <f t="shared" ca="1" si="12"/>
        <v>-59262.23183074611</v>
      </c>
    </row>
    <row r="48" spans="1:27" ht="12" customHeight="1">
      <c r="A48" s="831"/>
      <c r="B48" s="126"/>
      <c r="C48" s="203" t="str">
        <f>IF(IFS!C99="","",IFS!C99)</f>
        <v/>
      </c>
      <c r="J48" s="140"/>
      <c r="L48" s="163"/>
      <c r="M48" s="164"/>
      <c r="O48" s="163"/>
      <c r="P48" s="164"/>
      <c r="R48" s="163"/>
      <c r="S48" s="164"/>
      <c r="V48" s="143"/>
      <c r="W48" s="163"/>
      <c r="X48" s="170"/>
      <c r="Y48" s="170"/>
      <c r="Z48" s="164"/>
      <c r="AA48" s="152"/>
    </row>
    <row r="49" spans="1:27" ht="17.25" customHeight="1">
      <c r="A49" s="831"/>
      <c r="B49" s="126"/>
      <c r="C49" s="203" t="str">
        <f>IF(IFS!C100="","",IFS!C100)</f>
        <v>Cash flow available for equity (CFADS)</v>
      </c>
      <c r="J49" s="142">
        <f t="shared" ref="J49:AA49" si="13">ROUND(J15+J35+J47,5)</f>
        <v>0</v>
      </c>
      <c r="K49" s="142">
        <f t="shared" si="13"/>
        <v>0</v>
      </c>
      <c r="L49" s="159">
        <f t="shared" si="13"/>
        <v>0</v>
      </c>
      <c r="M49" s="160">
        <f t="shared" ca="1" si="13"/>
        <v>-5000</v>
      </c>
      <c r="N49" s="142">
        <f t="shared" ca="1" si="13"/>
        <v>0</v>
      </c>
      <c r="O49" s="159">
        <f t="shared" ca="1" si="13"/>
        <v>0</v>
      </c>
      <c r="P49" s="160">
        <f t="shared" ca="1" si="13"/>
        <v>52319.131600000001</v>
      </c>
      <c r="Q49" s="142">
        <f t="shared" ca="1" si="13"/>
        <v>-3253.3989999999999</v>
      </c>
      <c r="R49" s="159">
        <f t="shared" ca="1" si="13"/>
        <v>7254.6344799999997</v>
      </c>
      <c r="S49" s="160">
        <f t="shared" ca="1" si="13"/>
        <v>103390.54689</v>
      </c>
      <c r="T49" s="142">
        <f t="shared" ca="1" si="13"/>
        <v>35337.840859999997</v>
      </c>
      <c r="U49" s="142">
        <f t="shared" ca="1" si="13"/>
        <v>-11205.85665</v>
      </c>
      <c r="V49" s="143">
        <f t="shared" ca="1" si="13"/>
        <v>178842.89817999999</v>
      </c>
      <c r="W49" s="159">
        <f t="shared" ca="1" si="13"/>
        <v>45060.402150000002</v>
      </c>
      <c r="X49" s="168">
        <f t="shared" ca="1" si="13"/>
        <v>29018.248299999999</v>
      </c>
      <c r="Y49" s="168">
        <f t="shared" ca="1" si="13"/>
        <v>79865.36189</v>
      </c>
      <c r="Z49" s="160">
        <f t="shared" ca="1" si="13"/>
        <v>80039.512839999996</v>
      </c>
      <c r="AA49" s="143">
        <f t="shared" ca="1" si="13"/>
        <v>233983.52517000001</v>
      </c>
    </row>
    <row r="50" spans="1:27" ht="12" customHeight="1">
      <c r="A50" s="831"/>
      <c r="B50" s="126"/>
      <c r="C50" s="203" t="str">
        <f>IF(IFS!C101="","",IFS!C101)</f>
        <v/>
      </c>
      <c r="J50" s="140"/>
      <c r="L50" s="163"/>
      <c r="M50" s="164"/>
      <c r="O50" s="163"/>
      <c r="P50" s="164"/>
      <c r="R50" s="163"/>
      <c r="S50" s="164"/>
      <c r="V50" s="143"/>
      <c r="W50" s="163"/>
      <c r="X50" s="170"/>
      <c r="Y50" s="170"/>
      <c r="Z50" s="164"/>
      <c r="AA50" s="152"/>
    </row>
    <row r="51" spans="1:27" ht="17.25" customHeight="1">
      <c r="A51" s="831"/>
      <c r="B51" s="126"/>
      <c r="C51" s="203" t="str">
        <f>IF(IFS!C102="","",IFS!C102)</f>
        <v>Dividend payments</v>
      </c>
      <c r="J51" s="142">
        <f>SUMIF(Timing!$J$5:$AG$5,J$8,IFS!$J102:$AG102)</f>
        <v>0</v>
      </c>
      <c r="K51" s="142">
        <f>SUMIF(Timing!$J$5:$AG$5,K$8,IFS!$J102:$AG102)</f>
        <v>0</v>
      </c>
      <c r="L51" s="159">
        <f>SUMIF(Timing!$J$5:$AG$5,L$8,IFS!$J102:$AG102)</f>
        <v>0</v>
      </c>
      <c r="M51" s="160">
        <f>SUMIF(Timing!$J$5:$AG$5,M$8,IFS!$J102:$AG102)</f>
        <v>0</v>
      </c>
      <c r="N51" s="142">
        <f>SUMIF(Timing!$J$5:$AG$5,N$8,IFS!$J102:$AG102)</f>
        <v>0</v>
      </c>
      <c r="O51" s="159">
        <f>SUMIF(Timing!$J$5:$AG$5,O$8,IFS!$J102:$AG102)</f>
        <v>0</v>
      </c>
      <c r="P51" s="160">
        <f>SUMIF(Timing!$J$5:$AG$5,P$8,IFS!$J102:$AG102)</f>
        <v>0</v>
      </c>
      <c r="Q51" s="142">
        <f>SUMIF(Timing!$J$5:$AG$5,Q$8,IFS!$J102:$AG102)</f>
        <v>0</v>
      </c>
      <c r="R51" s="159">
        <f>SUMIF(Timing!$J$5:$AG$5,R$8,IFS!$J102:$AG102)</f>
        <v>0</v>
      </c>
      <c r="S51" s="160">
        <f>SUMIF(Timing!$J$5:$AG$5,S$8,IFS!$J102:$AG102)</f>
        <v>0</v>
      </c>
      <c r="T51" s="142">
        <f>SUMIF(Timing!$J$5:$AG$5,T$8,IFS!$J102:$AG102)</f>
        <v>0</v>
      </c>
      <c r="U51" s="142">
        <f>SUMIF(Timing!$J$5:$AG$5,U$8,IFS!$J102:$AG102)</f>
        <v>0</v>
      </c>
      <c r="V51" s="143">
        <f>SUM(J51:U51)</f>
        <v>0</v>
      </c>
      <c r="W51" s="165">
        <f>SUMPRODUCT((Timing!$J$29:$AG$29=1)*(Timing!$J$15:$AG$15=2)*(IFS!$J102:$AG102))</f>
        <v>0</v>
      </c>
      <c r="X51" s="168">
        <f>SUMPRODUCT((Timing!$J$29:$AG$29=2)*(Timing!$J$15:$AG$15=2)*(IFS!$J102:$AG102))</f>
        <v>-175000</v>
      </c>
      <c r="Y51" s="168">
        <f>SUMPRODUCT((Timing!$J$29:$AG$29=3)*(Timing!$J$15:$AG$15=2)*(IFS!$J102:$AG102))</f>
        <v>0</v>
      </c>
      <c r="Z51" s="160">
        <f>SUMPRODUCT((Timing!$J$29:$AG$29=4)*(Timing!$J$15:$AG$15=2)*(IFS!$J102:$AG102))</f>
        <v>0</v>
      </c>
      <c r="AA51" s="143">
        <f>SUM(W51:Z51)</f>
        <v>-175000</v>
      </c>
    </row>
    <row r="52" spans="1:27" ht="12" customHeight="1">
      <c r="A52" s="831"/>
      <c r="B52" s="126"/>
      <c r="C52" s="203" t="str">
        <f>IF(IFS!C103="","",IFS!C103)</f>
        <v/>
      </c>
      <c r="J52" s="140"/>
      <c r="L52" s="163"/>
      <c r="M52" s="164"/>
      <c r="O52" s="163"/>
      <c r="P52" s="164"/>
      <c r="R52" s="163"/>
      <c r="S52" s="164"/>
      <c r="V52" s="143"/>
      <c r="W52" s="163"/>
      <c r="X52" s="170"/>
      <c r="Y52" s="170"/>
      <c r="Z52" s="164"/>
      <c r="AA52" s="152"/>
    </row>
    <row r="53" spans="1:27" ht="20.25">
      <c r="A53" s="831"/>
      <c r="B53" s="126"/>
      <c r="C53" s="2" t="str">
        <f>IF(IFS!C104="","",IFS!C104)</f>
        <v>Change in Cash and Cash Balance</v>
      </c>
      <c r="J53" s="140"/>
      <c r="L53" s="163"/>
      <c r="M53" s="164"/>
      <c r="O53" s="163"/>
      <c r="P53" s="164"/>
      <c r="R53" s="163"/>
      <c r="S53" s="164"/>
      <c r="V53" s="143"/>
      <c r="W53" s="163"/>
      <c r="X53" s="170"/>
      <c r="Y53" s="170"/>
      <c r="Z53" s="164"/>
      <c r="AA53" s="152"/>
    </row>
    <row r="54" spans="1:27" ht="17.25" customHeight="1">
      <c r="A54" s="831"/>
      <c r="B54" s="126"/>
      <c r="C54" s="203" t="str">
        <f>IF(IFS!C105="","",IFS!C105)</f>
        <v>Net Cash Flow</v>
      </c>
      <c r="H54" s="153"/>
      <c r="J54" s="151">
        <f>ROUND(J49+J51,5)</f>
        <v>0</v>
      </c>
      <c r="K54" s="151">
        <f t="shared" ref="K54:AA54" si="14">ROUND(K49+K51,5)</f>
        <v>0</v>
      </c>
      <c r="L54" s="176">
        <f t="shared" si="14"/>
        <v>0</v>
      </c>
      <c r="M54" s="177">
        <f t="shared" ca="1" si="14"/>
        <v>-5000</v>
      </c>
      <c r="N54" s="151">
        <f t="shared" ca="1" si="14"/>
        <v>0</v>
      </c>
      <c r="O54" s="176">
        <f t="shared" ca="1" si="14"/>
        <v>0</v>
      </c>
      <c r="P54" s="177">
        <f t="shared" ca="1" si="14"/>
        <v>52319.131600000001</v>
      </c>
      <c r="Q54" s="151">
        <f t="shared" ca="1" si="14"/>
        <v>-3253.3989999999999</v>
      </c>
      <c r="R54" s="176">
        <f t="shared" ca="1" si="14"/>
        <v>7254.6344799999997</v>
      </c>
      <c r="S54" s="177">
        <f t="shared" ca="1" si="14"/>
        <v>103390.54689</v>
      </c>
      <c r="T54" s="151">
        <f t="shared" ca="1" si="14"/>
        <v>35337.840859999997</v>
      </c>
      <c r="U54" s="151">
        <f t="shared" ca="1" si="14"/>
        <v>-11205.85665</v>
      </c>
      <c r="V54" s="151">
        <f t="shared" ca="1" si="14"/>
        <v>178842.89817999999</v>
      </c>
      <c r="W54" s="176">
        <f t="shared" ca="1" si="14"/>
        <v>45060.402150000002</v>
      </c>
      <c r="X54" s="180">
        <f t="shared" ca="1" si="14"/>
        <v>-145981.75169999999</v>
      </c>
      <c r="Y54" s="180">
        <f t="shared" ca="1" si="14"/>
        <v>79865.36189</v>
      </c>
      <c r="Z54" s="177">
        <f t="shared" ca="1" si="14"/>
        <v>80039.512839999996</v>
      </c>
      <c r="AA54" s="151">
        <f t="shared" ca="1" si="14"/>
        <v>58983.525170000001</v>
      </c>
    </row>
    <row r="55" spans="1:27" ht="17.25" customHeight="1">
      <c r="A55" s="831"/>
      <c r="B55" s="126"/>
      <c r="C55" s="203" t="str">
        <f>IF(IFS!C106="","",IFS!C106)</f>
        <v xml:space="preserve">  Cash B/f</v>
      </c>
      <c r="J55" s="140">
        <f t="shared" ref="J55:U55" si="15">I56</f>
        <v>5000</v>
      </c>
      <c r="K55" s="140">
        <f t="shared" si="15"/>
        <v>5000</v>
      </c>
      <c r="L55" s="178">
        <f t="shared" si="15"/>
        <v>5000</v>
      </c>
      <c r="M55" s="179">
        <f t="shared" si="15"/>
        <v>5000</v>
      </c>
      <c r="N55" s="140">
        <f t="shared" ca="1" si="15"/>
        <v>0</v>
      </c>
      <c r="O55" s="178">
        <f t="shared" ca="1" si="15"/>
        <v>0</v>
      </c>
      <c r="P55" s="179">
        <f t="shared" ca="1" si="15"/>
        <v>0</v>
      </c>
      <c r="Q55" s="140">
        <f t="shared" ca="1" si="15"/>
        <v>52319.131600000001</v>
      </c>
      <c r="R55" s="178">
        <f t="shared" ca="1" si="15"/>
        <v>49065.732600000003</v>
      </c>
      <c r="S55" s="179">
        <f t="shared" ca="1" si="15"/>
        <v>56320.367080000004</v>
      </c>
      <c r="T55" s="140">
        <f t="shared" ca="1" si="15"/>
        <v>159710.91396999999</v>
      </c>
      <c r="U55" s="140">
        <f t="shared" ca="1" si="15"/>
        <v>195048.75482999999</v>
      </c>
      <c r="V55" s="143">
        <f>I56</f>
        <v>5000</v>
      </c>
      <c r="W55" s="178">
        <f t="shared" ref="W55:Z55" ca="1" si="16">V56</f>
        <v>183842.89817999999</v>
      </c>
      <c r="X55" s="181">
        <f t="shared" ca="1" si="16"/>
        <v>228903.30033</v>
      </c>
      <c r="Y55" s="181">
        <f t="shared" ca="1" si="16"/>
        <v>82921.548630000005</v>
      </c>
      <c r="Z55" s="179">
        <f t="shared" ca="1" si="16"/>
        <v>162786.91052</v>
      </c>
      <c r="AA55" s="143">
        <f ca="1">V56</f>
        <v>183842.89817999999</v>
      </c>
    </row>
    <row r="56" spans="1:27" ht="17.25" customHeight="1" thickBot="1">
      <c r="A56" s="831"/>
      <c r="B56" s="126"/>
      <c r="C56" s="203" t="str">
        <f>IF(IFS!C107="","",IFS!C107)</f>
        <v xml:space="preserve">  Cash C/f</v>
      </c>
      <c r="I56" s="147">
        <f>Inputs!F233</f>
        <v>5000</v>
      </c>
      <c r="J56" s="867">
        <f t="shared" ref="J56:Q56" si="17">IF(ABS(J55+J54)&lt;0.001,0,J55+J54)</f>
        <v>5000</v>
      </c>
      <c r="K56" s="867">
        <f t="shared" si="17"/>
        <v>5000</v>
      </c>
      <c r="L56" s="868">
        <f t="shared" si="17"/>
        <v>5000</v>
      </c>
      <c r="M56" s="869">
        <f t="shared" ca="1" si="17"/>
        <v>0</v>
      </c>
      <c r="N56" s="867">
        <f t="shared" ca="1" si="17"/>
        <v>0</v>
      </c>
      <c r="O56" s="868">
        <f t="shared" ca="1" si="17"/>
        <v>0</v>
      </c>
      <c r="P56" s="869">
        <f t="shared" ca="1" si="17"/>
        <v>52319.131600000001</v>
      </c>
      <c r="Q56" s="867">
        <f t="shared" ca="1" si="17"/>
        <v>49065.732600000003</v>
      </c>
      <c r="R56" s="868">
        <f t="shared" ref="R56:AA56" ca="1" si="18">IF(ABS(R55+R54)&lt;0.001,0,R55+R54)</f>
        <v>56320.367080000004</v>
      </c>
      <c r="S56" s="869">
        <f t="shared" ca="1" si="18"/>
        <v>159710.91396999999</v>
      </c>
      <c r="T56" s="867">
        <f t="shared" ca="1" si="18"/>
        <v>195048.75482999999</v>
      </c>
      <c r="U56" s="867">
        <f t="shared" ca="1" si="18"/>
        <v>183842.89817999999</v>
      </c>
      <c r="V56" s="867">
        <f t="shared" ca="1" si="18"/>
        <v>183842.89817999999</v>
      </c>
      <c r="W56" s="868">
        <f t="shared" ca="1" si="18"/>
        <v>228903.30033</v>
      </c>
      <c r="X56" s="870">
        <f t="shared" ca="1" si="18"/>
        <v>82921.548630000005</v>
      </c>
      <c r="Y56" s="870">
        <f t="shared" ca="1" si="18"/>
        <v>162786.91052</v>
      </c>
      <c r="Z56" s="869">
        <f t="shared" ca="1" si="18"/>
        <v>242826.42336000002</v>
      </c>
      <c r="AA56" s="867">
        <f t="shared" ca="1" si="18"/>
        <v>242826.42335</v>
      </c>
    </row>
    <row r="57" spans="1:27" ht="17.25" customHeight="1" thickTop="1">
      <c r="A57" s="831"/>
      <c r="B57" s="192"/>
      <c r="C57" s="388" t="str">
        <f>IF(IFS!C108="","",IFS!C108)</f>
        <v>Check: Cash always ≥ 0</v>
      </c>
      <c r="D57" s="388"/>
      <c r="E57" s="388"/>
      <c r="F57" s="388"/>
      <c r="G57" s="388"/>
      <c r="H57" s="388"/>
      <c r="I57" s="836">
        <f ca="1">SUM(J57:AA57)</f>
        <v>0</v>
      </c>
      <c r="J57" s="22">
        <f>IF(J56&lt;0,1,0)</f>
        <v>0</v>
      </c>
      <c r="K57" s="22">
        <f t="shared" ref="K57:AA57" si="19">IF(K56&lt;0,1,0)</f>
        <v>0</v>
      </c>
      <c r="L57" s="22">
        <f t="shared" si="19"/>
        <v>0</v>
      </c>
      <c r="M57" s="22">
        <f t="shared" ca="1" si="19"/>
        <v>0</v>
      </c>
      <c r="N57" s="22">
        <f t="shared" ca="1" si="19"/>
        <v>0</v>
      </c>
      <c r="O57" s="22">
        <f t="shared" ca="1" si="19"/>
        <v>0</v>
      </c>
      <c r="P57" s="22">
        <f t="shared" ca="1" si="19"/>
        <v>0</v>
      </c>
      <c r="Q57" s="22">
        <f t="shared" ca="1" si="19"/>
        <v>0</v>
      </c>
      <c r="R57" s="22">
        <f t="shared" ca="1" si="19"/>
        <v>0</v>
      </c>
      <c r="S57" s="22">
        <f t="shared" ca="1" si="19"/>
        <v>0</v>
      </c>
      <c r="T57" s="22">
        <f t="shared" ca="1" si="19"/>
        <v>0</v>
      </c>
      <c r="U57" s="22">
        <f t="shared" ca="1" si="19"/>
        <v>0</v>
      </c>
      <c r="V57" s="22">
        <f t="shared" ca="1" si="19"/>
        <v>0</v>
      </c>
      <c r="W57" s="22">
        <f t="shared" ca="1" si="19"/>
        <v>0</v>
      </c>
      <c r="X57" s="22">
        <f t="shared" ca="1" si="19"/>
        <v>0</v>
      </c>
      <c r="Y57" s="22">
        <f t="shared" ca="1" si="19"/>
        <v>0</v>
      </c>
      <c r="Z57" s="22">
        <f t="shared" ca="1" si="19"/>
        <v>0</v>
      </c>
      <c r="AA57" s="22">
        <f t="shared" ca="1" si="19"/>
        <v>0</v>
      </c>
    </row>
    <row r="58" spans="1:27" ht="17.25" customHeight="1">
      <c r="A58" s="831"/>
      <c r="B58" s="192"/>
      <c r="C58" s="257" t="s">
        <v>737</v>
      </c>
      <c r="D58" s="388"/>
      <c r="E58" s="388"/>
      <c r="F58" s="388"/>
      <c r="G58" s="388"/>
      <c r="H58" s="388"/>
      <c r="I58" s="836">
        <f ca="1">ROUND(LOOKUP(Enddatum,IFS!$J$5:$AG$5,IFS!$J$107:$AG$107)-LOOKUP(Enddatum,$J$8:$AA$8,$J$56:$AA$56),1)</f>
        <v>0</v>
      </c>
    </row>
    <row r="59" spans="1:27">
      <c r="A59" s="831"/>
      <c r="B59" s="126"/>
      <c r="C59" s="48"/>
    </row>
    <row r="60" spans="1:27">
      <c r="A60" s="831"/>
      <c r="B60" s="126"/>
    </row>
  </sheetData>
  <sheetProtection password="F66A" sheet="1"/>
  <mergeCells count="2">
    <mergeCell ref="J5:U5"/>
    <mergeCell ref="W5:Z5"/>
  </mergeCells>
  <conditionalFormatting sqref="J57:AA57">
    <cfRule type="cellIs" dxfId="464" priority="11" stopIfTrue="1" operator="equal">
      <formula>1</formula>
    </cfRule>
  </conditionalFormatting>
  <conditionalFormatting sqref="I57">
    <cfRule type="cellIs" dxfId="463" priority="3" operator="notEqual">
      <formula>0</formula>
    </cfRule>
  </conditionalFormatting>
  <conditionalFormatting sqref="I58">
    <cfRule type="cellIs" dxfId="462" priority="2" operator="notEqual">
      <formula>0</formula>
    </cfRule>
  </conditionalFormatting>
  <conditionalFormatting sqref="D3">
    <cfRule type="cellIs" dxfId="461" priority="1" operator="notEqual">
      <formula>0</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0" fitToWidth="2" orientation="landscape" r:id="rId1"/>
  <headerFooter>
    <oddFooter>&amp;Lwww.excel-financial-model.com&amp;C&amp;A&amp;Rpage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Uebersicht04">
    <tabColor rgb="FFFF0000"/>
  </sheetPr>
  <dimension ref="A1:NE59"/>
  <sheetViews>
    <sheetView showGridLines="0" zoomScale="85" zoomScaleNormal="85" zoomScaleSheetLayoutView="100" workbookViewId="0">
      <selection activeCell="S4" sqref="S4"/>
    </sheetView>
  </sheetViews>
  <sheetFormatPr baseColWidth="10" defaultColWidth="0" defaultRowHeight="12.75" outlineLevelCol="1"/>
  <cols>
    <col min="1" max="2" width="4.140625" style="203" customWidth="1"/>
    <col min="3" max="3" width="36.7109375" style="203" customWidth="1"/>
    <col min="4" max="4" width="9.28515625" style="203" customWidth="1"/>
    <col min="5" max="5" width="4.7109375" style="203" customWidth="1"/>
    <col min="6" max="8" width="2.28515625" style="203" customWidth="1"/>
    <col min="9" max="9" width="10.85546875" style="203" customWidth="1"/>
    <col min="10" max="21" width="13.7109375" style="203" customWidth="1" outlineLevel="1"/>
    <col min="22" max="22" width="17.28515625" style="203" customWidth="1"/>
    <col min="23" max="26" width="13.7109375" style="203" customWidth="1" outlineLevel="1"/>
    <col min="27" max="27" width="17.28515625" style="203" customWidth="1"/>
    <col min="28" max="65" width="11.42578125" style="203" hidden="1" customWidth="1"/>
    <col min="66" max="369" width="0" style="203" hidden="1" customWidth="1"/>
    <col min="370" max="16384" width="11.42578125" style="203" hidden="1"/>
  </cols>
  <sheetData>
    <row r="1" spans="1:28" ht="20.25">
      <c r="A1" s="41" t="s">
        <v>399</v>
      </c>
      <c r="B1" s="41"/>
      <c r="C1" s="41"/>
      <c r="D1" s="41"/>
      <c r="E1" s="41"/>
      <c r="F1" s="41"/>
      <c r="G1" s="41"/>
      <c r="H1" s="41"/>
      <c r="I1" s="41"/>
      <c r="J1" s="41"/>
      <c r="K1" s="41"/>
      <c r="L1" s="41"/>
      <c r="M1" s="41"/>
      <c r="N1" s="41"/>
      <c r="O1" s="41"/>
      <c r="P1" s="41"/>
      <c r="Q1" s="41"/>
      <c r="R1" s="41"/>
      <c r="S1" s="41"/>
      <c r="T1" s="41"/>
      <c r="U1" s="41"/>
      <c r="V1" s="41"/>
      <c r="W1" s="41"/>
      <c r="X1" s="41"/>
      <c r="Y1" s="41"/>
      <c r="Z1" s="41"/>
      <c r="AA1" s="41"/>
    </row>
    <row r="2" spans="1:28" ht="15">
      <c r="A2" s="1021"/>
      <c r="B2" s="186"/>
      <c r="C2" s="186" t="str">
        <f>Timing!C2</f>
        <v>Model: 5 Year Forecast</v>
      </c>
      <c r="D2" s="186"/>
      <c r="E2" s="646" t="s">
        <v>148</v>
      </c>
      <c r="F2" s="185"/>
      <c r="G2" s="185"/>
      <c r="H2" s="388"/>
      <c r="I2" s="388"/>
      <c r="J2" s="388"/>
      <c r="K2" s="388"/>
      <c r="L2" s="388"/>
      <c r="M2" s="388"/>
    </row>
    <row r="3" spans="1:28" ht="20.25">
      <c r="A3" s="255"/>
      <c r="B3" s="255"/>
      <c r="C3" s="186" t="str">
        <f>Timing!C3</f>
        <v>Model Integrity:</v>
      </c>
      <c r="D3" s="836">
        <f ca="1">Timing!D3</f>
        <v>0</v>
      </c>
      <c r="E3" s="646" t="s">
        <v>149</v>
      </c>
      <c r="F3" s="185"/>
      <c r="G3" s="256"/>
      <c r="H3" s="256"/>
      <c r="I3" s="188"/>
      <c r="J3" s="388"/>
      <c r="K3" s="388"/>
      <c r="L3" s="388"/>
      <c r="M3" s="388"/>
      <c r="N3" s="388"/>
      <c r="O3" s="388"/>
      <c r="P3" s="388"/>
      <c r="Q3" s="388"/>
      <c r="R3" s="388"/>
      <c r="S3" s="388"/>
      <c r="T3" s="67"/>
      <c r="V3" s="381"/>
      <c r="X3" s="67"/>
      <c r="Z3" s="67"/>
      <c r="AB3" s="67"/>
    </row>
    <row r="4" spans="1:28" ht="24" thickBot="1">
      <c r="A4" s="839"/>
      <c r="B4" s="839"/>
      <c r="C4" s="840"/>
      <c r="D4" s="841"/>
      <c r="E4" s="840"/>
      <c r="F4" s="840"/>
      <c r="G4" s="840"/>
      <c r="H4" s="840"/>
      <c r="I4" s="840"/>
      <c r="J4" s="840"/>
      <c r="K4" s="840"/>
      <c r="L4" s="840"/>
      <c r="M4" s="840"/>
      <c r="N4" s="840"/>
      <c r="O4" s="840"/>
      <c r="P4" s="840"/>
      <c r="Q4" s="840"/>
      <c r="R4" s="840"/>
      <c r="S4" s="840"/>
      <c r="T4" s="840"/>
      <c r="U4" s="840"/>
      <c r="V4" s="840"/>
      <c r="W4" s="840"/>
      <c r="X4" s="840"/>
      <c r="Y4" s="840"/>
      <c r="Z4" s="840"/>
      <c r="AA4" s="840"/>
    </row>
    <row r="5" spans="1:28" ht="17.25" customHeight="1">
      <c r="A5" s="566"/>
      <c r="B5" s="566"/>
      <c r="C5" s="767"/>
      <c r="D5" s="842"/>
      <c r="E5" s="185"/>
      <c r="F5" s="185"/>
      <c r="G5" s="185"/>
      <c r="H5" s="185"/>
      <c r="I5" s="185"/>
      <c r="J5" s="1139" t="s">
        <v>949</v>
      </c>
      <c r="K5" s="1139"/>
      <c r="L5" s="1139"/>
      <c r="M5" s="1139"/>
      <c r="N5" s="1139"/>
      <c r="O5" s="1139"/>
      <c r="P5" s="1139"/>
      <c r="Q5" s="1139"/>
      <c r="R5" s="1139"/>
      <c r="S5" s="1139"/>
      <c r="T5" s="1139"/>
      <c r="U5" s="1139"/>
      <c r="V5" s="172" t="s">
        <v>949</v>
      </c>
      <c r="W5" s="1139" t="s">
        <v>950</v>
      </c>
      <c r="X5" s="1139"/>
      <c r="Y5" s="1139"/>
      <c r="Z5" s="1139"/>
      <c r="AA5" s="172" t="s">
        <v>950</v>
      </c>
    </row>
    <row r="6" spans="1:28" ht="24" thickBot="1">
      <c r="A6" s="839"/>
      <c r="B6" s="839"/>
      <c r="C6" s="840" t="s">
        <v>399</v>
      </c>
      <c r="D6" s="840"/>
      <c r="E6" s="840"/>
      <c r="F6" s="840"/>
      <c r="G6" s="840"/>
      <c r="H6" s="840"/>
      <c r="I6" s="840"/>
      <c r="J6" s="173"/>
      <c r="K6" s="156">
        <v>1</v>
      </c>
      <c r="L6" s="174"/>
      <c r="M6" s="173"/>
      <c r="N6" s="156">
        <v>2</v>
      </c>
      <c r="O6" s="174"/>
      <c r="P6" s="173"/>
      <c r="Q6" s="156">
        <v>3</v>
      </c>
      <c r="R6" s="174"/>
      <c r="S6" s="173"/>
      <c r="T6" s="156">
        <v>4</v>
      </c>
      <c r="U6" s="174"/>
      <c r="V6" s="175" t="s">
        <v>46</v>
      </c>
      <c r="W6" s="155">
        <v>1</v>
      </c>
      <c r="X6" s="155">
        <v>2</v>
      </c>
      <c r="Y6" s="155">
        <v>3</v>
      </c>
      <c r="Z6" s="155">
        <v>4</v>
      </c>
      <c r="AA6" s="175" t="s">
        <v>46</v>
      </c>
    </row>
    <row r="7" spans="1:28" ht="17.25" customHeight="1">
      <c r="A7" s="566"/>
      <c r="B7" s="566"/>
      <c r="C7" s="195" t="str">
        <f>"   (all figures in " &amp;Currency_Label &amp;")"</f>
        <v xml:space="preserve">   (all figures in USD)</v>
      </c>
      <c r="D7" s="842"/>
      <c r="E7" s="185"/>
      <c r="F7" s="185"/>
      <c r="G7" s="435"/>
      <c r="H7" s="185"/>
      <c r="I7" s="843">
        <v>43524</v>
      </c>
      <c r="J7" s="843">
        <v>43435</v>
      </c>
      <c r="K7" s="843">
        <v>43466</v>
      </c>
      <c r="L7" s="843">
        <v>43497</v>
      </c>
      <c r="M7" s="843">
        <v>43525</v>
      </c>
      <c r="N7" s="843">
        <v>43556</v>
      </c>
      <c r="O7" s="843">
        <v>43586</v>
      </c>
      <c r="P7" s="843">
        <v>43617</v>
      </c>
      <c r="Q7" s="843">
        <v>43647</v>
      </c>
      <c r="R7" s="843">
        <v>43678</v>
      </c>
      <c r="S7" s="843">
        <v>43709</v>
      </c>
      <c r="T7" s="843">
        <v>43739</v>
      </c>
      <c r="U7" s="843">
        <v>43770</v>
      </c>
      <c r="V7" s="844">
        <v>43525</v>
      </c>
      <c r="W7" s="843">
        <v>43800</v>
      </c>
      <c r="X7" s="843">
        <v>43891</v>
      </c>
      <c r="Y7" s="843">
        <v>43983</v>
      </c>
      <c r="Z7" s="843">
        <v>44075</v>
      </c>
      <c r="AA7" s="844">
        <v>43800</v>
      </c>
    </row>
    <row r="8" spans="1:28" ht="17.25" customHeight="1">
      <c r="A8" s="566"/>
      <c r="B8" s="566"/>
      <c r="C8" s="767"/>
      <c r="D8" s="842"/>
      <c r="E8" s="185"/>
      <c r="F8" s="185"/>
      <c r="G8" s="435"/>
      <c r="H8" s="185"/>
      <c r="I8" s="845" t="s">
        <v>656</v>
      </c>
      <c r="J8" s="843">
        <v>43465</v>
      </c>
      <c r="K8" s="843">
        <v>43496</v>
      </c>
      <c r="L8" s="843">
        <v>43524</v>
      </c>
      <c r="M8" s="843">
        <v>43555</v>
      </c>
      <c r="N8" s="843">
        <v>43585</v>
      </c>
      <c r="O8" s="843">
        <v>43616</v>
      </c>
      <c r="P8" s="843">
        <v>43646</v>
      </c>
      <c r="Q8" s="843">
        <v>43677</v>
      </c>
      <c r="R8" s="843">
        <v>43708</v>
      </c>
      <c r="S8" s="843">
        <v>43738</v>
      </c>
      <c r="T8" s="843">
        <v>43769</v>
      </c>
      <c r="U8" s="843">
        <v>43799</v>
      </c>
      <c r="V8" s="844">
        <v>43799</v>
      </c>
      <c r="W8" s="843">
        <v>43890</v>
      </c>
      <c r="X8" s="843">
        <v>43982</v>
      </c>
      <c r="Y8" s="843">
        <v>44074</v>
      </c>
      <c r="Z8" s="843">
        <v>44165</v>
      </c>
      <c r="AA8" s="844">
        <v>44165</v>
      </c>
    </row>
    <row r="9" spans="1:28" ht="18.75" customHeight="1">
      <c r="A9" s="566"/>
      <c r="B9" s="566"/>
      <c r="C9" s="185" t="str">
        <f>IF(IFS!C112="","",IFS!C112)</f>
        <v/>
      </c>
      <c r="D9" s="767"/>
      <c r="E9" s="767"/>
      <c r="F9" s="767"/>
      <c r="G9" s="767"/>
      <c r="H9" s="767"/>
      <c r="I9" s="776"/>
      <c r="J9" s="776"/>
      <c r="K9" s="767"/>
      <c r="L9" s="402"/>
      <c r="M9" s="403"/>
      <c r="N9" s="767"/>
      <c r="O9" s="402"/>
      <c r="P9" s="403"/>
      <c r="Q9" s="767"/>
      <c r="R9" s="402"/>
      <c r="S9" s="403"/>
      <c r="T9" s="767"/>
      <c r="U9" s="767"/>
      <c r="V9" s="846"/>
      <c r="W9" s="402"/>
      <c r="X9" s="847"/>
      <c r="Y9" s="847"/>
      <c r="Z9" s="403"/>
      <c r="AA9" s="846"/>
    </row>
    <row r="10" spans="1:28" ht="18.75" customHeight="1">
      <c r="A10" s="566"/>
      <c r="B10" s="566"/>
      <c r="C10" s="185" t="str">
        <f>IF(IFS!C113="","",IFS!C113)</f>
        <v>Intangible Assets</v>
      </c>
      <c r="D10" s="767"/>
      <c r="E10" s="767"/>
      <c r="F10" s="767"/>
      <c r="G10" s="767"/>
      <c r="H10" s="767"/>
      <c r="I10" s="447">
        <f>Inputs!$F$223</f>
        <v>2000</v>
      </c>
      <c r="J10" s="573">
        <f>SUMPRODUCT((Timing!$J$5:$AG$5=J$8)*(IFS!$J113:$AG113))</f>
        <v>0</v>
      </c>
      <c r="K10" s="573">
        <f>SUMPRODUCT((Timing!$J$5:$AG$5=K$8)*(IFS!$J113:$AG113))</f>
        <v>0</v>
      </c>
      <c r="L10" s="397">
        <f>SUMPRODUCT((Timing!$J$5:$AG$5=L$8)*(IFS!$J113:$AG113))</f>
        <v>0</v>
      </c>
      <c r="M10" s="398">
        <f>SUMPRODUCT((Timing!$J$5:$AG$5=M$8)*(IFS!$J113:$AG113))</f>
        <v>76983.333333333328</v>
      </c>
      <c r="N10" s="573">
        <f>SUMPRODUCT((Timing!$J$5:$AG$5=N$8)*(IFS!$J113:$AG113))</f>
        <v>76341.666666666657</v>
      </c>
      <c r="O10" s="397">
        <f>SUMPRODUCT((Timing!$J$5:$AG$5=O$8)*(IFS!$J113:$AG113))</f>
        <v>75699.999999999985</v>
      </c>
      <c r="P10" s="398">
        <f>SUMPRODUCT((Timing!$J$5:$AG$5=P$8)*(IFS!$J113:$AG113))</f>
        <v>75058.333333333314</v>
      </c>
      <c r="Q10" s="573">
        <f>SUMPRODUCT((Timing!$J$5:$AG$5=Q$8)*(IFS!$J113:$AG113))</f>
        <v>74416.666666666642</v>
      </c>
      <c r="R10" s="397">
        <f>SUMPRODUCT((Timing!$J$5:$AG$5=R$8)*(IFS!$J113:$AG113))</f>
        <v>73774.999999999971</v>
      </c>
      <c r="S10" s="398">
        <f>SUMPRODUCT((Timing!$J$5:$AG$5=S$8)*(IFS!$J113:$AG113))</f>
        <v>73133.333333333299</v>
      </c>
      <c r="T10" s="573">
        <f>SUMPRODUCT((Timing!$J$5:$AG$5=T$8)*(IFS!$J113:$AG113))</f>
        <v>72491.666666666628</v>
      </c>
      <c r="U10" s="573">
        <f>SUMPRODUCT((Timing!$J$5:$AG$5=U$8)*(IFS!$J113:$AG113))</f>
        <v>71849.999999999956</v>
      </c>
      <c r="V10" s="395">
        <f>SUMPRODUCT((Timing!$J$5:$AG$5=V$8)*(IFS!$J113:$AG113))</f>
        <v>71849.999999999956</v>
      </c>
      <c r="W10" s="848">
        <f>SUMPRODUCT((Timing!$J$5:$AG$5=W$8)*(IFS!$J113:$AG113))</f>
        <v>69924.999999999942</v>
      </c>
      <c r="X10" s="849">
        <f>SUMPRODUCT((Timing!$J$5:$AG$5=X$8)*(IFS!$J113:$AG113))</f>
        <v>67999.999999999927</v>
      </c>
      <c r="Y10" s="849">
        <f>SUMPRODUCT((Timing!$J$5:$AG$5=Y$8)*(IFS!$J113:$AG113))</f>
        <v>66074.999999999913</v>
      </c>
      <c r="Z10" s="398">
        <f>SUMPRODUCT((Timing!$J$5:$AG$5=Z$8)*(IFS!$J113:$AG113))</f>
        <v>64149.99999999992</v>
      </c>
      <c r="AA10" s="395">
        <f>SUMPRODUCT((Timing!$J$5:$AG$5=AA$8)*(IFS!$J113:$AG113))</f>
        <v>64149.99999999992</v>
      </c>
    </row>
    <row r="11" spans="1:28" ht="18.75" customHeight="1">
      <c r="A11" s="566"/>
      <c r="B11" s="566"/>
      <c r="C11" s="185" t="str">
        <f>IF(IFS!C114="","",IFS!C114)</f>
        <v>Tangible Assets</v>
      </c>
      <c r="D11" s="767"/>
      <c r="E11" s="767"/>
      <c r="F11" s="767"/>
      <c r="G11" s="767"/>
      <c r="H11" s="767"/>
      <c r="I11" s="447">
        <f>Inputs!$F$224</f>
        <v>255000</v>
      </c>
      <c r="J11" s="573">
        <f>SUMPRODUCT((Timing!$J$5:$AG$5=J$8)*(IFS!$J114:$AG114))</f>
        <v>0</v>
      </c>
      <c r="K11" s="573">
        <f>SUMPRODUCT((Timing!$J$5:$AG$5=K$8)*(IFS!$J114:$AG114))</f>
        <v>0</v>
      </c>
      <c r="L11" s="397">
        <f>SUMPRODUCT((Timing!$J$5:$AG$5=L$8)*(IFS!$J114:$AG114))</f>
        <v>0</v>
      </c>
      <c r="M11" s="398">
        <f>SUMPRODUCT((Timing!$J$5:$AG$5=M$8)*(IFS!$J114:$AG114))</f>
        <v>300486.11111111112</v>
      </c>
      <c r="N11" s="573">
        <f>SUMPRODUCT((Timing!$J$5:$AG$5=N$8)*(IFS!$J114:$AG114))</f>
        <v>515277.77777777781</v>
      </c>
      <c r="O11" s="397">
        <f>SUMPRODUCT((Timing!$J$5:$AG$5=O$8)*(IFS!$J114:$AG114))</f>
        <v>506402.77777777781</v>
      </c>
      <c r="P11" s="398">
        <f>SUMPRODUCT((Timing!$J$5:$AG$5=P$8)*(IFS!$J114:$AG114))</f>
        <v>537527.77777777775</v>
      </c>
      <c r="Q11" s="573">
        <f>SUMPRODUCT((Timing!$J$5:$AG$5=Q$8)*(IFS!$J114:$AG114))</f>
        <v>527986.11111111112</v>
      </c>
      <c r="R11" s="397">
        <f>SUMPRODUCT((Timing!$J$5:$AG$5=R$8)*(IFS!$J114:$AG114))</f>
        <v>518444.44444444444</v>
      </c>
      <c r="S11" s="398">
        <f>SUMPRODUCT((Timing!$J$5:$AG$5=S$8)*(IFS!$J114:$AG114))</f>
        <v>508902.77777777775</v>
      </c>
      <c r="T11" s="573">
        <f>SUMPRODUCT((Timing!$J$5:$AG$5=T$8)*(IFS!$J114:$AG114))</f>
        <v>499361.11111111107</v>
      </c>
      <c r="U11" s="573">
        <f>SUMPRODUCT((Timing!$J$5:$AG$5=U$8)*(IFS!$J114:$AG114))</f>
        <v>489819.44444444438</v>
      </c>
      <c r="V11" s="395">
        <f>SUMPRODUCT((Timing!$J$5:$AG$5=V$8)*(IFS!$J114:$AG114))</f>
        <v>489819.44444444438</v>
      </c>
      <c r="W11" s="848">
        <f>SUMPRODUCT((Timing!$J$5:$AG$5=W$8)*(IFS!$J114:$AG114))</f>
        <v>493694.44444444432</v>
      </c>
      <c r="X11" s="849">
        <f>SUMPRODUCT((Timing!$J$5:$AG$5=X$8)*(IFS!$J114:$AG114))</f>
        <v>512749.99999999994</v>
      </c>
      <c r="Y11" s="849">
        <f>SUMPRODUCT((Timing!$J$5:$AG$5=Y$8)*(IFS!$J114:$AG114))</f>
        <v>480416.66666666669</v>
      </c>
      <c r="Z11" s="398">
        <f>SUMPRODUCT((Timing!$J$5:$AG$5=Z$8)*(IFS!$J114:$AG114))</f>
        <v>448083.33333333343</v>
      </c>
      <c r="AA11" s="395">
        <f>SUMPRODUCT((Timing!$J$5:$AG$5=AA$8)*(IFS!$J114:$AG114))</f>
        <v>448083.33333333343</v>
      </c>
    </row>
    <row r="12" spans="1:28" ht="18.75" customHeight="1">
      <c r="A12" s="566"/>
      <c r="B12" s="566"/>
      <c r="C12" s="185" t="str">
        <f>IF(IFS!C115="","",IFS!C115)</f>
        <v>Financial Assets / Investments</v>
      </c>
      <c r="D12" s="767"/>
      <c r="E12" s="767"/>
      <c r="F12" s="767"/>
      <c r="G12" s="767"/>
      <c r="H12" s="767"/>
      <c r="I12" s="447">
        <f>Inputs!$F$228</f>
        <v>0</v>
      </c>
      <c r="J12" s="573">
        <f>SUMPRODUCT((Timing!$J$5:$AG$5=J$8)*(IFS!$J115:$AG115))</f>
        <v>0</v>
      </c>
      <c r="K12" s="573">
        <f>SUMPRODUCT((Timing!$J$5:$AG$5=K$8)*(IFS!$J115:$AG115))</f>
        <v>0</v>
      </c>
      <c r="L12" s="397">
        <f>SUMPRODUCT((Timing!$J$5:$AG$5=L$8)*(IFS!$J115:$AG115))</f>
        <v>0</v>
      </c>
      <c r="M12" s="398">
        <f>SUMPRODUCT((Timing!$J$5:$AG$5=M$8)*(IFS!$J115:$AG115))</f>
        <v>0</v>
      </c>
      <c r="N12" s="573">
        <f>SUMPRODUCT((Timing!$J$5:$AG$5=N$8)*(IFS!$J115:$AG115))</f>
        <v>0</v>
      </c>
      <c r="O12" s="397">
        <f>SUMPRODUCT((Timing!$J$5:$AG$5=O$8)*(IFS!$J115:$AG115))</f>
        <v>0</v>
      </c>
      <c r="P12" s="398">
        <f>SUMPRODUCT((Timing!$J$5:$AG$5=P$8)*(IFS!$J115:$AG115))</f>
        <v>0</v>
      </c>
      <c r="Q12" s="573">
        <f>SUMPRODUCT((Timing!$J$5:$AG$5=Q$8)*(IFS!$J115:$AG115))</f>
        <v>55000</v>
      </c>
      <c r="R12" s="397">
        <f>SUMPRODUCT((Timing!$J$5:$AG$5=R$8)*(IFS!$J115:$AG115))</f>
        <v>55000</v>
      </c>
      <c r="S12" s="398">
        <f>SUMPRODUCT((Timing!$J$5:$AG$5=S$8)*(IFS!$J115:$AG115))</f>
        <v>55000</v>
      </c>
      <c r="T12" s="573">
        <f>SUMPRODUCT((Timing!$J$5:$AG$5=T$8)*(IFS!$J115:$AG115))</f>
        <v>55000</v>
      </c>
      <c r="U12" s="573">
        <f>SUMPRODUCT((Timing!$J$5:$AG$5=U$8)*(IFS!$J115:$AG115))</f>
        <v>55000</v>
      </c>
      <c r="V12" s="395">
        <f>SUMPRODUCT((Timing!$J$5:$AG$5=V$8)*(IFS!$J115:$AG115))</f>
        <v>55000</v>
      </c>
      <c r="W12" s="848">
        <f>SUMPRODUCT((Timing!$J$5:$AG$5=W$8)*(IFS!$J115:$AG115))</f>
        <v>66250</v>
      </c>
      <c r="X12" s="849">
        <f>SUMPRODUCT((Timing!$J$5:$AG$5=X$8)*(IFS!$J115:$AG115))</f>
        <v>66250</v>
      </c>
      <c r="Y12" s="849">
        <f>SUMPRODUCT((Timing!$J$5:$AG$5=Y$8)*(IFS!$J115:$AG115))</f>
        <v>66250</v>
      </c>
      <c r="Z12" s="398">
        <f>SUMPRODUCT((Timing!$J$5:$AG$5=Z$8)*(IFS!$J115:$AG115))</f>
        <v>66250</v>
      </c>
      <c r="AA12" s="395">
        <f>SUMPRODUCT((Timing!$J$5:$AG$5=AA$8)*(IFS!$J115:$AG115))</f>
        <v>66250</v>
      </c>
    </row>
    <row r="13" spans="1:28" ht="18.75" customHeight="1">
      <c r="A13" s="566"/>
      <c r="B13" s="566"/>
      <c r="C13" s="399" t="str">
        <f>IF(IFS!C116="","",IFS!C116)</f>
        <v>Total Non-current Assets</v>
      </c>
      <c r="D13" s="400"/>
      <c r="E13" s="400"/>
      <c r="F13" s="400"/>
      <c r="G13" s="400"/>
      <c r="H13" s="400"/>
      <c r="I13" s="851">
        <f>SUM(I10:I12)</f>
        <v>257000</v>
      </c>
      <c r="J13" s="851">
        <f t="shared" ref="J13:U13" si="0">SUM(J10:J12)</f>
        <v>0</v>
      </c>
      <c r="K13" s="851">
        <f t="shared" si="0"/>
        <v>0</v>
      </c>
      <c r="L13" s="852">
        <f t="shared" si="0"/>
        <v>0</v>
      </c>
      <c r="M13" s="853">
        <f t="shared" si="0"/>
        <v>377469.44444444444</v>
      </c>
      <c r="N13" s="851">
        <f t="shared" si="0"/>
        <v>591619.4444444445</v>
      </c>
      <c r="O13" s="852">
        <f t="shared" si="0"/>
        <v>582102.77777777775</v>
      </c>
      <c r="P13" s="853">
        <f t="shared" si="0"/>
        <v>612586.11111111101</v>
      </c>
      <c r="Q13" s="851">
        <f t="shared" si="0"/>
        <v>657402.77777777775</v>
      </c>
      <c r="R13" s="852">
        <f t="shared" si="0"/>
        <v>647219.44444444438</v>
      </c>
      <c r="S13" s="853">
        <f t="shared" si="0"/>
        <v>637036.11111111101</v>
      </c>
      <c r="T13" s="851">
        <f t="shared" si="0"/>
        <v>626852.77777777775</v>
      </c>
      <c r="U13" s="851">
        <f t="shared" si="0"/>
        <v>616669.44444444438</v>
      </c>
      <c r="V13" s="851">
        <f t="shared" ref="V13" si="1">SUM(V10:V12)</f>
        <v>616669.44444444438</v>
      </c>
      <c r="W13" s="852">
        <f t="shared" ref="W13" si="2">SUM(W10:W12)</f>
        <v>629869.44444444426</v>
      </c>
      <c r="X13" s="854">
        <f t="shared" ref="X13" si="3">SUM(X10:X12)</f>
        <v>646999.99999999988</v>
      </c>
      <c r="Y13" s="854">
        <f t="shared" ref="Y13" si="4">SUM(Y10:Y12)</f>
        <v>612741.66666666663</v>
      </c>
      <c r="Z13" s="853">
        <f t="shared" ref="Z13" si="5">SUM(Z10:Z12)</f>
        <v>578483.33333333337</v>
      </c>
      <c r="AA13" s="851">
        <f t="shared" ref="AA13" si="6">SUM(AA10:AA12)</f>
        <v>578483.33333333337</v>
      </c>
    </row>
    <row r="14" spans="1:28" ht="18.75" customHeight="1">
      <c r="A14" s="566"/>
      <c r="B14" s="566"/>
      <c r="C14" s="185" t="str">
        <f>IF(IFS!C117="","",IFS!C117)</f>
        <v/>
      </c>
      <c r="D14" s="767"/>
      <c r="E14" s="767"/>
      <c r="F14" s="767"/>
      <c r="G14" s="767"/>
      <c r="H14" s="767"/>
      <c r="I14" s="776"/>
      <c r="J14" s="776"/>
      <c r="K14" s="767"/>
      <c r="L14" s="402"/>
      <c r="M14" s="403"/>
      <c r="N14" s="767"/>
      <c r="O14" s="402"/>
      <c r="P14" s="403"/>
      <c r="Q14" s="767"/>
      <c r="R14" s="402"/>
      <c r="S14" s="403"/>
      <c r="T14" s="767"/>
      <c r="U14" s="767"/>
      <c r="V14" s="846"/>
      <c r="W14" s="402"/>
      <c r="X14" s="847"/>
      <c r="Y14" s="847"/>
      <c r="Z14" s="403"/>
      <c r="AA14" s="846"/>
    </row>
    <row r="15" spans="1:28" s="830" customFormat="1" ht="18.75" customHeight="1">
      <c r="A15" s="566"/>
      <c r="B15" s="566"/>
      <c r="C15" s="185" t="str">
        <f>IF(IFS!C118="","",IFS!C118)</f>
        <v>Inventory</v>
      </c>
      <c r="D15" s="767"/>
      <c r="E15" s="767"/>
      <c r="F15" s="767"/>
      <c r="G15" s="767"/>
      <c r="H15" s="767"/>
      <c r="I15" s="447">
        <f>Inputs!$F$231</f>
        <v>12000</v>
      </c>
      <c r="J15" s="573">
        <f>SUMPRODUCT((Timing!$J$5:$AG$5=J$8)*(IFS!$J118:$AG118))</f>
        <v>0</v>
      </c>
      <c r="K15" s="573">
        <f>SUMPRODUCT((Timing!$J$5:$AG$5=K$8)*(IFS!$J118:$AG118))</f>
        <v>0</v>
      </c>
      <c r="L15" s="397">
        <f>SUMPRODUCT((Timing!$J$5:$AG$5=L$8)*(IFS!$J118:$AG118))</f>
        <v>0</v>
      </c>
      <c r="M15" s="398">
        <f>SUMPRODUCT((Timing!$J$5:$AG$5=M$8)*(IFS!$J118:$AG118))</f>
        <v>16570</v>
      </c>
      <c r="N15" s="573">
        <f>SUMPRODUCT((Timing!$J$5:$AG$5=N$8)*(IFS!$J118:$AG118))</f>
        <v>18390</v>
      </c>
      <c r="O15" s="397">
        <f>SUMPRODUCT((Timing!$J$5:$AG$5=O$8)*(IFS!$J118:$AG118))</f>
        <v>18390</v>
      </c>
      <c r="P15" s="398">
        <f>SUMPRODUCT((Timing!$J$5:$AG$5=P$8)*(IFS!$J118:$AG118))</f>
        <v>18390</v>
      </c>
      <c r="Q15" s="573">
        <f>SUMPRODUCT((Timing!$J$5:$AG$5=Q$8)*(IFS!$J118:$AG118))</f>
        <v>18390</v>
      </c>
      <c r="R15" s="397">
        <f>SUMPRODUCT((Timing!$J$5:$AG$5=R$8)*(IFS!$J118:$AG118))</f>
        <v>18390</v>
      </c>
      <c r="S15" s="398">
        <f>SUMPRODUCT((Timing!$J$5:$AG$5=S$8)*(IFS!$J118:$AG118))</f>
        <v>18390</v>
      </c>
      <c r="T15" s="573">
        <f>SUMPRODUCT((Timing!$J$5:$AG$5=T$8)*(IFS!$J118:$AG118))</f>
        <v>17845</v>
      </c>
      <c r="U15" s="573">
        <f>SUMPRODUCT((Timing!$J$5:$AG$5=U$8)*(IFS!$J118:$AG118))</f>
        <v>17845</v>
      </c>
      <c r="V15" s="395">
        <f>SUMPRODUCT((Timing!$J$5:$AG$5=V$8)*(IFS!$J118:$AG118))</f>
        <v>17845</v>
      </c>
      <c r="W15" s="848">
        <f>SUMPRODUCT((Timing!$J$5:$AG$5=W$8)*(IFS!$J118:$AG118))</f>
        <v>19225</v>
      </c>
      <c r="X15" s="849">
        <f>SUMPRODUCT((Timing!$J$5:$AG$5=X$8)*(IFS!$J118:$AG118))</f>
        <v>19225</v>
      </c>
      <c r="Y15" s="849">
        <f>SUMPRODUCT((Timing!$J$5:$AG$5=Y$8)*(IFS!$J118:$AG118))</f>
        <v>19390</v>
      </c>
      <c r="Z15" s="398">
        <f>SUMPRODUCT((Timing!$J$5:$AG$5=Z$8)*(IFS!$J118:$AG118))</f>
        <v>20240</v>
      </c>
      <c r="AA15" s="395">
        <f>SUMPRODUCT((Timing!$J$5:$AG$5=AA$8)*(IFS!$J118:$AG118))</f>
        <v>20240</v>
      </c>
    </row>
    <row r="16" spans="1:28" s="830" customFormat="1" ht="18.75" customHeight="1">
      <c r="A16" s="566"/>
      <c r="B16" s="566"/>
      <c r="C16" s="185" t="str">
        <f>IF(IFS!C119="","",IFS!C119)</f>
        <v>Changes in advance payments</v>
      </c>
      <c r="D16" s="767"/>
      <c r="E16" s="767"/>
      <c r="F16" s="767"/>
      <c r="G16" s="767"/>
      <c r="H16" s="767"/>
      <c r="I16" s="437"/>
      <c r="J16" s="573">
        <f>SUMPRODUCT((Timing!$J$5:$AG$5=J$8)*(IFS!$J119:$AG119))</f>
        <v>0</v>
      </c>
      <c r="K16" s="573">
        <f>SUMPRODUCT((Timing!$J$5:$AG$5=K$8)*(IFS!$J119:$AG119))</f>
        <v>0</v>
      </c>
      <c r="L16" s="397">
        <f>SUMPRODUCT((Timing!$J$5:$AG$5=L$8)*(IFS!$J119:$AG119))</f>
        <v>0</v>
      </c>
      <c r="M16" s="398">
        <f>SUMPRODUCT((Timing!$J$5:$AG$5=M$8)*(IFS!$J119:$AG119))</f>
        <v>0</v>
      </c>
      <c r="N16" s="573">
        <f>SUMPRODUCT((Timing!$J$5:$AG$5=N$8)*(IFS!$J119:$AG119))</f>
        <v>0</v>
      </c>
      <c r="O16" s="397">
        <f>SUMPRODUCT((Timing!$J$5:$AG$5=O$8)*(IFS!$J119:$AG119))</f>
        <v>0</v>
      </c>
      <c r="P16" s="398">
        <f>SUMPRODUCT((Timing!$J$5:$AG$5=P$8)*(IFS!$J119:$AG119))</f>
        <v>0</v>
      </c>
      <c r="Q16" s="573">
        <f>SUMPRODUCT((Timing!$J$5:$AG$5=Q$8)*(IFS!$J119:$AG119))</f>
        <v>0</v>
      </c>
      <c r="R16" s="397">
        <f>SUMPRODUCT((Timing!$J$5:$AG$5=R$8)*(IFS!$J119:$AG119))</f>
        <v>0</v>
      </c>
      <c r="S16" s="398">
        <f>SUMPRODUCT((Timing!$J$5:$AG$5=S$8)*(IFS!$J119:$AG119))</f>
        <v>0</v>
      </c>
      <c r="T16" s="573">
        <f>SUMPRODUCT((Timing!$J$5:$AG$5=T$8)*(IFS!$J119:$AG119))</f>
        <v>0</v>
      </c>
      <c r="U16" s="573">
        <f>SUMPRODUCT((Timing!$J$5:$AG$5=U$8)*(IFS!$J119:$AG119))</f>
        <v>10000</v>
      </c>
      <c r="V16" s="395">
        <f>SUMPRODUCT((Timing!$J$5:$AG$5=V$8)*(IFS!$J119:$AG119))</f>
        <v>10000</v>
      </c>
      <c r="W16" s="848">
        <f>SUMPRODUCT((Timing!$J$5:$AG$5=W$8)*(IFS!$J119:$AG119))</f>
        <v>10000</v>
      </c>
      <c r="X16" s="849">
        <f>SUMPRODUCT((Timing!$J$5:$AG$5=X$8)*(IFS!$J119:$AG119))</f>
        <v>5000</v>
      </c>
      <c r="Y16" s="849">
        <f>SUMPRODUCT((Timing!$J$5:$AG$5=Y$8)*(IFS!$J119:$AG119))</f>
        <v>5000</v>
      </c>
      <c r="Z16" s="398">
        <f>SUMPRODUCT((Timing!$J$5:$AG$5=Z$8)*(IFS!$J119:$AG119))</f>
        <v>5000</v>
      </c>
      <c r="AA16" s="395">
        <f>SUMPRODUCT((Timing!$J$5:$AG$5=AA$8)*(IFS!$J119:$AG119))</f>
        <v>5000</v>
      </c>
    </row>
    <row r="17" spans="1:27" ht="18.75" customHeight="1">
      <c r="A17" s="566"/>
      <c r="B17" s="566"/>
      <c r="C17" s="185" t="str">
        <f>IF(IFS!C120="","",IFS!C120)</f>
        <v>Accounts receivables</v>
      </c>
      <c r="D17" s="767"/>
      <c r="E17" s="767"/>
      <c r="F17" s="767"/>
      <c r="G17" s="767"/>
      <c r="H17" s="767"/>
      <c r="I17" s="447">
        <f>Inputs!$F$232</f>
        <v>12500</v>
      </c>
      <c r="J17" s="573">
        <f>SUMPRODUCT((Timing!$J$5:$AG$5=J$8)*(IFS!$J120:$AG120))</f>
        <v>0</v>
      </c>
      <c r="K17" s="573">
        <f>SUMPRODUCT((Timing!$J$5:$AG$5=K$8)*(IFS!$J120:$AG120))</f>
        <v>0</v>
      </c>
      <c r="L17" s="397">
        <f>SUMPRODUCT((Timing!$J$5:$AG$5=L$8)*(IFS!$J120:$AG120))</f>
        <v>0</v>
      </c>
      <c r="M17" s="398">
        <f>SUMPRODUCT((Timing!$J$5:$AG$5=M$8)*(IFS!$J120:$AG120))</f>
        <v>38683.674999999988</v>
      </c>
      <c r="N17" s="573">
        <f>SUMPRODUCT((Timing!$J$5:$AG$5=N$8)*(IFS!$J120:$AG120))</f>
        <v>43384.5</v>
      </c>
      <c r="O17" s="397">
        <f>SUMPRODUCT((Timing!$J$5:$AG$5=O$8)*(IFS!$J120:$AG120))</f>
        <v>40505.75</v>
      </c>
      <c r="P17" s="398">
        <f>SUMPRODUCT((Timing!$J$5:$AG$5=P$8)*(IFS!$J120:$AG120))</f>
        <v>37380.75</v>
      </c>
      <c r="Q17" s="573">
        <f>SUMPRODUCT((Timing!$J$5:$AG$5=Q$8)*(IFS!$J120:$AG120))</f>
        <v>37380.75</v>
      </c>
      <c r="R17" s="397">
        <f>SUMPRODUCT((Timing!$J$5:$AG$5=R$8)*(IFS!$J120:$AG120))</f>
        <v>37380.75</v>
      </c>
      <c r="S17" s="398">
        <f>SUMPRODUCT((Timing!$J$5:$AG$5=S$8)*(IFS!$J120:$AG120))</f>
        <v>37380.75</v>
      </c>
      <c r="T17" s="573">
        <f>SUMPRODUCT((Timing!$J$5:$AG$5=T$8)*(IFS!$J120:$AG120))</f>
        <v>35822.48000000001</v>
      </c>
      <c r="U17" s="573">
        <f>SUMPRODUCT((Timing!$J$5:$AG$5=U$8)*(IFS!$J120:$AG120))</f>
        <v>35359.53</v>
      </c>
      <c r="V17" s="395">
        <f>SUMPRODUCT((Timing!$J$5:$AG$5=V$8)*(IFS!$J120:$AG120))</f>
        <v>35359.53</v>
      </c>
      <c r="W17" s="848">
        <f>SUMPRODUCT((Timing!$J$5:$AG$5=W$8)*(IFS!$J120:$AG120))</f>
        <v>37625.030000000057</v>
      </c>
      <c r="X17" s="849">
        <f>SUMPRODUCT((Timing!$J$5:$AG$5=X$8)*(IFS!$J120:$AG120))</f>
        <v>37625.030000000086</v>
      </c>
      <c r="Y17" s="849">
        <f>SUMPRODUCT((Timing!$J$5:$AG$5=Y$8)*(IFS!$J120:$AG120))</f>
        <v>37755.050000000047</v>
      </c>
      <c r="Z17" s="398">
        <f>SUMPRODUCT((Timing!$J$5:$AG$5=Z$8)*(IFS!$J120:$AG120))</f>
        <v>39966.375000000058</v>
      </c>
      <c r="AA17" s="395">
        <f>SUMPRODUCT((Timing!$J$5:$AG$5=AA$8)*(IFS!$J120:$AG120))</f>
        <v>39966.375000000058</v>
      </c>
    </row>
    <row r="18" spans="1:27" ht="18.75" customHeight="1">
      <c r="A18" s="566"/>
      <c r="B18" s="566"/>
      <c r="C18" s="185" t="str">
        <f>IF(IFS!C121="","",IFS!C121)</f>
        <v>VAT owed to company</v>
      </c>
      <c r="D18" s="767"/>
      <c r="E18" s="767"/>
      <c r="F18" s="767"/>
      <c r="G18" s="767"/>
      <c r="H18" s="767"/>
      <c r="I18" s="437"/>
      <c r="J18" s="573">
        <f>SUMPRODUCT((Timing!$J$5:$AG$5=J$8)*(IFS!$J121:$AG121))</f>
        <v>0</v>
      </c>
      <c r="K18" s="573">
        <f>SUMPRODUCT((Timing!$J$5:$AG$5=K$8)*(IFS!$J121:$AG121))</f>
        <v>0</v>
      </c>
      <c r="L18" s="397">
        <f>SUMPRODUCT((Timing!$J$5:$AG$5=L$8)*(IFS!$J121:$AG121))</f>
        <v>0</v>
      </c>
      <c r="M18" s="398">
        <f>SUMPRODUCT((Timing!$J$5:$AG$5=M$8)*(IFS!$J121:$AG121))</f>
        <v>4691.5550000000003</v>
      </c>
      <c r="N18" s="573">
        <f>SUMPRODUCT((Timing!$J$5:$AG$5=N$8)*(IFS!$J121:$AG121))</f>
        <v>6030.1699999999983</v>
      </c>
      <c r="O18" s="397">
        <f>SUMPRODUCT((Timing!$J$5:$AG$5=O$8)*(IFS!$J121:$AG121))</f>
        <v>6079.4199999999983</v>
      </c>
      <c r="P18" s="398">
        <f>SUMPRODUCT((Timing!$J$5:$AG$5=P$8)*(IFS!$J121:$AG121))</f>
        <v>6079.4199999999983</v>
      </c>
      <c r="Q18" s="573">
        <f>SUMPRODUCT((Timing!$J$5:$AG$5=Q$8)*(IFS!$J121:$AG121))</f>
        <v>6079.4199999999983</v>
      </c>
      <c r="R18" s="397">
        <f>SUMPRODUCT((Timing!$J$5:$AG$5=R$8)*(IFS!$J121:$AG121))</f>
        <v>6079.4199999999983</v>
      </c>
      <c r="S18" s="398">
        <f>SUMPRODUCT((Timing!$J$5:$AG$5=S$8)*(IFS!$J121:$AG121))</f>
        <v>6079.4199999999983</v>
      </c>
      <c r="T18" s="573">
        <f>SUMPRODUCT((Timing!$J$5:$AG$5=T$8)*(IFS!$J121:$AG121))</f>
        <v>5741.3680000000022</v>
      </c>
      <c r="U18" s="573">
        <f>SUMPRODUCT((Timing!$J$5:$AG$5=U$8)*(IFS!$J121:$AG121))</f>
        <v>5648.7780000000021</v>
      </c>
      <c r="V18" s="395">
        <f>SUMPRODUCT((Timing!$J$5:$AG$5=V$8)*(IFS!$J121:$AG121))</f>
        <v>5648.7780000000021</v>
      </c>
      <c r="W18" s="848">
        <f>SUMPRODUCT((Timing!$J$5:$AG$5=W$8)*(IFS!$J121:$AG121))</f>
        <v>5875.3280000000013</v>
      </c>
      <c r="X18" s="849">
        <f>SUMPRODUCT((Timing!$J$5:$AG$5=X$8)*(IFS!$J121:$AG121))</f>
        <v>5875.3280000000013</v>
      </c>
      <c r="Y18" s="849">
        <f>SUMPRODUCT((Timing!$J$5:$AG$5=Y$8)*(IFS!$J121:$AG121))</f>
        <v>5888.3300000000017</v>
      </c>
      <c r="Z18" s="398">
        <f>SUMPRODUCT((Timing!$J$5:$AG$5=Z$8)*(IFS!$J121:$AG121))</f>
        <v>6443.8700000000026</v>
      </c>
      <c r="AA18" s="395">
        <f>SUMPRODUCT((Timing!$J$5:$AG$5=AA$8)*(IFS!$J121:$AG121))</f>
        <v>6443.8700000000026</v>
      </c>
    </row>
    <row r="19" spans="1:27" ht="18.75" customHeight="1">
      <c r="A19" s="566"/>
      <c r="B19" s="566"/>
      <c r="C19" s="185" t="str">
        <f>IF(IFS!C122="","",IFS!C122)</f>
        <v>Cash at bank</v>
      </c>
      <c r="D19" s="767"/>
      <c r="E19" s="767"/>
      <c r="F19" s="767"/>
      <c r="G19" s="767"/>
      <c r="H19" s="767"/>
      <c r="I19" s="447">
        <f>Inputs!$F$233</f>
        <v>5000</v>
      </c>
      <c r="J19" s="573">
        <f ca="1">SUMPRODUCT((Timing!$J$5:$AG$5=J$8)*(IFS!$J122:$AG122))</f>
        <v>0</v>
      </c>
      <c r="K19" s="573">
        <f ca="1">SUMPRODUCT((Timing!$J$5:$AG$5=K$8)*(IFS!$J122:$AG122))</f>
        <v>0</v>
      </c>
      <c r="L19" s="397">
        <f ca="1">SUMPRODUCT((Timing!$J$5:$AG$5=L$8)*(IFS!$J122:$AG122))</f>
        <v>0</v>
      </c>
      <c r="M19" s="398">
        <f ca="1">SUMPRODUCT((Timing!$J$5:$AG$5=M$8)*(IFS!$J122:$AG122))</f>
        <v>0</v>
      </c>
      <c r="N19" s="573">
        <f ca="1">SUMPRODUCT((Timing!$J$5:$AG$5=N$8)*(IFS!$J122:$AG122))</f>
        <v>0</v>
      </c>
      <c r="O19" s="397">
        <f ca="1">SUMPRODUCT((Timing!$J$5:$AG$5=O$8)*(IFS!$J122:$AG122))</f>
        <v>0</v>
      </c>
      <c r="P19" s="398">
        <f ca="1">SUMPRODUCT((Timing!$J$5:$AG$5=P$8)*(IFS!$J122:$AG122))</f>
        <v>52319.131600000001</v>
      </c>
      <c r="Q19" s="573">
        <f ca="1">SUMPRODUCT((Timing!$J$5:$AG$5=Q$8)*(IFS!$J122:$AG122))</f>
        <v>49065.732600000003</v>
      </c>
      <c r="R19" s="397">
        <f ca="1">SUMPRODUCT((Timing!$J$5:$AG$5=R$8)*(IFS!$J122:$AG122))</f>
        <v>56320.367080000004</v>
      </c>
      <c r="S19" s="398">
        <f ca="1">SUMPRODUCT((Timing!$J$5:$AG$5=S$8)*(IFS!$J122:$AG122))</f>
        <v>159710.91396999999</v>
      </c>
      <c r="T19" s="573">
        <f ca="1">SUMPRODUCT((Timing!$J$5:$AG$5=T$8)*(IFS!$J122:$AG122))</f>
        <v>195048.75482999999</v>
      </c>
      <c r="U19" s="573">
        <f ca="1">SUMPRODUCT((Timing!$J$5:$AG$5=U$8)*(IFS!$J122:$AG122))</f>
        <v>183842.89817999999</v>
      </c>
      <c r="V19" s="395">
        <f ca="1">SUMPRODUCT((Timing!$J$5:$AG$5=V$8)*(IFS!$J122:$AG122))</f>
        <v>183842.89817999999</v>
      </c>
      <c r="W19" s="848">
        <f ca="1">SUMPRODUCT((Timing!$J$5:$AG$5=W$8)*(IFS!$J122:$AG122))</f>
        <v>228903.30033</v>
      </c>
      <c r="X19" s="849">
        <f ca="1">SUMPRODUCT((Timing!$J$5:$AG$5=X$8)*(IFS!$J122:$AG122))</f>
        <v>82921.548630000019</v>
      </c>
      <c r="Y19" s="849">
        <f ca="1">SUMPRODUCT((Timing!$J$5:$AG$5=Y$8)*(IFS!$J122:$AG122))</f>
        <v>162786.91051000002</v>
      </c>
      <c r="Z19" s="398">
        <f ca="1">SUMPRODUCT((Timing!$J$5:$AG$5=Z$8)*(IFS!$J122:$AG122))</f>
        <v>242826.42335</v>
      </c>
      <c r="AA19" s="395">
        <f ca="1">SUMPRODUCT((Timing!$J$5:$AG$5=AA$8)*(IFS!$J122:$AG122))</f>
        <v>242826.42335</v>
      </c>
    </row>
    <row r="20" spans="1:27" ht="18.75" customHeight="1">
      <c r="A20" s="566"/>
      <c r="B20" s="566"/>
      <c r="C20" s="399" t="str">
        <f>IF(IFS!C123="","",IFS!C123)</f>
        <v>Total Current Assets</v>
      </c>
      <c r="D20" s="400"/>
      <c r="E20" s="400"/>
      <c r="F20" s="400"/>
      <c r="G20" s="400"/>
      <c r="H20" s="400"/>
      <c r="I20" s="851">
        <f t="shared" ref="I20:AA20" si="7">SUM(I15:I19)</f>
        <v>29500</v>
      </c>
      <c r="J20" s="851">
        <f t="shared" ca="1" si="7"/>
        <v>0</v>
      </c>
      <c r="K20" s="851">
        <f t="shared" ca="1" si="7"/>
        <v>0</v>
      </c>
      <c r="L20" s="852">
        <f t="shared" ca="1" si="7"/>
        <v>0</v>
      </c>
      <c r="M20" s="853">
        <f t="shared" ca="1" si="7"/>
        <v>59945.229999999989</v>
      </c>
      <c r="N20" s="851">
        <f t="shared" ca="1" si="7"/>
        <v>67804.67</v>
      </c>
      <c r="O20" s="852">
        <f t="shared" ca="1" si="7"/>
        <v>64975.17</v>
      </c>
      <c r="P20" s="853">
        <f t="shared" ca="1" si="7"/>
        <v>114169.30160000001</v>
      </c>
      <c r="Q20" s="851">
        <f t="shared" ca="1" si="7"/>
        <v>110915.9026</v>
      </c>
      <c r="R20" s="852">
        <f t="shared" ca="1" si="7"/>
        <v>118170.53708000001</v>
      </c>
      <c r="S20" s="853">
        <f t="shared" ca="1" si="7"/>
        <v>221561.08396999998</v>
      </c>
      <c r="T20" s="851">
        <f t="shared" ca="1" si="7"/>
        <v>254457.60282999999</v>
      </c>
      <c r="U20" s="851">
        <f t="shared" ca="1" si="7"/>
        <v>252696.20617999998</v>
      </c>
      <c r="V20" s="851">
        <f t="shared" ca="1" si="7"/>
        <v>252696.20617999998</v>
      </c>
      <c r="W20" s="852">
        <f t="shared" ca="1" si="7"/>
        <v>301628.65833000006</v>
      </c>
      <c r="X20" s="854">
        <f t="shared" ca="1" si="7"/>
        <v>150646.9066300001</v>
      </c>
      <c r="Y20" s="854">
        <f t="shared" ca="1" si="7"/>
        <v>230820.29051000008</v>
      </c>
      <c r="Z20" s="853">
        <f t="shared" ca="1" si="7"/>
        <v>314476.66835000005</v>
      </c>
      <c r="AA20" s="851">
        <f t="shared" ca="1" si="7"/>
        <v>314476.66835000005</v>
      </c>
    </row>
    <row r="21" spans="1:27" ht="18.75" customHeight="1">
      <c r="A21" s="566"/>
      <c r="B21" s="566"/>
      <c r="C21" s="185" t="str">
        <f>IF(IFS!C124="","",IFS!C124)</f>
        <v/>
      </c>
      <c r="D21" s="767"/>
      <c r="E21" s="767"/>
      <c r="F21" s="767"/>
      <c r="G21" s="767"/>
      <c r="H21" s="767"/>
      <c r="I21" s="776"/>
      <c r="J21" s="776"/>
      <c r="K21" s="767"/>
      <c r="L21" s="402"/>
      <c r="M21" s="403"/>
      <c r="N21" s="767"/>
      <c r="O21" s="402"/>
      <c r="P21" s="403"/>
      <c r="Q21" s="767"/>
      <c r="R21" s="402"/>
      <c r="S21" s="403"/>
      <c r="T21" s="767"/>
      <c r="U21" s="767"/>
      <c r="V21" s="846"/>
      <c r="W21" s="402"/>
      <c r="X21" s="847"/>
      <c r="Y21" s="847"/>
      <c r="Z21" s="403"/>
      <c r="AA21" s="846"/>
    </row>
    <row r="22" spans="1:27" s="830" customFormat="1" ht="18.75" customHeight="1">
      <c r="A22" s="566"/>
      <c r="B22" s="566"/>
      <c r="C22" s="185" t="str">
        <f>IF(IFS!C125="","",IFS!C125)</f>
        <v>Overdraft facility</v>
      </c>
      <c r="D22" s="767"/>
      <c r="E22" s="767"/>
      <c r="F22" s="767"/>
      <c r="G22" s="767"/>
      <c r="H22" s="767"/>
      <c r="I22" s="447">
        <f>Inputs!$F$236</f>
        <v>3500</v>
      </c>
      <c r="J22" s="573">
        <f ca="1">SUMPRODUCT((Timing!$J$5:$AG$5=J$8)*(IFS!$J125:$AG125))</f>
        <v>0</v>
      </c>
      <c r="K22" s="573">
        <f ca="1">SUMPRODUCT((Timing!$J$5:$AG$5=K$8)*(IFS!$J125:$AG125))</f>
        <v>0</v>
      </c>
      <c r="L22" s="397">
        <f ca="1">SUMPRODUCT((Timing!$J$5:$AG$5=L$8)*(IFS!$J125:$AG125))</f>
        <v>0</v>
      </c>
      <c r="M22" s="398">
        <f ca="1">SUMPRODUCT((Timing!$J$5:$AG$5=M$8)*(IFS!$J125:$AG125))</f>
        <v>3500</v>
      </c>
      <c r="N22" s="573">
        <f ca="1">SUMPRODUCT((Timing!$J$5:$AG$5=N$8)*(IFS!$J125:$AG125))</f>
        <v>26879.828305416639</v>
      </c>
      <c r="O22" s="397">
        <f ca="1">SUMPRODUCT((Timing!$J$5:$AG$5=O$8)*(IFS!$J125:$AG125))</f>
        <v>7045.6601431958152</v>
      </c>
      <c r="P22" s="398">
        <f ca="1">SUMPRODUCT((Timing!$J$5:$AG$5=P$8)*(IFS!$J125:$AG125))</f>
        <v>0</v>
      </c>
      <c r="Q22" s="573">
        <f ca="1">SUMPRODUCT((Timing!$J$5:$AG$5=Q$8)*(IFS!$J125:$AG125))</f>
        <v>0</v>
      </c>
      <c r="R22" s="397">
        <f ca="1">SUMPRODUCT((Timing!$J$5:$AG$5=R$8)*(IFS!$J125:$AG125))</f>
        <v>0</v>
      </c>
      <c r="S22" s="398">
        <f ca="1">SUMPRODUCT((Timing!$J$5:$AG$5=S$8)*(IFS!$J125:$AG125))</f>
        <v>0</v>
      </c>
      <c r="T22" s="573">
        <f ca="1">SUMPRODUCT((Timing!$J$5:$AG$5=T$8)*(IFS!$J125:$AG125))</f>
        <v>0</v>
      </c>
      <c r="U22" s="573">
        <f ca="1">SUMPRODUCT((Timing!$J$5:$AG$5=U$8)*(IFS!$J125:$AG125))</f>
        <v>0</v>
      </c>
      <c r="V22" s="395">
        <f ca="1">SUMPRODUCT((Timing!$J$5:$AG$5=V$8)*(IFS!$J125:$AG125))</f>
        <v>0</v>
      </c>
      <c r="W22" s="848">
        <f ca="1">SUMPRODUCT((Timing!$J$5:$AG$5=W$8)*(IFS!$J125:$AG125))</f>
        <v>0</v>
      </c>
      <c r="X22" s="849">
        <f ca="1">SUMPRODUCT((Timing!$J$5:$AG$5=X$8)*(IFS!$J125:$AG125))</f>
        <v>0</v>
      </c>
      <c r="Y22" s="849">
        <f ca="1">SUMPRODUCT((Timing!$J$5:$AG$5=Y$8)*(IFS!$J125:$AG125))</f>
        <v>0</v>
      </c>
      <c r="Z22" s="398">
        <f ca="1">SUMPRODUCT((Timing!$J$5:$AG$5=Z$8)*(IFS!$J125:$AG125))</f>
        <v>0</v>
      </c>
      <c r="AA22" s="395">
        <f ca="1">SUMPRODUCT((Timing!$J$5:$AG$5=AA$8)*(IFS!$J125:$AG125))</f>
        <v>0</v>
      </c>
    </row>
    <row r="23" spans="1:27" s="830" customFormat="1" ht="18.75" customHeight="1">
      <c r="A23" s="566"/>
      <c r="B23" s="566"/>
      <c r="C23" s="185" t="str">
        <f>IF(IFS!C126="","",IFS!C126)</f>
        <v>Changes in advances received</v>
      </c>
      <c r="D23" s="767"/>
      <c r="E23" s="767"/>
      <c r="F23" s="767"/>
      <c r="G23" s="767"/>
      <c r="H23" s="767"/>
      <c r="I23" s="566"/>
      <c r="J23" s="573">
        <f>SUMPRODUCT((Timing!$J$5:$AG$5=J$8)*(IFS!$J126:$AG126))</f>
        <v>0</v>
      </c>
      <c r="K23" s="573">
        <f>SUMPRODUCT((Timing!$J$5:$AG$5=K$8)*(IFS!$J126:$AG126))</f>
        <v>0</v>
      </c>
      <c r="L23" s="397">
        <f>SUMPRODUCT((Timing!$J$5:$AG$5=L$8)*(IFS!$J126:$AG126))</f>
        <v>0</v>
      </c>
      <c r="M23" s="398">
        <f>SUMPRODUCT((Timing!$J$5:$AG$5=M$8)*(IFS!$J126:$AG126))</f>
        <v>0</v>
      </c>
      <c r="N23" s="573">
        <f>SUMPRODUCT((Timing!$J$5:$AG$5=N$8)*(IFS!$J126:$AG126))</f>
        <v>5000</v>
      </c>
      <c r="O23" s="397">
        <f>SUMPRODUCT((Timing!$J$5:$AG$5=O$8)*(IFS!$J126:$AG126))</f>
        <v>5000</v>
      </c>
      <c r="P23" s="398">
        <f>SUMPRODUCT((Timing!$J$5:$AG$5=P$8)*(IFS!$J126:$AG126))</f>
        <v>5000</v>
      </c>
      <c r="Q23" s="573">
        <f>SUMPRODUCT((Timing!$J$5:$AG$5=Q$8)*(IFS!$J126:$AG126))</f>
        <v>5000</v>
      </c>
      <c r="R23" s="397">
        <f>SUMPRODUCT((Timing!$J$5:$AG$5=R$8)*(IFS!$J126:$AG126))</f>
        <v>5000</v>
      </c>
      <c r="S23" s="398">
        <f>SUMPRODUCT((Timing!$J$5:$AG$5=S$8)*(IFS!$J126:$AG126))</f>
        <v>5000</v>
      </c>
      <c r="T23" s="573">
        <f>SUMPRODUCT((Timing!$J$5:$AG$5=T$8)*(IFS!$J126:$AG126))</f>
        <v>5000</v>
      </c>
      <c r="U23" s="573">
        <f>SUMPRODUCT((Timing!$J$5:$AG$5=U$8)*(IFS!$J126:$AG126))</f>
        <v>5000</v>
      </c>
      <c r="V23" s="395">
        <f>SUMPRODUCT((Timing!$J$5:$AG$5=V$8)*(IFS!$J126:$AG126))</f>
        <v>5000</v>
      </c>
      <c r="W23" s="848">
        <f>SUMPRODUCT((Timing!$J$5:$AG$5=W$8)*(IFS!$J126:$AG126))</f>
        <v>5000</v>
      </c>
      <c r="X23" s="849">
        <f>SUMPRODUCT((Timing!$J$5:$AG$5=X$8)*(IFS!$J126:$AG126))</f>
        <v>2000</v>
      </c>
      <c r="Y23" s="849">
        <f>SUMPRODUCT((Timing!$J$5:$AG$5=Y$8)*(IFS!$J126:$AG126))</f>
        <v>2000</v>
      </c>
      <c r="Z23" s="398">
        <f>SUMPRODUCT((Timing!$J$5:$AG$5=Z$8)*(IFS!$J126:$AG126))</f>
        <v>0</v>
      </c>
      <c r="AA23" s="395">
        <f>SUMPRODUCT((Timing!$J$5:$AG$5=AA$8)*(IFS!$J126:$AG126))</f>
        <v>0</v>
      </c>
    </row>
    <row r="24" spans="1:27" s="830" customFormat="1" ht="18.75" customHeight="1">
      <c r="A24" s="566"/>
      <c r="B24" s="566"/>
      <c r="C24" s="185" t="str">
        <f>IF(IFS!C127="","",IFS!C127)</f>
        <v>Accounts Payables</v>
      </c>
      <c r="D24" s="767"/>
      <c r="E24" s="767"/>
      <c r="F24" s="767"/>
      <c r="G24" s="767"/>
      <c r="H24" s="767"/>
      <c r="I24" s="447">
        <f>Inputs!$F$237</f>
        <v>10000</v>
      </c>
      <c r="J24" s="573">
        <f>SUMPRODUCT((Timing!$J$5:$AG$5=J$8)*(IFS!$J127:$AG127))</f>
        <v>0</v>
      </c>
      <c r="K24" s="573">
        <f>SUMPRODUCT((Timing!$J$5:$AG$5=K$8)*(IFS!$J127:$AG127))</f>
        <v>0</v>
      </c>
      <c r="L24" s="397">
        <f>SUMPRODUCT((Timing!$J$5:$AG$5=L$8)*(IFS!$J127:$AG127))</f>
        <v>0</v>
      </c>
      <c r="M24" s="398">
        <f>SUMPRODUCT((Timing!$J$5:$AG$5=M$8)*(IFS!$J127:$AG127))</f>
        <v>42992.133749999994</v>
      </c>
      <c r="N24" s="573">
        <f>SUMPRODUCT((Timing!$J$5:$AG$5=N$8)*(IFS!$J127:$AG127))</f>
        <v>40924.045937499992</v>
      </c>
      <c r="O24" s="397">
        <f>SUMPRODUCT((Timing!$J$5:$AG$5=O$8)*(IFS!$J127:$AG127))</f>
        <v>40735.814746874996</v>
      </c>
      <c r="P24" s="398">
        <f>SUMPRODUCT((Timing!$J$5:$AG$5=P$8)*(IFS!$J127:$AG127))</f>
        <v>40843.691244343747</v>
      </c>
      <c r="Q24" s="573">
        <f>SUMPRODUCT((Timing!$J$5:$AG$5=Q$8)*(IFS!$J127:$AG127))</f>
        <v>40854.676506787175</v>
      </c>
      <c r="R24" s="397">
        <f>SUMPRODUCT((Timing!$J$5:$AG$5=R$8)*(IFS!$J127:$AG127))</f>
        <v>40865.771621855049</v>
      </c>
      <c r="S24" s="398">
        <f>SUMPRODUCT((Timing!$J$5:$AG$5=S$8)*(IFS!$J127:$AG127))</f>
        <v>40876.977688073588</v>
      </c>
      <c r="T24" s="573">
        <f>SUMPRODUCT((Timing!$J$5:$AG$5=T$8)*(IFS!$J127:$AG127))</f>
        <v>38579.795814954326</v>
      </c>
      <c r="U24" s="573">
        <f>SUMPRODUCT((Timing!$J$5:$AG$5=U$8)*(IFS!$J127:$AG127))</f>
        <v>39126.227123103861</v>
      </c>
      <c r="V24" s="395">
        <f>SUMPRODUCT((Timing!$J$5:$AG$5=V$8)*(IFS!$J127:$AG127))</f>
        <v>39126.227123103861</v>
      </c>
      <c r="W24" s="848">
        <f>SUMPRODUCT((Timing!$J$5:$AG$5=W$8)*(IFS!$J127:$AG127))</f>
        <v>40459.371509996054</v>
      </c>
      <c r="X24" s="849">
        <f>SUMPRODUCT((Timing!$J$5:$AG$5=X$8)*(IFS!$J127:$AG127))</f>
        <v>40495.415958795449</v>
      </c>
      <c r="Y24" s="849">
        <f>SUMPRODUCT((Timing!$J$5:$AG$5=Y$8)*(IFS!$J127:$AG127))</f>
        <v>40532.552590437903</v>
      </c>
      <c r="Z24" s="398">
        <f>SUMPRODUCT((Timing!$J$5:$AG$5=Z$8)*(IFS!$J127:$AG127))</f>
        <v>44990.189499155764</v>
      </c>
      <c r="AA24" s="395">
        <f>SUMPRODUCT((Timing!$J$5:$AG$5=AA$8)*(IFS!$J127:$AG127))</f>
        <v>44990.189499155764</v>
      </c>
    </row>
    <row r="25" spans="1:27" s="830" customFormat="1" ht="18.75" customHeight="1">
      <c r="A25" s="566"/>
      <c r="B25" s="566"/>
      <c r="C25" s="185" t="str">
        <f>IF(IFS!C128="","",IFS!C128)</f>
        <v>Sundry Creditors</v>
      </c>
      <c r="D25" s="767"/>
      <c r="E25" s="767"/>
      <c r="F25" s="767"/>
      <c r="G25" s="767"/>
      <c r="H25" s="767"/>
      <c r="I25" s="566"/>
      <c r="J25" s="573">
        <f ca="1">SUMPRODUCT((Timing!$J$5:$AG$5=J$8)*(IFS!$J128:$AG128))</f>
        <v>0</v>
      </c>
      <c r="K25" s="573">
        <f ca="1">SUMPRODUCT((Timing!$J$5:$AG$5=K$8)*(IFS!$J128:$AG128))</f>
        <v>0</v>
      </c>
      <c r="L25" s="397">
        <f ca="1">SUMPRODUCT((Timing!$J$5:$AG$5=L$8)*(IFS!$J128:$AG128))</f>
        <v>0</v>
      </c>
      <c r="M25" s="398">
        <f ca="1">SUMPRODUCT((Timing!$J$5:$AG$5=M$8)*(IFS!$J128:$AG128))</f>
        <v>4149.9999999999982</v>
      </c>
      <c r="N25" s="573">
        <f ca="1">SUMPRODUCT((Timing!$J$5:$AG$5=N$8)*(IFS!$J128:$AG128))</f>
        <v>4492</v>
      </c>
      <c r="O25" s="397">
        <f ca="1">SUMPRODUCT((Timing!$J$5:$AG$5=O$8)*(IFS!$J128:$AG128))</f>
        <v>4564.0200000000041</v>
      </c>
      <c r="P25" s="398">
        <f ca="1">SUMPRODUCT((Timing!$J$5:$AG$5=P$8)*(IFS!$J128:$AG128))</f>
        <v>4636.0602000000035</v>
      </c>
      <c r="Q25" s="573">
        <f ca="1">SUMPRODUCT((Timing!$J$5:$AG$5=Q$8)*(IFS!$J128:$AG128))</f>
        <v>4708.1208020000049</v>
      </c>
      <c r="R25" s="397">
        <f ca="1">SUMPRODUCT((Timing!$J$5:$AG$5=R$8)*(IFS!$J128:$AG128))</f>
        <v>4780.2020100200043</v>
      </c>
      <c r="S25" s="398">
        <f ca="1">SUMPRODUCT((Timing!$J$5:$AG$5=S$8)*(IFS!$J128:$AG128))</f>
        <v>4852.3040301202091</v>
      </c>
      <c r="T25" s="573">
        <f ca="1">SUMPRODUCT((Timing!$J$5:$AG$5=T$8)*(IFS!$J128:$AG128))</f>
        <v>4924.4270704214141</v>
      </c>
      <c r="U25" s="573">
        <f ca="1">SUMPRODUCT((Timing!$J$5:$AG$5=U$8)*(IFS!$J128:$AG128))</f>
        <v>4996.5713411256329</v>
      </c>
      <c r="V25" s="395">
        <f ca="1">SUMPRODUCT((Timing!$J$5:$AG$5=V$8)*(IFS!$J128:$AG128))</f>
        <v>4996.5713411256329</v>
      </c>
      <c r="W25" s="848">
        <f ca="1">SUMPRODUCT((Timing!$J$5:$AG$5=W$8)*(IFS!$J128:$AG128))</f>
        <v>5213.133669333085</v>
      </c>
      <c r="X25" s="849">
        <f ca="1">SUMPRODUCT((Timing!$J$5:$AG$5=X$8)*(IFS!$J128:$AG128))</f>
        <v>5429.8948426475508</v>
      </c>
      <c r="Y25" s="849">
        <f ca="1">SUMPRODUCT((Timing!$J$5:$AG$5=Y$8)*(IFS!$J128:$AG128))</f>
        <v>5646.8608862746041</v>
      </c>
      <c r="Z25" s="398">
        <f ca="1">SUMPRODUCT((Timing!$J$5:$AG$5=Z$8)*(IFS!$J128:$AG128))</f>
        <v>5864.0380079896167</v>
      </c>
      <c r="AA25" s="395">
        <f ca="1">SUMPRODUCT((Timing!$J$5:$AG$5=AA$8)*(IFS!$J128:$AG128))</f>
        <v>5864.0380079896167</v>
      </c>
    </row>
    <row r="26" spans="1:27" s="830" customFormat="1" ht="18.75" customHeight="1">
      <c r="A26" s="566"/>
      <c r="B26" s="566"/>
      <c r="C26" s="185" t="str">
        <f>IF(IFS!C129="","",IFS!C129)</f>
        <v>Accrued revenue share</v>
      </c>
      <c r="D26" s="767"/>
      <c r="E26" s="767"/>
      <c r="F26" s="767"/>
      <c r="G26" s="767"/>
      <c r="H26" s="767"/>
      <c r="I26" s="437"/>
      <c r="J26" s="573">
        <f>SUMPRODUCT((Timing!$J$5:$AG$5=J$8)*(IFS!$J129:$AG129))</f>
        <v>0</v>
      </c>
      <c r="K26" s="573">
        <f>SUMPRODUCT((Timing!$J$5:$AG$5=K$8)*(IFS!$J129:$AG129))</f>
        <v>0</v>
      </c>
      <c r="L26" s="397">
        <f>SUMPRODUCT((Timing!$J$5:$AG$5=L$8)*(IFS!$J129:$AG129))</f>
        <v>0</v>
      </c>
      <c r="M26" s="398">
        <f>SUMPRODUCT((Timing!$J$5:$AG$5=M$8)*(IFS!$J129:$AG129))</f>
        <v>707.5</v>
      </c>
      <c r="N26" s="573">
        <f>SUMPRODUCT((Timing!$J$5:$AG$5=N$8)*(IFS!$J129:$AG129))</f>
        <v>914</v>
      </c>
      <c r="O26" s="397">
        <f>SUMPRODUCT((Timing!$J$5:$AG$5=O$8)*(IFS!$J129:$AG129))</f>
        <v>917</v>
      </c>
      <c r="P26" s="398">
        <f>SUMPRODUCT((Timing!$J$5:$AG$5=P$8)*(IFS!$J129:$AG129))</f>
        <v>917</v>
      </c>
      <c r="Q26" s="573">
        <f>SUMPRODUCT((Timing!$J$5:$AG$5=Q$8)*(IFS!$J129:$AG129))</f>
        <v>917</v>
      </c>
      <c r="R26" s="397">
        <f>SUMPRODUCT((Timing!$J$5:$AG$5=R$8)*(IFS!$J129:$AG129))</f>
        <v>917</v>
      </c>
      <c r="S26" s="398">
        <f>SUMPRODUCT((Timing!$J$5:$AG$5=S$8)*(IFS!$J129:$AG129))</f>
        <v>917</v>
      </c>
      <c r="T26" s="573">
        <f>SUMPRODUCT((Timing!$J$5:$AG$5=T$8)*(IFS!$J129:$AG129))</f>
        <v>908</v>
      </c>
      <c r="U26" s="573">
        <f>SUMPRODUCT((Timing!$J$5:$AG$5=U$8)*(IFS!$J129:$AG129))</f>
        <v>905</v>
      </c>
      <c r="V26" s="395">
        <f>SUMPRODUCT((Timing!$J$5:$AG$5=V$8)*(IFS!$J129:$AG129))</f>
        <v>905</v>
      </c>
      <c r="W26" s="848">
        <f>SUMPRODUCT((Timing!$J$5:$AG$5=W$8)*(IFS!$J129:$AG129))</f>
        <v>1020</v>
      </c>
      <c r="X26" s="849">
        <f>SUMPRODUCT((Timing!$J$5:$AG$5=X$8)*(IFS!$J129:$AG129))</f>
        <v>1020</v>
      </c>
      <c r="Y26" s="849">
        <f>SUMPRODUCT((Timing!$J$5:$AG$5=Y$8)*(IFS!$J129:$AG129))</f>
        <v>1020</v>
      </c>
      <c r="Z26" s="398">
        <f>SUMPRODUCT((Timing!$J$5:$AG$5=Z$8)*(IFS!$J129:$AG129))</f>
        <v>994</v>
      </c>
      <c r="AA26" s="395">
        <f>SUMPRODUCT((Timing!$J$5:$AG$5=AA$8)*(IFS!$J129:$AG129))</f>
        <v>994</v>
      </c>
    </row>
    <row r="27" spans="1:27" s="830" customFormat="1" ht="18.75" customHeight="1">
      <c r="A27" s="566"/>
      <c r="B27" s="566"/>
      <c r="C27" s="185" t="str">
        <f>IF(IFS!C130="","",IFS!C130)</f>
        <v>Accruals</v>
      </c>
      <c r="D27" s="767"/>
      <c r="E27" s="767"/>
      <c r="F27" s="767"/>
      <c r="G27" s="767"/>
      <c r="H27" s="767"/>
      <c r="I27" s="447">
        <f>Inputs!$F$238</f>
        <v>10000</v>
      </c>
      <c r="J27" s="573">
        <f>SUMPRODUCT((Timing!$J$5:$AG$5=J$8)*(IFS!$J130:$AG130))</f>
        <v>0</v>
      </c>
      <c r="K27" s="573">
        <f>SUMPRODUCT((Timing!$J$5:$AG$5=K$8)*(IFS!$J130:$AG130))</f>
        <v>0</v>
      </c>
      <c r="L27" s="397">
        <f>SUMPRODUCT((Timing!$J$5:$AG$5=L$8)*(IFS!$J130:$AG130))</f>
        <v>0</v>
      </c>
      <c r="M27" s="398">
        <f>SUMPRODUCT((Timing!$J$5:$AG$5=M$8)*(IFS!$J130:$AG130))</f>
        <v>10000</v>
      </c>
      <c r="N27" s="573">
        <f>SUMPRODUCT((Timing!$J$5:$AG$5=N$8)*(IFS!$J130:$AG130))</f>
        <v>11000</v>
      </c>
      <c r="O27" s="397">
        <f>SUMPRODUCT((Timing!$J$5:$AG$5=O$8)*(IFS!$J130:$AG130))</f>
        <v>11000</v>
      </c>
      <c r="P27" s="398">
        <f>SUMPRODUCT((Timing!$J$5:$AG$5=P$8)*(IFS!$J130:$AG130))</f>
        <v>8500</v>
      </c>
      <c r="Q27" s="573">
        <f>SUMPRODUCT((Timing!$J$5:$AG$5=Q$8)*(IFS!$J130:$AG130))</f>
        <v>8500</v>
      </c>
      <c r="R27" s="397">
        <f>SUMPRODUCT((Timing!$J$5:$AG$5=R$8)*(IFS!$J130:$AG130))</f>
        <v>8500</v>
      </c>
      <c r="S27" s="398">
        <f>SUMPRODUCT((Timing!$J$5:$AG$5=S$8)*(IFS!$J130:$AG130))</f>
        <v>8500</v>
      </c>
      <c r="T27" s="573">
        <f>SUMPRODUCT((Timing!$J$5:$AG$5=T$8)*(IFS!$J130:$AG130))</f>
        <v>8500</v>
      </c>
      <c r="U27" s="573">
        <f>SUMPRODUCT((Timing!$J$5:$AG$5=U$8)*(IFS!$J130:$AG130))</f>
        <v>8500</v>
      </c>
      <c r="V27" s="395">
        <f>SUMPRODUCT((Timing!$J$5:$AG$5=V$8)*(IFS!$J130:$AG130))</f>
        <v>8500</v>
      </c>
      <c r="W27" s="848">
        <f>SUMPRODUCT((Timing!$J$5:$AG$5=W$8)*(IFS!$J130:$AG130))</f>
        <v>8500</v>
      </c>
      <c r="X27" s="849">
        <f>SUMPRODUCT((Timing!$J$5:$AG$5=X$8)*(IFS!$J130:$AG130))</f>
        <v>8500</v>
      </c>
      <c r="Y27" s="849">
        <f>SUMPRODUCT((Timing!$J$5:$AG$5=Y$8)*(IFS!$J130:$AG130))</f>
        <v>8500</v>
      </c>
      <c r="Z27" s="398">
        <f>SUMPRODUCT((Timing!$J$5:$AG$5=Z$8)*(IFS!$J130:$AG130))</f>
        <v>8500</v>
      </c>
      <c r="AA27" s="395">
        <f>SUMPRODUCT((Timing!$J$5:$AG$5=AA$8)*(IFS!$J130:$AG130))</f>
        <v>8500</v>
      </c>
    </row>
    <row r="28" spans="1:27" s="830" customFormat="1" ht="18.75" customHeight="1">
      <c r="A28" s="566"/>
      <c r="B28" s="566"/>
      <c r="C28" s="185" t="str">
        <f>IF(IFS!C131="","",IFS!C131)</f>
        <v>Finance lease obligations</v>
      </c>
      <c r="D28" s="767"/>
      <c r="E28" s="767"/>
      <c r="F28" s="767"/>
      <c r="G28" s="767"/>
      <c r="H28" s="767"/>
      <c r="I28" s="437"/>
      <c r="J28" s="573">
        <f>SUMPRODUCT((Timing!$J$5:$AG$5=J$8)*(IFS!$J131:$AG131))</f>
        <v>0</v>
      </c>
      <c r="K28" s="573">
        <f>SUMPRODUCT((Timing!$J$5:$AG$5=K$8)*(IFS!$J131:$AG131))</f>
        <v>0</v>
      </c>
      <c r="L28" s="397">
        <f>SUMPRODUCT((Timing!$J$5:$AG$5=L$8)*(IFS!$J131:$AG131))</f>
        <v>0</v>
      </c>
      <c r="M28" s="398">
        <f>SUMPRODUCT((Timing!$J$5:$AG$5=M$8)*(IFS!$J131:$AG131))</f>
        <v>0</v>
      </c>
      <c r="N28" s="573">
        <f>SUMPRODUCT((Timing!$J$5:$AG$5=N$8)*(IFS!$J131:$AG131))</f>
        <v>0</v>
      </c>
      <c r="O28" s="397">
        <f>SUMPRODUCT((Timing!$J$5:$AG$5=O$8)*(IFS!$J131:$AG131))</f>
        <v>0</v>
      </c>
      <c r="P28" s="398">
        <f>SUMPRODUCT((Timing!$J$5:$AG$5=P$8)*(IFS!$J131:$AG131))</f>
        <v>40000</v>
      </c>
      <c r="Q28" s="573">
        <f>SUMPRODUCT((Timing!$J$5:$AG$5=Q$8)*(IFS!$J131:$AG131))</f>
        <v>40000</v>
      </c>
      <c r="R28" s="397">
        <f>SUMPRODUCT((Timing!$J$5:$AG$5=R$8)*(IFS!$J131:$AG131))</f>
        <v>40000</v>
      </c>
      <c r="S28" s="398">
        <f>SUMPRODUCT((Timing!$J$5:$AG$5=S$8)*(IFS!$J131:$AG131))</f>
        <v>38750</v>
      </c>
      <c r="T28" s="573">
        <f>SUMPRODUCT((Timing!$J$5:$AG$5=T$8)*(IFS!$J131:$AG131))</f>
        <v>38750</v>
      </c>
      <c r="U28" s="573">
        <f>SUMPRODUCT((Timing!$J$5:$AG$5=U$8)*(IFS!$J131:$AG131))</f>
        <v>38750</v>
      </c>
      <c r="V28" s="395">
        <f>SUMPRODUCT((Timing!$J$5:$AG$5=V$8)*(IFS!$J131:$AG131))</f>
        <v>38750</v>
      </c>
      <c r="W28" s="848">
        <f>SUMPRODUCT((Timing!$J$5:$AG$5=W$8)*(IFS!$J131:$AG131))</f>
        <v>38750</v>
      </c>
      <c r="X28" s="849">
        <f>SUMPRODUCT((Timing!$J$5:$AG$5=X$8)*(IFS!$J131:$AG131))</f>
        <v>38750</v>
      </c>
      <c r="Y28" s="849">
        <f>SUMPRODUCT((Timing!$J$5:$AG$5=Y$8)*(IFS!$J131:$AG131))</f>
        <v>38750</v>
      </c>
      <c r="Z28" s="398">
        <f>SUMPRODUCT((Timing!$J$5:$AG$5=Z$8)*(IFS!$J131:$AG131))</f>
        <v>37250</v>
      </c>
      <c r="AA28" s="395">
        <f>SUMPRODUCT((Timing!$J$5:$AG$5=AA$8)*(IFS!$J131:$AG131))</f>
        <v>37250</v>
      </c>
    </row>
    <row r="29" spans="1:27" s="830" customFormat="1" ht="18.75" customHeight="1">
      <c r="A29" s="566"/>
      <c r="B29" s="566"/>
      <c r="C29" s="185" t="str">
        <f>IF(IFS!C132="","",IFS!C132)</f>
        <v>Payroll withholdings owed</v>
      </c>
      <c r="D29" s="767"/>
      <c r="E29" s="767"/>
      <c r="F29" s="767"/>
      <c r="G29" s="767"/>
      <c r="H29" s="767"/>
      <c r="I29" s="447">
        <f>Inputs!$F$239</f>
        <v>4500</v>
      </c>
      <c r="J29" s="573">
        <f>SUMPRODUCT((Timing!$J$5:$AG$5=J$8)*(IFS!$J132:$AG132))</f>
        <v>0</v>
      </c>
      <c r="K29" s="573">
        <f>SUMPRODUCT((Timing!$J$5:$AG$5=K$8)*(IFS!$J132:$AG132))</f>
        <v>0</v>
      </c>
      <c r="L29" s="397">
        <f>SUMPRODUCT((Timing!$J$5:$AG$5=L$8)*(IFS!$J132:$AG132))</f>
        <v>0</v>
      </c>
      <c r="M29" s="398">
        <f>SUMPRODUCT((Timing!$J$5:$AG$5=M$8)*(IFS!$J132:$AG132))</f>
        <v>7937.5</v>
      </c>
      <c r="N29" s="573">
        <f>SUMPRODUCT((Timing!$J$5:$AG$5=N$8)*(IFS!$J132:$AG132))</f>
        <v>7937.5</v>
      </c>
      <c r="O29" s="397">
        <f>SUMPRODUCT((Timing!$J$5:$AG$5=O$8)*(IFS!$J132:$AG132))</f>
        <v>5437.5</v>
      </c>
      <c r="P29" s="398">
        <f>SUMPRODUCT((Timing!$J$5:$AG$5=P$8)*(IFS!$J132:$AG132))</f>
        <v>5437.5</v>
      </c>
      <c r="Q29" s="573">
        <f>SUMPRODUCT((Timing!$J$5:$AG$5=Q$8)*(IFS!$J132:$AG132))</f>
        <v>5437.5</v>
      </c>
      <c r="R29" s="397">
        <f>SUMPRODUCT((Timing!$J$5:$AG$5=R$8)*(IFS!$J132:$AG132))</f>
        <v>5208.3333333333321</v>
      </c>
      <c r="S29" s="398">
        <f>SUMPRODUCT((Timing!$J$5:$AG$5=S$8)*(IFS!$J132:$AG132))</f>
        <v>5624.9999999999991</v>
      </c>
      <c r="T29" s="573">
        <f>SUMPRODUCT((Timing!$J$5:$AG$5=T$8)*(IFS!$J132:$AG132))</f>
        <v>7604.1666666666661</v>
      </c>
      <c r="U29" s="573">
        <f>SUMPRODUCT((Timing!$J$5:$AG$5=U$8)*(IFS!$J132:$AG132))</f>
        <v>7604.1666666666652</v>
      </c>
      <c r="V29" s="395">
        <f>SUMPRODUCT((Timing!$J$5:$AG$5=V$8)*(IFS!$J132:$AG132))</f>
        <v>7604.1666666666652</v>
      </c>
      <c r="W29" s="848">
        <f>SUMPRODUCT((Timing!$J$5:$AG$5=W$8)*(IFS!$J132:$AG132))</f>
        <v>8618.7499999999964</v>
      </c>
      <c r="X29" s="849">
        <f>SUMPRODUCT((Timing!$J$5:$AG$5=X$8)*(IFS!$J132:$AG132))</f>
        <v>9472.9166666666642</v>
      </c>
      <c r="Y29" s="849">
        <f>SUMPRODUCT((Timing!$J$5:$AG$5=Y$8)*(IFS!$J132:$AG132))</f>
        <v>9472.9166666666642</v>
      </c>
      <c r="Z29" s="398">
        <f>SUMPRODUCT((Timing!$J$5:$AG$5=Z$8)*(IFS!$J132:$AG132))</f>
        <v>10220.312499999996</v>
      </c>
      <c r="AA29" s="395">
        <f>SUMPRODUCT((Timing!$J$5:$AG$5=AA$8)*(IFS!$J132:$AG132))</f>
        <v>10220.312499999996</v>
      </c>
    </row>
    <row r="30" spans="1:27" s="830" customFormat="1" ht="18.75" customHeight="1">
      <c r="A30" s="566"/>
      <c r="B30" s="566"/>
      <c r="C30" s="185" t="str">
        <f>IF(IFS!C133="","",IFS!C133)</f>
        <v>VAT owed by company</v>
      </c>
      <c r="D30" s="767"/>
      <c r="E30" s="767"/>
      <c r="F30" s="767"/>
      <c r="G30" s="767"/>
      <c r="H30" s="767"/>
      <c r="I30" s="776"/>
      <c r="J30" s="573">
        <f ca="1">SUMPRODUCT((Timing!$J$5:$AG$5=J$8)*(IFS!$J133:$AG133))</f>
        <v>0</v>
      </c>
      <c r="K30" s="573">
        <f ca="1">SUMPRODUCT((Timing!$J$5:$AG$5=K$8)*(IFS!$J133:$AG133))</f>
        <v>0</v>
      </c>
      <c r="L30" s="397">
        <f ca="1">SUMPRODUCT((Timing!$J$5:$AG$5=L$8)*(IFS!$J133:$AG133))</f>
        <v>0</v>
      </c>
      <c r="M30" s="398">
        <f ca="1">SUMPRODUCT((Timing!$J$5:$AG$5=M$8)*(IFS!$J133:$AG133))</f>
        <v>6659.741399999999</v>
      </c>
      <c r="N30" s="573">
        <f ca="1">SUMPRODUCT((Timing!$J$5:$AG$5=N$8)*(IFS!$J133:$AG133))</f>
        <v>7176.7273499999992</v>
      </c>
      <c r="O30" s="397">
        <f ca="1">SUMPRODUCT((Timing!$J$5:$AG$5=O$8)*(IFS!$J133:$AG133))</f>
        <v>7156.6931594999969</v>
      </c>
      <c r="P30" s="398">
        <f ca="1">SUMPRODUCT((Timing!$J$5:$AG$5=P$8)*(IFS!$J133:$AG133))</f>
        <v>7184.0390270949974</v>
      </c>
      <c r="Q30" s="573">
        <f ca="1">SUMPRODUCT((Timing!$J$5:$AG$5=Q$8)*(IFS!$J133:$AG133))</f>
        <v>7195.8851533659472</v>
      </c>
      <c r="R30" s="397">
        <f ca="1">SUMPRODUCT((Timing!$J$5:$AG$5=R$8)*(IFS!$J133:$AG133))</f>
        <v>7207.7517408996046</v>
      </c>
      <c r="S30" s="398">
        <f ca="1">SUMPRODUCT((Timing!$J$5:$AG$5=S$8)*(IFS!$J133:$AG133))</f>
        <v>7219.6389943085996</v>
      </c>
      <c r="T30" s="573">
        <f ca="1">SUMPRODUCT((Timing!$J$5:$AG$5=T$8)*(IFS!$J133:$AG133))</f>
        <v>6862.1871202516886</v>
      </c>
      <c r="U30" s="573">
        <f ca="1">SUMPRODUCT((Timing!$J$5:$AG$5=U$8)*(IFS!$J133:$AG133))</f>
        <v>6959.7163274542017</v>
      </c>
      <c r="V30" s="395">
        <f ca="1">SUMPRODUCT((Timing!$J$5:$AG$5=V$8)*(IFS!$J133:$AG133))</f>
        <v>6959.7163274542017</v>
      </c>
      <c r="W30" s="848">
        <f ca="1">SUMPRODUCT((Timing!$J$5:$AG$5=W$8)*(IFS!$J133:$AG133))</f>
        <v>7203.3381553059899</v>
      </c>
      <c r="X30" s="849">
        <f ca="1">SUMPRODUCT((Timing!$J$5:$AG$5=X$8)*(IFS!$J133:$AG133))</f>
        <v>7239.4518313779226</v>
      </c>
      <c r="Y30" s="849">
        <f ca="1">SUMPRODUCT((Timing!$J$5:$AG$5=Y$8)*(IFS!$J133:$AG133))</f>
        <v>7275.7689385485046</v>
      </c>
      <c r="Z30" s="398">
        <f ca="1">SUMPRODUCT((Timing!$J$5:$AG$5=Z$8)*(IFS!$J133:$AG133))</f>
        <v>8019.3956409834627</v>
      </c>
      <c r="AA30" s="395">
        <f ca="1">SUMPRODUCT((Timing!$J$5:$AG$5=AA$8)*(IFS!$J133:$AG133))</f>
        <v>8019.3956409834627</v>
      </c>
    </row>
    <row r="31" spans="1:27" s="830" customFormat="1" ht="18.75" customHeight="1">
      <c r="A31" s="566"/>
      <c r="B31" s="566"/>
      <c r="C31" s="185" t="str">
        <f>IF(IFS!C134="","",IFS!C134)</f>
        <v>Taxes on income owed</v>
      </c>
      <c r="D31" s="767"/>
      <c r="E31" s="767"/>
      <c r="F31" s="767"/>
      <c r="G31" s="767"/>
      <c r="H31" s="767"/>
      <c r="I31" s="776"/>
      <c r="J31" s="573">
        <f ca="1">SUMPRODUCT((Timing!$J$5:$AG$5=J$8)*(IFS!$J134:$AG134))</f>
        <v>0</v>
      </c>
      <c r="K31" s="573">
        <f ca="1">SUMPRODUCT((Timing!$J$5:$AG$5=K$8)*(IFS!$J134:$AG134))</f>
        <v>0</v>
      </c>
      <c r="L31" s="397">
        <f ca="1">SUMPRODUCT((Timing!$J$5:$AG$5=L$8)*(IFS!$J134:$AG134))</f>
        <v>0</v>
      </c>
      <c r="M31" s="398">
        <f ca="1">SUMPRODUCT((Timing!$J$5:$AG$5=M$8)*(IFS!$J134:$AG134))</f>
        <v>9873.755757577188</v>
      </c>
      <c r="N31" s="573">
        <f ca="1">SUMPRODUCT((Timing!$J$5:$AG$5=N$8)*(IFS!$J134:$AG134))</f>
        <v>19747.511515154376</v>
      </c>
      <c r="O31" s="397">
        <f ca="1">SUMPRODUCT((Timing!$J$5:$AG$5=O$8)*(IFS!$J134:$AG134))</f>
        <v>2954.6006060648979</v>
      </c>
      <c r="P31" s="398">
        <f ca="1">SUMPRODUCT((Timing!$J$5:$AG$5=P$8)*(IFS!$J134:$AG134))</f>
        <v>12828.356363642086</v>
      </c>
      <c r="Q31" s="573">
        <f ca="1">SUMPRODUCT((Timing!$J$5:$AG$5=Q$8)*(IFS!$J134:$AG134))</f>
        <v>22702.112121219274</v>
      </c>
      <c r="R31" s="397">
        <f ca="1">SUMPRODUCT((Timing!$J$5:$AG$5=R$8)*(IFS!$J134:$AG134))</f>
        <v>5909.2012121297921</v>
      </c>
      <c r="S31" s="398">
        <f ca="1">SUMPRODUCT((Timing!$J$5:$AG$5=S$8)*(IFS!$J134:$AG134))</f>
        <v>15782.95696970698</v>
      </c>
      <c r="T31" s="573">
        <f ca="1">SUMPRODUCT((Timing!$J$5:$AG$5=T$8)*(IFS!$J134:$AG134))</f>
        <v>25656.712727284168</v>
      </c>
      <c r="U31" s="573">
        <f ca="1">SUMPRODUCT((Timing!$J$5:$AG$5=U$8)*(IFS!$J134:$AG134))</f>
        <v>8863.8018181946863</v>
      </c>
      <c r="V31" s="395">
        <f ca="1">SUMPRODUCT((Timing!$J$5:$AG$5=V$8)*(IFS!$J134:$AG134))</f>
        <v>8863.8018181946863</v>
      </c>
      <c r="W31" s="848">
        <f ca="1">SUMPRODUCT((Timing!$J$5:$AG$5=W$8)*(IFS!$J134:$AG134))</f>
        <v>10950.298768022425</v>
      </c>
      <c r="X31" s="849">
        <f ca="1">SUMPRODUCT((Timing!$J$5:$AG$5=X$8)*(IFS!$J134:$AG134))</f>
        <v>4172.9938996554629</v>
      </c>
      <c r="Y31" s="849">
        <f ca="1">SUMPRODUCT((Timing!$J$5:$AG$5=Y$8)*(IFS!$J134:$AG134))</f>
        <v>6259.4908494832052</v>
      </c>
      <c r="Z31" s="398">
        <f ca="1">SUMPRODUCT((Timing!$J$5:$AG$5=Z$8)*(IFS!$J134:$AG134))</f>
        <v>8345.9877993109476</v>
      </c>
      <c r="AA31" s="395">
        <f ca="1">SUMPRODUCT((Timing!$J$5:$AG$5=AA$8)*(IFS!$J134:$AG134))</f>
        <v>8345.9877993109476</v>
      </c>
    </row>
    <row r="32" spans="1:27" s="830" customFormat="1" ht="18.75" customHeight="1">
      <c r="A32" s="566"/>
      <c r="B32" s="566"/>
      <c r="C32" s="185" t="str">
        <f>IF(IFS!C135="","",IFS!C135)</f>
        <v>VAT owed to tax authority</v>
      </c>
      <c r="D32" s="767"/>
      <c r="E32" s="767"/>
      <c r="F32" s="767"/>
      <c r="G32" s="767"/>
      <c r="H32" s="767"/>
      <c r="I32" s="776"/>
      <c r="J32" s="573">
        <f ca="1">SUMPRODUCT((Timing!$J$5:$AG$5=J$8)*(IFS!$J135:$AG135))</f>
        <v>0</v>
      </c>
      <c r="K32" s="573">
        <f ca="1">SUMPRODUCT((Timing!$J$5:$AG$5=K$8)*(IFS!$J135:$AG135))</f>
        <v>0</v>
      </c>
      <c r="L32" s="397">
        <f ca="1">SUMPRODUCT((Timing!$J$5:$AG$5=L$8)*(IFS!$J135:$AG135))</f>
        <v>0</v>
      </c>
      <c r="M32" s="398">
        <f ca="1">SUMPRODUCT((Timing!$J$5:$AG$5=M$8)*(IFS!$J135:$AG135))</f>
        <v>2081.4295999999977</v>
      </c>
      <c r="N32" s="573">
        <f ca="1">SUMPRODUCT((Timing!$J$5:$AG$5=N$8)*(IFS!$J135:$AG135))</f>
        <v>-21326.930160000004</v>
      </c>
      <c r="O32" s="397">
        <f ca="1">SUMPRODUCT((Timing!$J$5:$AG$5=O$8)*(IFS!$J135:$AG135))</f>
        <v>-9226.9093736000068</v>
      </c>
      <c r="P32" s="398">
        <f ca="1">SUMPRODUCT((Timing!$J$5:$AG$5=P$8)*(IFS!$J135:$AG135))</f>
        <v>5670.9771382639956</v>
      </c>
      <c r="Q32" s="573">
        <f ca="1">SUMPRODUCT((Timing!$J$5:$AG$5=Q$8)*(IFS!$J135:$AG135))</f>
        <v>17805.271491910633</v>
      </c>
      <c r="R32" s="397">
        <f ca="1">SUMPRODUCT((Timing!$J$5:$AG$5=R$8)*(IFS!$J135:$AG135))</f>
        <v>29956.628098093737</v>
      </c>
      <c r="S32" s="398">
        <f ca="1">SUMPRODUCT((Timing!$J$5:$AG$5=S$8)*(IFS!$J135:$AG135))</f>
        <v>11678.263139494935</v>
      </c>
      <c r="T32" s="573">
        <f ca="1">SUMPRODUCT((Timing!$J$5:$AG$5=T$8)*(IFS!$J135:$AG135))</f>
        <v>23359.633358797324</v>
      </c>
      <c r="U32" s="573">
        <f ca="1">SUMPRODUCT((Timing!$J$5:$AG$5=U$8)*(IFS!$J135:$AG135))</f>
        <v>35311.296441925857</v>
      </c>
      <c r="V32" s="395">
        <f ca="1">SUMPRODUCT((Timing!$J$5:$AG$5=V$8)*(IFS!$J135:$AG135))</f>
        <v>35311.296441925857</v>
      </c>
      <c r="W32" s="848">
        <f ca="1">SUMPRODUCT((Timing!$J$5:$AG$5=W$8)*(IFS!$J135:$AG135))</f>
        <v>30034.465842767782</v>
      </c>
      <c r="X32" s="849">
        <f ca="1">SUMPRODUCT((Timing!$J$5:$AG$5=X$8)*(IFS!$J135:$AG135))</f>
        <v>26406.364184473347</v>
      </c>
      <c r="Y32" s="849">
        <f ca="1">SUMPRODUCT((Timing!$J$5:$AG$5=Y$8)*(IFS!$J135:$AG135))</f>
        <v>35720.781662890484</v>
      </c>
      <c r="Z32" s="398">
        <f ca="1">SUMPRODUCT((Timing!$J$5:$AG$5=Z$8)*(IFS!$J135:$AG135))</f>
        <v>36882.134295911412</v>
      </c>
      <c r="AA32" s="395">
        <f ca="1">SUMPRODUCT((Timing!$J$5:$AG$5=AA$8)*(IFS!$J135:$AG135))</f>
        <v>36882.134295911412</v>
      </c>
    </row>
    <row r="33" spans="1:27" s="830" customFormat="1" ht="18.75" customHeight="1">
      <c r="A33" s="566"/>
      <c r="B33" s="566"/>
      <c r="C33" s="399" t="str">
        <f>IF(IFS!C136="","",IFS!C136)</f>
        <v>Total Current Liabilities</v>
      </c>
      <c r="D33" s="400"/>
      <c r="E33" s="400"/>
      <c r="F33" s="400"/>
      <c r="G33" s="400"/>
      <c r="H33" s="400"/>
      <c r="I33" s="851">
        <f>SUM(I22:I32)</f>
        <v>28000</v>
      </c>
      <c r="J33" s="851">
        <f t="shared" ref="J33:AA33" ca="1" si="8">SUM(J22:J32)</f>
        <v>0</v>
      </c>
      <c r="K33" s="851">
        <f t="shared" ca="1" si="8"/>
        <v>0</v>
      </c>
      <c r="L33" s="852">
        <f t="shared" ca="1" si="8"/>
        <v>0</v>
      </c>
      <c r="M33" s="853">
        <f t="shared" ca="1" si="8"/>
        <v>87902.060507577189</v>
      </c>
      <c r="N33" s="851">
        <f t="shared" ca="1" si="8"/>
        <v>102744.682948071</v>
      </c>
      <c r="O33" s="852">
        <f t="shared" ca="1" si="8"/>
        <v>75584.37928203569</v>
      </c>
      <c r="P33" s="853">
        <f t="shared" ca="1" si="8"/>
        <v>131017.62397334483</v>
      </c>
      <c r="Q33" s="851">
        <f t="shared" ca="1" si="8"/>
        <v>153120.56607528302</v>
      </c>
      <c r="R33" s="852">
        <f t="shared" ca="1" si="8"/>
        <v>148344.8880163315</v>
      </c>
      <c r="S33" s="853">
        <f t="shared" ca="1" si="8"/>
        <v>139202.14082170432</v>
      </c>
      <c r="T33" s="851">
        <f t="shared" ca="1" si="8"/>
        <v>160144.92275837559</v>
      </c>
      <c r="U33" s="851">
        <f t="shared" ca="1" si="8"/>
        <v>156016.77971847091</v>
      </c>
      <c r="V33" s="851">
        <f t="shared" ca="1" si="8"/>
        <v>156016.77971847091</v>
      </c>
      <c r="W33" s="852">
        <f t="shared" ca="1" si="8"/>
        <v>155749.35794542535</v>
      </c>
      <c r="X33" s="854">
        <f t="shared" ca="1" si="8"/>
        <v>143487.03738361641</v>
      </c>
      <c r="Y33" s="854">
        <f t="shared" ca="1" si="8"/>
        <v>155178.37159430137</v>
      </c>
      <c r="Z33" s="853">
        <f t="shared" ca="1" si="8"/>
        <v>161066.05774335121</v>
      </c>
      <c r="AA33" s="851">
        <f t="shared" ca="1" si="8"/>
        <v>161066.05774335121</v>
      </c>
    </row>
    <row r="34" spans="1:27" s="830" customFormat="1" ht="18.75" customHeight="1">
      <c r="A34" s="566"/>
      <c r="B34" s="566"/>
      <c r="C34" s="185" t="str">
        <f>IF(IFS!C137="","",IFS!C137)</f>
        <v/>
      </c>
      <c r="D34" s="767"/>
      <c r="E34" s="767"/>
      <c r="F34" s="767"/>
      <c r="G34" s="767"/>
      <c r="H34" s="767"/>
      <c r="I34" s="776"/>
      <c r="J34" s="776"/>
      <c r="K34" s="767"/>
      <c r="L34" s="402"/>
      <c r="M34" s="403"/>
      <c r="N34" s="767"/>
      <c r="O34" s="402"/>
      <c r="P34" s="403"/>
      <c r="Q34" s="767"/>
      <c r="R34" s="402"/>
      <c r="S34" s="403"/>
      <c r="T34" s="767"/>
      <c r="U34" s="767"/>
      <c r="V34" s="846"/>
      <c r="W34" s="402"/>
      <c r="X34" s="847"/>
      <c r="Y34" s="847"/>
      <c r="Z34" s="403"/>
      <c r="AA34" s="846"/>
    </row>
    <row r="35" spans="1:27" s="830" customFormat="1" ht="18.75" customHeight="1">
      <c r="A35" s="566"/>
      <c r="B35" s="566"/>
      <c r="C35" s="186" t="str">
        <f>IF(IFS!C138="","",IFS!C138)</f>
        <v>Net current assets</v>
      </c>
      <c r="D35" s="767"/>
      <c r="E35" s="767"/>
      <c r="F35" s="767"/>
      <c r="G35" s="767"/>
      <c r="H35" s="767"/>
      <c r="I35" s="855">
        <f t="shared" ref="I35" si="9">I20-I33</f>
        <v>1500</v>
      </c>
      <c r="J35" s="855">
        <f t="shared" ref="J35:AA35" ca="1" si="10">J20-J33</f>
        <v>0</v>
      </c>
      <c r="K35" s="855">
        <f t="shared" ca="1" si="10"/>
        <v>0</v>
      </c>
      <c r="L35" s="856">
        <f t="shared" ca="1" si="10"/>
        <v>0</v>
      </c>
      <c r="M35" s="857">
        <f t="shared" ca="1" si="10"/>
        <v>-27956.8305075772</v>
      </c>
      <c r="N35" s="855">
        <f t="shared" ca="1" si="10"/>
        <v>-34940.012948071002</v>
      </c>
      <c r="O35" s="856">
        <f t="shared" ca="1" si="10"/>
        <v>-10609.209282035692</v>
      </c>
      <c r="P35" s="857">
        <f t="shared" ca="1" si="10"/>
        <v>-16848.322373344825</v>
      </c>
      <c r="Q35" s="855">
        <f t="shared" ca="1" si="10"/>
        <v>-42204.663475283014</v>
      </c>
      <c r="R35" s="856">
        <f t="shared" ca="1" si="10"/>
        <v>-30174.350936331495</v>
      </c>
      <c r="S35" s="857">
        <f t="shared" ca="1" si="10"/>
        <v>82358.943148295657</v>
      </c>
      <c r="T35" s="855">
        <f t="shared" ca="1" si="10"/>
        <v>94312.680071624403</v>
      </c>
      <c r="U35" s="855">
        <f t="shared" ca="1" si="10"/>
        <v>96679.426461529074</v>
      </c>
      <c r="V35" s="858">
        <f t="shared" ca="1" si="10"/>
        <v>96679.426461529074</v>
      </c>
      <c r="W35" s="859">
        <f t="shared" ca="1" si="10"/>
        <v>145879.30038457472</v>
      </c>
      <c r="X35" s="860">
        <f t="shared" ca="1" si="10"/>
        <v>7159.8692463836924</v>
      </c>
      <c r="Y35" s="860">
        <f t="shared" ca="1" si="10"/>
        <v>75641.918915698712</v>
      </c>
      <c r="Z35" s="857">
        <f t="shared" ca="1" si="10"/>
        <v>153410.61060664884</v>
      </c>
      <c r="AA35" s="858">
        <f t="shared" ca="1" si="10"/>
        <v>153410.61060664884</v>
      </c>
    </row>
    <row r="36" spans="1:27" s="830" customFormat="1" ht="18.75" customHeight="1">
      <c r="A36" s="566"/>
      <c r="B36" s="566"/>
      <c r="C36" s="186" t="str">
        <f>IF(IFS!C139="","",IFS!C139)</f>
        <v>Total assets less current liabilities</v>
      </c>
      <c r="D36" s="767"/>
      <c r="E36" s="767"/>
      <c r="F36" s="767"/>
      <c r="G36" s="767"/>
      <c r="H36" s="767"/>
      <c r="I36" s="861">
        <f t="shared" ref="I36" si="11">I13+I20-I33</f>
        <v>258500</v>
      </c>
      <c r="J36" s="861">
        <f t="shared" ref="J36:AA36" ca="1" si="12">J13+J20-J33</f>
        <v>0</v>
      </c>
      <c r="K36" s="861">
        <f t="shared" ca="1" si="12"/>
        <v>0</v>
      </c>
      <c r="L36" s="862">
        <f t="shared" ca="1" si="12"/>
        <v>0</v>
      </c>
      <c r="M36" s="863">
        <f t="shared" ca="1" si="12"/>
        <v>349512.61393686722</v>
      </c>
      <c r="N36" s="861">
        <f t="shared" ca="1" si="12"/>
        <v>556679.43149637349</v>
      </c>
      <c r="O36" s="862">
        <f t="shared" ca="1" si="12"/>
        <v>571493.56849574205</v>
      </c>
      <c r="P36" s="863">
        <f t="shared" ca="1" si="12"/>
        <v>595737.78873776621</v>
      </c>
      <c r="Q36" s="861">
        <f t="shared" ca="1" si="12"/>
        <v>615198.1143024948</v>
      </c>
      <c r="R36" s="862">
        <f t="shared" ca="1" si="12"/>
        <v>617045.09350811294</v>
      </c>
      <c r="S36" s="863">
        <f t="shared" ca="1" si="12"/>
        <v>719395.05425940675</v>
      </c>
      <c r="T36" s="861">
        <f t="shared" ca="1" si="12"/>
        <v>721165.45784940221</v>
      </c>
      <c r="U36" s="861">
        <f t="shared" ca="1" si="12"/>
        <v>713348.87090597348</v>
      </c>
      <c r="V36" s="864">
        <f t="shared" ca="1" si="12"/>
        <v>713348.87090597348</v>
      </c>
      <c r="W36" s="865">
        <f t="shared" ca="1" si="12"/>
        <v>775748.74482901895</v>
      </c>
      <c r="X36" s="866">
        <f t="shared" ca="1" si="12"/>
        <v>654159.86924638355</v>
      </c>
      <c r="Y36" s="866">
        <f t="shared" ca="1" si="12"/>
        <v>688383.58558236528</v>
      </c>
      <c r="Z36" s="863">
        <f t="shared" ca="1" si="12"/>
        <v>731893.94393998221</v>
      </c>
      <c r="AA36" s="864">
        <f t="shared" ca="1" si="12"/>
        <v>731893.94393998221</v>
      </c>
    </row>
    <row r="37" spans="1:27" s="830" customFormat="1" ht="18.75" customHeight="1">
      <c r="A37" s="566"/>
      <c r="B37" s="566"/>
      <c r="C37" s="185" t="str">
        <f>IF(IFS!C140="","",IFS!C140)</f>
        <v/>
      </c>
      <c r="D37" s="767"/>
      <c r="E37" s="767"/>
      <c r="F37" s="767"/>
      <c r="G37" s="767"/>
      <c r="H37" s="767"/>
      <c r="I37" s="776"/>
      <c r="J37" s="776"/>
      <c r="K37" s="767"/>
      <c r="L37" s="402"/>
      <c r="M37" s="403"/>
      <c r="N37" s="767"/>
      <c r="O37" s="402"/>
      <c r="P37" s="403"/>
      <c r="Q37" s="767"/>
      <c r="R37" s="402"/>
      <c r="S37" s="403"/>
      <c r="T37" s="767"/>
      <c r="U37" s="767"/>
      <c r="V37" s="846"/>
      <c r="W37" s="402"/>
      <c r="X37" s="847"/>
      <c r="Y37" s="847"/>
      <c r="Z37" s="403"/>
      <c r="AA37" s="846"/>
    </row>
    <row r="38" spans="1:27" s="830" customFormat="1" ht="18.75" customHeight="1">
      <c r="A38" s="566"/>
      <c r="B38" s="566"/>
      <c r="C38" s="185" t="str">
        <f>IF(IFS!C141="","",IFS!C141)</f>
        <v>Debt Facilities (at model start)</v>
      </c>
      <c r="D38" s="767"/>
      <c r="E38" s="767"/>
      <c r="F38" s="767"/>
      <c r="G38" s="767"/>
      <c r="H38" s="767"/>
      <c r="I38" s="447">
        <f>Inputs!$F$242</f>
        <v>222000</v>
      </c>
      <c r="J38" s="573">
        <f>SUMPRODUCT((Timing!$J$5:$AG$5=J$8)*(IFS!$J141:$AG141))</f>
        <v>0</v>
      </c>
      <c r="K38" s="573">
        <f>SUMPRODUCT((Timing!$J$5:$AG$5=K$8)*(IFS!$J141:$AG141))</f>
        <v>0</v>
      </c>
      <c r="L38" s="397">
        <f>SUMPRODUCT((Timing!$J$5:$AG$5=L$8)*(IFS!$J141:$AG141))</f>
        <v>0</v>
      </c>
      <c r="M38" s="398">
        <f>SUMPRODUCT((Timing!$J$5:$AG$5=M$8)*(IFS!$J141:$AG141))</f>
        <v>222000</v>
      </c>
      <c r="N38" s="573">
        <f>SUMPRODUCT((Timing!$J$5:$AG$5=N$8)*(IFS!$J141:$AG141))</f>
        <v>222000</v>
      </c>
      <c r="O38" s="397">
        <f>SUMPRODUCT((Timing!$J$5:$AG$5=O$8)*(IFS!$J141:$AG141))</f>
        <v>217000</v>
      </c>
      <c r="P38" s="398">
        <f>SUMPRODUCT((Timing!$J$5:$AG$5=P$8)*(IFS!$J141:$AG141))</f>
        <v>217000</v>
      </c>
      <c r="Q38" s="573">
        <f>SUMPRODUCT((Timing!$J$5:$AG$5=Q$8)*(IFS!$J141:$AG141))</f>
        <v>217000</v>
      </c>
      <c r="R38" s="397">
        <f>SUMPRODUCT((Timing!$J$5:$AG$5=R$8)*(IFS!$J141:$AG141))</f>
        <v>212000</v>
      </c>
      <c r="S38" s="398">
        <f>SUMPRODUCT((Timing!$J$5:$AG$5=S$8)*(IFS!$J141:$AG141))</f>
        <v>212000</v>
      </c>
      <c r="T38" s="573">
        <f>SUMPRODUCT((Timing!$J$5:$AG$5=T$8)*(IFS!$J141:$AG141))</f>
        <v>212000</v>
      </c>
      <c r="U38" s="573">
        <f>SUMPRODUCT((Timing!$J$5:$AG$5=U$8)*(IFS!$J141:$AG141))</f>
        <v>207000</v>
      </c>
      <c r="V38" s="395">
        <f>SUMPRODUCT((Timing!$J$5:$AG$5=V$8)*(IFS!$J141:$AG141))</f>
        <v>207000</v>
      </c>
      <c r="W38" s="848">
        <f>SUMPRODUCT((Timing!$J$5:$AG$5=W$8)*(IFS!$J141:$AG141))</f>
        <v>202000</v>
      </c>
      <c r="X38" s="849">
        <f>SUMPRODUCT((Timing!$J$5:$AG$5=X$8)*(IFS!$J141:$AG141))</f>
        <v>197000</v>
      </c>
      <c r="Y38" s="849">
        <f>SUMPRODUCT((Timing!$J$5:$AG$5=Y$8)*(IFS!$J141:$AG141))</f>
        <v>192000</v>
      </c>
      <c r="Z38" s="398">
        <f>SUMPRODUCT((Timing!$J$5:$AG$5=Z$8)*(IFS!$J141:$AG141))</f>
        <v>187000</v>
      </c>
      <c r="AA38" s="395">
        <f>SUMPRODUCT((Timing!$J$5:$AG$5=AA$8)*(IFS!$J141:$AG141))</f>
        <v>187000</v>
      </c>
    </row>
    <row r="39" spans="1:27" s="830" customFormat="1" ht="18.75" customHeight="1">
      <c r="A39" s="566"/>
      <c r="B39" s="566"/>
      <c r="C39" s="185" t="str">
        <f>IF(IFS!C142="","",IFS!C142)</f>
        <v>Debt 1: UL Bank</v>
      </c>
      <c r="D39" s="767"/>
      <c r="E39" s="767"/>
      <c r="F39" s="767"/>
      <c r="G39" s="767"/>
      <c r="H39" s="767"/>
      <c r="I39" s="776"/>
      <c r="J39" s="573">
        <f ca="1">SUMPRODUCT((Timing!$J$5:$AG$5=J$8)*(IFS!$J142:$AG142))</f>
        <v>0</v>
      </c>
      <c r="K39" s="573">
        <f ca="1">SUMPRODUCT((Timing!$J$5:$AG$5=K$8)*(IFS!$J142:$AG142))</f>
        <v>0</v>
      </c>
      <c r="L39" s="397">
        <f ca="1">SUMPRODUCT((Timing!$J$5:$AG$5=L$8)*(IFS!$J142:$AG142))</f>
        <v>0</v>
      </c>
      <c r="M39" s="398">
        <f ca="1">SUMPRODUCT((Timing!$J$5:$AG$5=M$8)*(IFS!$J142:$AG142))</f>
        <v>794.74024999998801</v>
      </c>
      <c r="N39" s="573">
        <f ca="1">SUMPRODUCT((Timing!$J$5:$AG$5=N$8)*(IFS!$J142:$AG142))</f>
        <v>80000</v>
      </c>
      <c r="O39" s="397">
        <f ca="1">SUMPRODUCT((Timing!$J$5:$AG$5=O$8)*(IFS!$J142:$AG142))</f>
        <v>80000</v>
      </c>
      <c r="P39" s="398">
        <f ca="1">SUMPRODUCT((Timing!$J$5:$AG$5=P$8)*(IFS!$J142:$AG142))</f>
        <v>80000</v>
      </c>
      <c r="Q39" s="573">
        <f ca="1">SUMPRODUCT((Timing!$J$5:$AG$5=Q$8)*(IFS!$J142:$AG142))</f>
        <v>80000</v>
      </c>
      <c r="R39" s="397">
        <f ca="1">SUMPRODUCT((Timing!$J$5:$AG$5=R$8)*(IFS!$J142:$AG142))</f>
        <v>80000</v>
      </c>
      <c r="S39" s="398">
        <f ca="1">SUMPRODUCT((Timing!$J$5:$AG$5=S$8)*(IFS!$J142:$AG142))</f>
        <v>80000</v>
      </c>
      <c r="T39" s="573">
        <f ca="1">SUMPRODUCT((Timing!$J$5:$AG$5=T$8)*(IFS!$J142:$AG142))</f>
        <v>80000</v>
      </c>
      <c r="U39" s="573">
        <f ca="1">SUMPRODUCT((Timing!$J$5:$AG$5=U$8)*(IFS!$J142:$AG142))</f>
        <v>80000</v>
      </c>
      <c r="V39" s="395">
        <f ca="1">SUMPRODUCT((Timing!$J$5:$AG$5=V$8)*(IFS!$J142:$AG142))</f>
        <v>80000</v>
      </c>
      <c r="W39" s="848">
        <f ca="1">SUMPRODUCT((Timing!$J$5:$AG$5=W$8)*(IFS!$J142:$AG142))</f>
        <v>80000</v>
      </c>
      <c r="X39" s="849">
        <f ca="1">SUMPRODUCT((Timing!$J$5:$AG$5=X$8)*(IFS!$J142:$AG142))</f>
        <v>80000</v>
      </c>
      <c r="Y39" s="849">
        <f ca="1">SUMPRODUCT((Timing!$J$5:$AG$5=Y$8)*(IFS!$J142:$AG142))</f>
        <v>80000</v>
      </c>
      <c r="Z39" s="398">
        <f ca="1">SUMPRODUCT((Timing!$J$5:$AG$5=Z$8)*(IFS!$J142:$AG142))</f>
        <v>78237.76816925389</v>
      </c>
      <c r="AA39" s="395">
        <f ca="1">SUMPRODUCT((Timing!$J$5:$AG$5=AA$8)*(IFS!$J142:$AG142))</f>
        <v>78237.76816925389</v>
      </c>
    </row>
    <row r="40" spans="1:27" s="830" customFormat="1" ht="18.75" customHeight="1">
      <c r="A40" s="566"/>
      <c r="B40" s="566"/>
      <c r="C40" s="185" t="str">
        <f>IF(IFS!C143="","",IFS!C143)</f>
        <v>Debt 2: HSBC Bank</v>
      </c>
      <c r="D40" s="767"/>
      <c r="E40" s="767"/>
      <c r="F40" s="767"/>
      <c r="G40" s="767"/>
      <c r="H40" s="767"/>
      <c r="I40" s="776"/>
      <c r="J40" s="573">
        <f>SUMPRODUCT((Timing!$J$5:$AG$5=J$8)*(IFS!$J143:$AG143))</f>
        <v>0</v>
      </c>
      <c r="K40" s="573">
        <f>SUMPRODUCT((Timing!$J$5:$AG$5=K$8)*(IFS!$J143:$AG143))</f>
        <v>0</v>
      </c>
      <c r="L40" s="397">
        <f>SUMPRODUCT((Timing!$J$5:$AG$5=L$8)*(IFS!$J143:$AG143))</f>
        <v>0</v>
      </c>
      <c r="M40" s="398">
        <f>SUMPRODUCT((Timing!$J$5:$AG$5=M$8)*(IFS!$J143:$AG143))</f>
        <v>0</v>
      </c>
      <c r="N40" s="573">
        <f>SUMPRODUCT((Timing!$J$5:$AG$5=N$8)*(IFS!$J143:$AG143))</f>
        <v>40000</v>
      </c>
      <c r="O40" s="397">
        <f>SUMPRODUCT((Timing!$J$5:$AG$5=O$8)*(IFS!$J143:$AG143))</f>
        <v>40000</v>
      </c>
      <c r="P40" s="398">
        <f>SUMPRODUCT((Timing!$J$5:$AG$5=P$8)*(IFS!$J143:$AG143))</f>
        <v>40000</v>
      </c>
      <c r="Q40" s="573">
        <f>SUMPRODUCT((Timing!$J$5:$AG$5=Q$8)*(IFS!$J143:$AG143))</f>
        <v>40000</v>
      </c>
      <c r="R40" s="397">
        <f>SUMPRODUCT((Timing!$J$5:$AG$5=R$8)*(IFS!$J143:$AG143))</f>
        <v>40000</v>
      </c>
      <c r="S40" s="398">
        <f>SUMPRODUCT((Timing!$J$5:$AG$5=S$8)*(IFS!$J143:$AG143))</f>
        <v>40000</v>
      </c>
      <c r="T40" s="573">
        <f>SUMPRODUCT((Timing!$J$5:$AG$5=T$8)*(IFS!$J143:$AG143))</f>
        <v>40000</v>
      </c>
      <c r="U40" s="573">
        <f>SUMPRODUCT((Timing!$J$5:$AG$5=U$8)*(IFS!$J143:$AG143))</f>
        <v>40000</v>
      </c>
      <c r="V40" s="395">
        <f>SUMPRODUCT((Timing!$J$5:$AG$5=V$8)*(IFS!$J143:$AG143))</f>
        <v>40000</v>
      </c>
      <c r="W40" s="848">
        <f>SUMPRODUCT((Timing!$J$5:$AG$5=W$8)*(IFS!$J143:$AG143))</f>
        <v>30000</v>
      </c>
      <c r="X40" s="849">
        <f>SUMPRODUCT((Timing!$J$5:$AG$5=X$8)*(IFS!$J143:$AG143))</f>
        <v>30000</v>
      </c>
      <c r="Y40" s="849">
        <f>SUMPRODUCT((Timing!$J$5:$AG$5=Y$8)*(IFS!$J143:$AG143))</f>
        <v>20000</v>
      </c>
      <c r="Z40" s="398">
        <f>SUMPRODUCT((Timing!$J$5:$AG$5=Z$8)*(IFS!$J143:$AG143))</f>
        <v>20000</v>
      </c>
      <c r="AA40" s="395">
        <f>SUMPRODUCT((Timing!$J$5:$AG$5=AA$8)*(IFS!$J143:$AG143))</f>
        <v>20000</v>
      </c>
    </row>
    <row r="41" spans="1:27" s="830" customFormat="1" ht="18.75" customHeight="1">
      <c r="A41" s="566"/>
      <c r="B41" s="566"/>
      <c r="C41" s="185" t="str">
        <f>IF(IFS!C144="","",IFS!C144)</f>
        <v>Debt 3: UBS</v>
      </c>
      <c r="D41" s="767"/>
      <c r="E41" s="767"/>
      <c r="F41" s="767"/>
      <c r="G41" s="767"/>
      <c r="H41" s="767"/>
      <c r="I41" s="776"/>
      <c r="J41" s="573">
        <f>SUMPRODUCT((Timing!$J$5:$AG$5=J$8)*(IFS!$J144:$AG144))</f>
        <v>0</v>
      </c>
      <c r="K41" s="573">
        <f>SUMPRODUCT((Timing!$J$5:$AG$5=K$8)*(IFS!$J144:$AG144))</f>
        <v>0</v>
      </c>
      <c r="L41" s="397">
        <f>SUMPRODUCT((Timing!$J$5:$AG$5=L$8)*(IFS!$J144:$AG144))</f>
        <v>0</v>
      </c>
      <c r="M41" s="398">
        <f>SUMPRODUCT((Timing!$J$5:$AG$5=M$8)*(IFS!$J144:$AG144))</f>
        <v>0</v>
      </c>
      <c r="N41" s="573">
        <f>SUMPRODUCT((Timing!$J$5:$AG$5=N$8)*(IFS!$J144:$AG144))</f>
        <v>60000</v>
      </c>
      <c r="O41" s="397">
        <f>SUMPRODUCT((Timing!$J$5:$AG$5=O$8)*(IFS!$J144:$AG144))</f>
        <v>60000</v>
      </c>
      <c r="P41" s="398">
        <f>SUMPRODUCT((Timing!$J$5:$AG$5=P$8)*(IFS!$J144:$AG144))</f>
        <v>60000</v>
      </c>
      <c r="Q41" s="573">
        <f>SUMPRODUCT((Timing!$J$5:$AG$5=Q$8)*(IFS!$J144:$AG144))</f>
        <v>60000</v>
      </c>
      <c r="R41" s="397">
        <f>SUMPRODUCT((Timing!$J$5:$AG$5=R$8)*(IFS!$J144:$AG144))</f>
        <v>60000</v>
      </c>
      <c r="S41" s="398">
        <f>SUMPRODUCT((Timing!$J$5:$AG$5=S$8)*(IFS!$J144:$AG144))</f>
        <v>60000</v>
      </c>
      <c r="T41" s="573">
        <f>SUMPRODUCT((Timing!$J$5:$AG$5=T$8)*(IFS!$J144:$AG144))</f>
        <v>60000</v>
      </c>
      <c r="U41" s="573">
        <f>SUMPRODUCT((Timing!$J$5:$AG$5=U$8)*(IFS!$J144:$AG144))</f>
        <v>60000</v>
      </c>
      <c r="V41" s="395">
        <f>SUMPRODUCT((Timing!$J$5:$AG$5=V$8)*(IFS!$J144:$AG144))</f>
        <v>60000</v>
      </c>
      <c r="W41" s="848">
        <f>SUMPRODUCT((Timing!$J$5:$AG$5=W$8)*(IFS!$J144:$AG144))</f>
        <v>60000</v>
      </c>
      <c r="X41" s="849">
        <f>SUMPRODUCT((Timing!$J$5:$AG$5=X$8)*(IFS!$J144:$AG144))</f>
        <v>50000</v>
      </c>
      <c r="Y41" s="849">
        <f>SUMPRODUCT((Timing!$J$5:$AG$5=Y$8)*(IFS!$J144:$AG144))</f>
        <v>50000</v>
      </c>
      <c r="Z41" s="398">
        <f>SUMPRODUCT((Timing!$J$5:$AG$5=Z$8)*(IFS!$J144:$AG144))</f>
        <v>50000</v>
      </c>
      <c r="AA41" s="395">
        <f>SUMPRODUCT((Timing!$J$5:$AG$5=AA$8)*(IFS!$J144:$AG144))</f>
        <v>50000</v>
      </c>
    </row>
    <row r="42" spans="1:27" s="830" customFormat="1" ht="18.75" customHeight="1">
      <c r="A42" s="566"/>
      <c r="B42" s="566"/>
      <c r="C42" s="185" t="str">
        <f>IF(IFS!C145="","",IFS!C145)</f>
        <v>Debt 4: Shareholder Loan</v>
      </c>
      <c r="D42" s="767"/>
      <c r="E42" s="767"/>
      <c r="F42" s="767"/>
      <c r="G42" s="767"/>
      <c r="H42" s="767"/>
      <c r="I42" s="776"/>
      <c r="J42" s="573">
        <f>SUMPRODUCT((Timing!$J$5:$AG$5=J$8)*(IFS!$J145:$AG145))</f>
        <v>0</v>
      </c>
      <c r="K42" s="573">
        <f>SUMPRODUCT((Timing!$J$5:$AG$5=K$8)*(IFS!$J145:$AG145))</f>
        <v>0</v>
      </c>
      <c r="L42" s="397">
        <f>SUMPRODUCT((Timing!$J$5:$AG$5=L$8)*(IFS!$J145:$AG145))</f>
        <v>0</v>
      </c>
      <c r="M42" s="398">
        <f>SUMPRODUCT((Timing!$J$5:$AG$5=M$8)*(IFS!$J145:$AG145))</f>
        <v>0</v>
      </c>
      <c r="N42" s="573">
        <f>SUMPRODUCT((Timing!$J$5:$AG$5=N$8)*(IFS!$J145:$AG145))</f>
        <v>7500</v>
      </c>
      <c r="O42" s="397">
        <f>SUMPRODUCT((Timing!$J$5:$AG$5=O$8)*(IFS!$J145:$AG145))</f>
        <v>7500</v>
      </c>
      <c r="P42" s="398">
        <f>SUMPRODUCT((Timing!$J$5:$AG$5=P$8)*(IFS!$J145:$AG145))</f>
        <v>7500</v>
      </c>
      <c r="Q42" s="573">
        <f>SUMPRODUCT((Timing!$J$5:$AG$5=Q$8)*(IFS!$J145:$AG145))</f>
        <v>7500</v>
      </c>
      <c r="R42" s="397">
        <f>SUMPRODUCT((Timing!$J$5:$AG$5=R$8)*(IFS!$J145:$AG145))</f>
        <v>7500</v>
      </c>
      <c r="S42" s="398">
        <f>SUMPRODUCT((Timing!$J$5:$AG$5=S$8)*(IFS!$J145:$AG145))</f>
        <v>7500</v>
      </c>
      <c r="T42" s="573">
        <f>SUMPRODUCT((Timing!$J$5:$AG$5=T$8)*(IFS!$J145:$AG145))</f>
        <v>7500</v>
      </c>
      <c r="U42" s="573">
        <f>SUMPRODUCT((Timing!$J$5:$AG$5=U$8)*(IFS!$J145:$AG145))</f>
        <v>7500</v>
      </c>
      <c r="V42" s="395">
        <f>SUMPRODUCT((Timing!$J$5:$AG$5=V$8)*(IFS!$J145:$AG145))</f>
        <v>7500</v>
      </c>
      <c r="W42" s="848">
        <f>SUMPRODUCT((Timing!$J$5:$AG$5=W$8)*(IFS!$J145:$AG145))</f>
        <v>7500</v>
      </c>
      <c r="X42" s="849">
        <f>SUMPRODUCT((Timing!$J$5:$AG$5=X$8)*(IFS!$J145:$AG145))</f>
        <v>7500</v>
      </c>
      <c r="Y42" s="849">
        <f>SUMPRODUCT((Timing!$J$5:$AG$5=Y$8)*(IFS!$J145:$AG145))</f>
        <v>0</v>
      </c>
      <c r="Z42" s="398">
        <f>SUMPRODUCT((Timing!$J$5:$AG$5=Z$8)*(IFS!$J145:$AG145))</f>
        <v>0</v>
      </c>
      <c r="AA42" s="395">
        <f>SUMPRODUCT((Timing!$J$5:$AG$5=AA$8)*(IFS!$J145:$AG145))</f>
        <v>0</v>
      </c>
    </row>
    <row r="43" spans="1:27" s="830" customFormat="1" ht="18.75" customHeight="1">
      <c r="A43" s="566"/>
      <c r="B43" s="566"/>
      <c r="C43" s="399" t="str">
        <f>IF(IFS!C146="","",IFS!C146)</f>
        <v>Long-term Liabilities</v>
      </c>
      <c r="D43" s="400"/>
      <c r="E43" s="400"/>
      <c r="F43" s="400"/>
      <c r="G43" s="400"/>
      <c r="H43" s="400"/>
      <c r="I43" s="851">
        <f>SUM(I38:I42)</f>
        <v>222000</v>
      </c>
      <c r="J43" s="851">
        <f t="shared" ref="J43:AA43" ca="1" si="13">SUM(J38:J42)</f>
        <v>0</v>
      </c>
      <c r="K43" s="851">
        <f t="shared" ca="1" si="13"/>
        <v>0</v>
      </c>
      <c r="L43" s="852">
        <f t="shared" ca="1" si="13"/>
        <v>0</v>
      </c>
      <c r="M43" s="853">
        <f t="shared" ca="1" si="13"/>
        <v>222794.74024999997</v>
      </c>
      <c r="N43" s="851">
        <f t="shared" ca="1" si="13"/>
        <v>409500</v>
      </c>
      <c r="O43" s="852">
        <f t="shared" ca="1" si="13"/>
        <v>404500</v>
      </c>
      <c r="P43" s="853">
        <f t="shared" ca="1" si="13"/>
        <v>404500</v>
      </c>
      <c r="Q43" s="851">
        <f t="shared" ca="1" si="13"/>
        <v>404500</v>
      </c>
      <c r="R43" s="852">
        <f t="shared" ca="1" si="13"/>
        <v>399500</v>
      </c>
      <c r="S43" s="853">
        <f t="shared" ca="1" si="13"/>
        <v>399500</v>
      </c>
      <c r="T43" s="851">
        <f t="shared" ca="1" si="13"/>
        <v>399500</v>
      </c>
      <c r="U43" s="851">
        <f t="shared" ca="1" si="13"/>
        <v>394500</v>
      </c>
      <c r="V43" s="851">
        <f t="shared" ca="1" si="13"/>
        <v>394500</v>
      </c>
      <c r="W43" s="852">
        <f t="shared" ca="1" si="13"/>
        <v>379500</v>
      </c>
      <c r="X43" s="854">
        <f t="shared" ca="1" si="13"/>
        <v>364500</v>
      </c>
      <c r="Y43" s="854">
        <f t="shared" ca="1" si="13"/>
        <v>342000</v>
      </c>
      <c r="Z43" s="853">
        <f t="shared" ca="1" si="13"/>
        <v>335237.76816925389</v>
      </c>
      <c r="AA43" s="851">
        <f t="shared" ca="1" si="13"/>
        <v>335237.76816925389</v>
      </c>
    </row>
    <row r="44" spans="1:27" s="830" customFormat="1" ht="18.75" customHeight="1">
      <c r="A44" s="566"/>
      <c r="B44" s="566"/>
      <c r="C44" s="185" t="str">
        <f>IF(IFS!C147="","",IFS!C147)</f>
        <v/>
      </c>
      <c r="D44" s="767"/>
      <c r="E44" s="767"/>
      <c r="F44" s="767"/>
      <c r="G44" s="767"/>
      <c r="H44" s="767"/>
      <c r="I44" s="776"/>
      <c r="J44" s="776"/>
      <c r="K44" s="767"/>
      <c r="L44" s="402"/>
      <c r="M44" s="403"/>
      <c r="N44" s="767"/>
      <c r="O44" s="402"/>
      <c r="P44" s="403"/>
      <c r="Q44" s="767"/>
      <c r="R44" s="402"/>
      <c r="S44" s="403"/>
      <c r="T44" s="767"/>
      <c r="U44" s="767"/>
      <c r="V44" s="846"/>
      <c r="W44" s="402"/>
      <c r="X44" s="847"/>
      <c r="Y44" s="847"/>
      <c r="Z44" s="403"/>
      <c r="AA44" s="846"/>
    </row>
    <row r="45" spans="1:27" s="830" customFormat="1" ht="18.75" customHeight="1" thickBot="1">
      <c r="A45" s="566"/>
      <c r="B45" s="566"/>
      <c r="C45" s="872" t="str">
        <f>IF(IFS!C148="","",IFS!C148)</f>
        <v>NET ASSETS</v>
      </c>
      <c r="D45" s="873"/>
      <c r="E45" s="873"/>
      <c r="F45" s="873"/>
      <c r="G45" s="873"/>
      <c r="H45" s="873"/>
      <c r="I45" s="871">
        <f>I36-I43</f>
        <v>36500</v>
      </c>
      <c r="J45" s="871">
        <f ca="1">J36-J43</f>
        <v>0</v>
      </c>
      <c r="K45" s="871">
        <f t="shared" ref="K45:AA45" ca="1" si="14">K36-K43</f>
        <v>0</v>
      </c>
      <c r="L45" s="874">
        <f t="shared" ca="1" si="14"/>
        <v>0</v>
      </c>
      <c r="M45" s="875">
        <f t="shared" ca="1" si="14"/>
        <v>126717.87368686724</v>
      </c>
      <c r="N45" s="871">
        <f t="shared" ca="1" si="14"/>
        <v>147179.43149637349</v>
      </c>
      <c r="O45" s="874">
        <f t="shared" ca="1" si="14"/>
        <v>166993.56849574205</v>
      </c>
      <c r="P45" s="875">
        <f t="shared" ca="1" si="14"/>
        <v>191237.78873776621</v>
      </c>
      <c r="Q45" s="871">
        <f t="shared" ca="1" si="14"/>
        <v>210698.1143024948</v>
      </c>
      <c r="R45" s="874">
        <f t="shared" ca="1" si="14"/>
        <v>217545.09350811294</v>
      </c>
      <c r="S45" s="875">
        <f t="shared" ca="1" si="14"/>
        <v>319895.05425940675</v>
      </c>
      <c r="T45" s="871">
        <f t="shared" ca="1" si="14"/>
        <v>321665.45784940221</v>
      </c>
      <c r="U45" s="871">
        <f t="shared" ca="1" si="14"/>
        <v>318848.87090597348</v>
      </c>
      <c r="V45" s="871">
        <f t="shared" ca="1" si="14"/>
        <v>318848.87090597348</v>
      </c>
      <c r="W45" s="874">
        <f t="shared" ca="1" si="14"/>
        <v>396248.74482901895</v>
      </c>
      <c r="X45" s="876">
        <f t="shared" ca="1" si="14"/>
        <v>289659.86924638355</v>
      </c>
      <c r="Y45" s="876">
        <f t="shared" ca="1" si="14"/>
        <v>346383.58558236528</v>
      </c>
      <c r="Z45" s="875">
        <f t="shared" ca="1" si="14"/>
        <v>396656.17577072833</v>
      </c>
      <c r="AA45" s="871">
        <f t="shared" ca="1" si="14"/>
        <v>396656.17577072833</v>
      </c>
    </row>
    <row r="46" spans="1:27" s="830" customFormat="1" ht="18.75" customHeight="1" thickTop="1">
      <c r="A46" s="566"/>
      <c r="B46" s="566"/>
      <c r="C46" s="185" t="str">
        <f>IF(IFS!C149="","",IFS!C149)</f>
        <v/>
      </c>
      <c r="D46" s="767"/>
      <c r="E46" s="767"/>
      <c r="F46" s="767"/>
      <c r="G46" s="767"/>
      <c r="H46" s="767"/>
      <c r="I46" s="776"/>
      <c r="J46" s="776"/>
      <c r="K46" s="767"/>
      <c r="L46" s="402"/>
      <c r="M46" s="403"/>
      <c r="N46" s="767"/>
      <c r="O46" s="402"/>
      <c r="P46" s="403"/>
      <c r="Q46" s="767"/>
      <c r="R46" s="402"/>
      <c r="S46" s="403"/>
      <c r="T46" s="767"/>
      <c r="U46" s="767"/>
      <c r="V46" s="846"/>
      <c r="W46" s="402"/>
      <c r="X46" s="847"/>
      <c r="Y46" s="847"/>
      <c r="Z46" s="403"/>
      <c r="AA46" s="846"/>
    </row>
    <row r="47" spans="1:27" s="830" customFormat="1" ht="18.75" customHeight="1">
      <c r="A47" s="566"/>
      <c r="B47" s="566"/>
      <c r="C47" s="185" t="str">
        <f>IF(IFS!C150="","",IFS!C150)</f>
        <v>Share Capital</v>
      </c>
      <c r="D47" s="767"/>
      <c r="E47" s="767"/>
      <c r="F47" s="767"/>
      <c r="G47" s="767"/>
      <c r="H47" s="767"/>
      <c r="I47" s="447">
        <f>Inputs!$F$247</f>
        <v>70000</v>
      </c>
      <c r="J47" s="573">
        <f ca="1">SUMPRODUCT((Timing!$J$5:$AG$5=J$8)*(IFS!$J150:$AG150))</f>
        <v>0</v>
      </c>
      <c r="K47" s="573">
        <f ca="1">SUMPRODUCT((Timing!$J$5:$AG$5=K$8)*(IFS!$J150:$AG150))</f>
        <v>0</v>
      </c>
      <c r="L47" s="397">
        <f ca="1">SUMPRODUCT((Timing!$J$5:$AG$5=L$8)*(IFS!$J150:$AG150))</f>
        <v>0</v>
      </c>
      <c r="M47" s="398">
        <f ca="1">SUMPRODUCT((Timing!$J$5:$AG$5=M$8)*(IFS!$J150:$AG150))</f>
        <v>145000</v>
      </c>
      <c r="N47" s="573">
        <f ca="1">SUMPRODUCT((Timing!$J$5:$AG$5=N$8)*(IFS!$J150:$AG150))</f>
        <v>145000</v>
      </c>
      <c r="O47" s="397">
        <f ca="1">SUMPRODUCT((Timing!$J$5:$AG$5=O$8)*(IFS!$J150:$AG150))</f>
        <v>145000</v>
      </c>
      <c r="P47" s="398">
        <f ca="1">SUMPRODUCT((Timing!$J$5:$AG$5=P$8)*(IFS!$J150:$AG150))</f>
        <v>145000</v>
      </c>
      <c r="Q47" s="573">
        <f ca="1">SUMPRODUCT((Timing!$J$5:$AG$5=Q$8)*(IFS!$J150:$AG150))</f>
        <v>145000</v>
      </c>
      <c r="R47" s="397">
        <f ca="1">SUMPRODUCT((Timing!$J$5:$AG$5=R$8)*(IFS!$J150:$AG150))</f>
        <v>145000</v>
      </c>
      <c r="S47" s="398">
        <f ca="1">SUMPRODUCT((Timing!$J$5:$AG$5=S$8)*(IFS!$J150:$AG150))</f>
        <v>145000</v>
      </c>
      <c r="T47" s="573">
        <f ca="1">SUMPRODUCT((Timing!$J$5:$AG$5=T$8)*(IFS!$J150:$AG150))</f>
        <v>145000</v>
      </c>
      <c r="U47" s="573">
        <f ca="1">SUMPRODUCT((Timing!$J$5:$AG$5=U$8)*(IFS!$J150:$AG150))</f>
        <v>145000</v>
      </c>
      <c r="V47" s="395">
        <f ca="1">SUMPRODUCT((Timing!$J$5:$AG$5=V$8)*(IFS!$J150:$AG150))</f>
        <v>145000</v>
      </c>
      <c r="W47" s="848">
        <f ca="1">SUMPRODUCT((Timing!$J$5:$AG$5=W$8)*(IFS!$J150:$AG150))</f>
        <v>145000</v>
      </c>
      <c r="X47" s="849">
        <f ca="1">SUMPRODUCT((Timing!$J$5:$AG$5=X$8)*(IFS!$J150:$AG150))</f>
        <v>145000</v>
      </c>
      <c r="Y47" s="849">
        <f ca="1">SUMPRODUCT((Timing!$J$5:$AG$5=Y$8)*(IFS!$J150:$AG150))</f>
        <v>145000</v>
      </c>
      <c r="Z47" s="398">
        <f ca="1">SUMPRODUCT((Timing!$J$5:$AG$5=Z$8)*(IFS!$J150:$AG150))</f>
        <v>145000</v>
      </c>
      <c r="AA47" s="395">
        <f ca="1">SUMPRODUCT((Timing!$J$5:$AG$5=AA$8)*(IFS!$J150:$AG150))</f>
        <v>145000</v>
      </c>
    </row>
    <row r="48" spans="1:27" s="830" customFormat="1" ht="18.75" customHeight="1">
      <c r="A48" s="566"/>
      <c r="B48" s="566"/>
      <c r="C48" s="185" t="str">
        <f>IF(IFS!C151="","",IFS!C151)</f>
        <v>Retained Earnings / (loss carried forward)</v>
      </c>
      <c r="D48" s="767"/>
      <c r="E48" s="767"/>
      <c r="F48" s="767"/>
      <c r="G48" s="767"/>
      <c r="H48" s="767"/>
      <c r="I48" s="447">
        <f>Inputs!$F$248</f>
        <v>-33500</v>
      </c>
      <c r="J48" s="573">
        <f ca="1">SUMPRODUCT((Timing!$J$5:$AG$5=J$8)*(IFS!$J151:$AG151))</f>
        <v>0</v>
      </c>
      <c r="K48" s="573">
        <f ca="1">SUMPRODUCT((Timing!$J$5:$AG$5=K$8)*(IFS!$J151:$AG151))</f>
        <v>0</v>
      </c>
      <c r="L48" s="397">
        <f ca="1">SUMPRODUCT((Timing!$J$5:$AG$5=L$8)*(IFS!$J151:$AG151))</f>
        <v>0</v>
      </c>
      <c r="M48" s="398">
        <f ca="1">SUMPRODUCT((Timing!$J$5:$AG$5=M$8)*(IFS!$J151:$AG151))</f>
        <v>-18282.126313132743</v>
      </c>
      <c r="N48" s="573">
        <f ca="1">SUMPRODUCT((Timing!$J$5:$AG$5=N$8)*(IFS!$J151:$AG151))</f>
        <v>2179.4314963733923</v>
      </c>
      <c r="O48" s="397">
        <f ca="1">SUMPRODUCT((Timing!$J$5:$AG$5=O$8)*(IFS!$J151:$AG151))</f>
        <v>21993.568495742016</v>
      </c>
      <c r="P48" s="398">
        <f ca="1">SUMPRODUCT((Timing!$J$5:$AG$5=P$8)*(IFS!$J151:$AG151))</f>
        <v>46237.788737132883</v>
      </c>
      <c r="Q48" s="573">
        <f ca="1">SUMPRODUCT((Timing!$J$5:$AG$5=Q$8)*(IFS!$J151:$AG151))</f>
        <v>65698.114303792245</v>
      </c>
      <c r="R48" s="397">
        <f ca="1">SUMPRODUCT((Timing!$J$5:$AG$5=R$8)*(IFS!$J151:$AG151))</f>
        <v>72545.09351246804</v>
      </c>
      <c r="S48" s="398">
        <f ca="1">SUMPRODUCT((Timing!$J$5:$AG$5=S$8)*(IFS!$J151:$AG151))</f>
        <v>174895.05426308603</v>
      </c>
      <c r="T48" s="573">
        <f ca="1">SUMPRODUCT((Timing!$J$5:$AG$5=T$8)*(IFS!$J151:$AG151))</f>
        <v>176665.45784885072</v>
      </c>
      <c r="U48" s="573">
        <f ca="1">SUMPRODUCT((Timing!$J$5:$AG$5=U$8)*(IFS!$J151:$AG151))</f>
        <v>173848.87090912097</v>
      </c>
      <c r="V48" s="395">
        <f ca="1">SUMPRODUCT((Timing!$J$5:$AG$5=V$8)*(IFS!$J151:$AG151))</f>
        <v>173848.87090912097</v>
      </c>
      <c r="W48" s="848">
        <f ca="1">SUMPRODUCT((Timing!$J$5:$AG$5=W$8)*(IFS!$J151:$AG151))</f>
        <v>251248.74482861618</v>
      </c>
      <c r="X48" s="849">
        <f ca="1">SUMPRODUCT((Timing!$J$5:$AG$5=X$8)*(IFS!$J151:$AG151))</f>
        <v>144659.86924298713</v>
      </c>
      <c r="Y48" s="849">
        <f ca="1">SUMPRODUCT((Timing!$J$5:$AG$5=Y$8)*(IFS!$J151:$AG151))</f>
        <v>201383.58558509371</v>
      </c>
      <c r="Z48" s="398">
        <f ca="1">SUMPRODUCT((Timing!$J$5:$AG$5=Z$8)*(IFS!$J151:$AG151))</f>
        <v>251656.17577417989</v>
      </c>
      <c r="AA48" s="395">
        <f ca="1">SUMPRODUCT((Timing!$J$5:$AG$5=AA$8)*(IFS!$J151:$AG151))</f>
        <v>251656.17577417989</v>
      </c>
    </row>
    <row r="49" spans="1:27" s="830" customFormat="1" ht="18.75" customHeight="1" thickBot="1">
      <c r="A49" s="566"/>
      <c r="B49" s="566"/>
      <c r="C49" s="872" t="str">
        <f>IF(IFS!C152="","",IFS!C152)</f>
        <v>Shareholders Equity</v>
      </c>
      <c r="D49" s="873"/>
      <c r="E49" s="873"/>
      <c r="F49" s="873"/>
      <c r="G49" s="873"/>
      <c r="H49" s="873"/>
      <c r="I49" s="871">
        <f t="shared" ref="I49:AA49" si="15">SUM(I47:I48)</f>
        <v>36500</v>
      </c>
      <c r="J49" s="871">
        <f t="shared" ca="1" si="15"/>
        <v>0</v>
      </c>
      <c r="K49" s="871">
        <f t="shared" ca="1" si="15"/>
        <v>0</v>
      </c>
      <c r="L49" s="874">
        <f t="shared" ca="1" si="15"/>
        <v>0</v>
      </c>
      <c r="M49" s="875">
        <f t="shared" ca="1" si="15"/>
        <v>126717.87368686726</v>
      </c>
      <c r="N49" s="871">
        <f t="shared" ca="1" si="15"/>
        <v>147179.43149637338</v>
      </c>
      <c r="O49" s="874">
        <f t="shared" ca="1" si="15"/>
        <v>166993.56849574202</v>
      </c>
      <c r="P49" s="875">
        <f t="shared" ca="1" si="15"/>
        <v>191237.78873713288</v>
      </c>
      <c r="Q49" s="871">
        <f t="shared" ca="1" si="15"/>
        <v>210698.11430379224</v>
      </c>
      <c r="R49" s="874">
        <f t="shared" ca="1" si="15"/>
        <v>217545.09351246804</v>
      </c>
      <c r="S49" s="875">
        <f t="shared" ca="1" si="15"/>
        <v>319895.05426308606</v>
      </c>
      <c r="T49" s="871">
        <f t="shared" ca="1" si="15"/>
        <v>321665.45784885075</v>
      </c>
      <c r="U49" s="871">
        <f t="shared" ca="1" si="15"/>
        <v>318848.870909121</v>
      </c>
      <c r="V49" s="871">
        <f t="shared" ca="1" si="15"/>
        <v>318848.870909121</v>
      </c>
      <c r="W49" s="874">
        <f t="shared" ca="1" si="15"/>
        <v>396248.74482861615</v>
      </c>
      <c r="X49" s="876">
        <f t="shared" ca="1" si="15"/>
        <v>289659.86924298713</v>
      </c>
      <c r="Y49" s="876">
        <f t="shared" ca="1" si="15"/>
        <v>346383.58558509371</v>
      </c>
      <c r="Z49" s="875">
        <f t="shared" ca="1" si="15"/>
        <v>396656.17577417986</v>
      </c>
      <c r="AA49" s="871">
        <f t="shared" ca="1" si="15"/>
        <v>396656.17577417986</v>
      </c>
    </row>
    <row r="50" spans="1:27" s="830" customFormat="1" ht="18.75" customHeight="1" thickTop="1">
      <c r="A50" s="566"/>
      <c r="B50" s="566"/>
      <c r="C50" s="767"/>
      <c r="D50" s="767"/>
      <c r="E50" s="767"/>
      <c r="F50" s="767"/>
      <c r="G50" s="767"/>
      <c r="H50" s="767"/>
      <c r="I50" s="767"/>
      <c r="J50" s="767"/>
      <c r="K50" s="767"/>
      <c r="L50" s="767"/>
      <c r="M50" s="767"/>
      <c r="N50" s="767"/>
      <c r="O50" s="767"/>
      <c r="P50" s="767"/>
      <c r="Q50" s="767"/>
      <c r="R50" s="767"/>
      <c r="S50" s="767"/>
      <c r="T50" s="767"/>
      <c r="U50" s="767"/>
      <c r="V50" s="767"/>
      <c r="W50" s="767"/>
      <c r="X50" s="767"/>
      <c r="Y50" s="767"/>
      <c r="Z50" s="767"/>
      <c r="AA50" s="767"/>
    </row>
    <row r="51" spans="1:27" ht="18.75" customHeight="1">
      <c r="A51" s="566"/>
      <c r="B51" s="566"/>
      <c r="C51" s="185" t="str">
        <f>IF(IFS!C154="","",IFS!C154)</f>
        <v xml:space="preserve">   Check 1</v>
      </c>
      <c r="D51" s="767"/>
      <c r="E51" s="767"/>
      <c r="F51" s="767"/>
      <c r="G51" s="767"/>
      <c r="H51" s="767"/>
      <c r="I51" s="836">
        <f ca="1">SUM(J51:AA51)</f>
        <v>0</v>
      </c>
      <c r="J51" s="776">
        <f t="shared" ref="J51:AA51" ca="1" si="16">ROUND(J45-J49,1)</f>
        <v>0</v>
      </c>
      <c r="K51" s="776">
        <f t="shared" ca="1" si="16"/>
        <v>0</v>
      </c>
      <c r="L51" s="776">
        <f t="shared" ca="1" si="16"/>
        <v>0</v>
      </c>
      <c r="M51" s="776">
        <f t="shared" ca="1" si="16"/>
        <v>0</v>
      </c>
      <c r="N51" s="776">
        <f t="shared" ca="1" si="16"/>
        <v>0</v>
      </c>
      <c r="O51" s="776">
        <f t="shared" ca="1" si="16"/>
        <v>0</v>
      </c>
      <c r="P51" s="776">
        <f t="shared" ca="1" si="16"/>
        <v>0</v>
      </c>
      <c r="Q51" s="776">
        <f t="shared" ca="1" si="16"/>
        <v>0</v>
      </c>
      <c r="R51" s="776">
        <f t="shared" ca="1" si="16"/>
        <v>0</v>
      </c>
      <c r="S51" s="776">
        <f t="shared" ca="1" si="16"/>
        <v>0</v>
      </c>
      <c r="T51" s="776">
        <f t="shared" ca="1" si="16"/>
        <v>0</v>
      </c>
      <c r="U51" s="776">
        <f t="shared" ca="1" si="16"/>
        <v>0</v>
      </c>
      <c r="V51" s="776">
        <f t="shared" ca="1" si="16"/>
        <v>0</v>
      </c>
      <c r="W51" s="776">
        <f t="shared" ca="1" si="16"/>
        <v>0</v>
      </c>
      <c r="X51" s="776">
        <f t="shared" ca="1" si="16"/>
        <v>0</v>
      </c>
      <c r="Y51" s="776">
        <f t="shared" ca="1" si="16"/>
        <v>0</v>
      </c>
      <c r="Z51" s="776">
        <f t="shared" ca="1" si="16"/>
        <v>0</v>
      </c>
      <c r="AA51" s="776">
        <f t="shared" ca="1" si="16"/>
        <v>0</v>
      </c>
    </row>
    <row r="52" spans="1:27" ht="18.75" customHeight="1">
      <c r="A52" s="566"/>
      <c r="B52" s="566"/>
      <c r="C52" s="185" t="str">
        <f>IF(IFS!C155="","",IFS!C155)</f>
        <v xml:space="preserve">   Check 2</v>
      </c>
      <c r="D52" s="767"/>
      <c r="E52" s="767"/>
      <c r="F52" s="767"/>
      <c r="G52" s="767"/>
      <c r="H52" s="767"/>
      <c r="I52" s="836">
        <f ca="1">SUM(J52:AA52)</f>
        <v>0</v>
      </c>
      <c r="J52" s="850"/>
      <c r="K52" s="776">
        <f t="shared" ref="K52:AA52" ca="1" si="17">K51-J51</f>
        <v>0</v>
      </c>
      <c r="L52" s="776">
        <f t="shared" ca="1" si="17"/>
        <v>0</v>
      </c>
      <c r="M52" s="776">
        <f t="shared" ca="1" si="17"/>
        <v>0</v>
      </c>
      <c r="N52" s="776">
        <f t="shared" ca="1" si="17"/>
        <v>0</v>
      </c>
      <c r="O52" s="776">
        <f t="shared" ca="1" si="17"/>
        <v>0</v>
      </c>
      <c r="P52" s="776">
        <f t="shared" ca="1" si="17"/>
        <v>0</v>
      </c>
      <c r="Q52" s="776">
        <f t="shared" ca="1" si="17"/>
        <v>0</v>
      </c>
      <c r="R52" s="776">
        <f t="shared" ca="1" si="17"/>
        <v>0</v>
      </c>
      <c r="S52" s="776">
        <f t="shared" ca="1" si="17"/>
        <v>0</v>
      </c>
      <c r="T52" s="776">
        <f t="shared" ca="1" si="17"/>
        <v>0</v>
      </c>
      <c r="U52" s="776">
        <f t="shared" ca="1" si="17"/>
        <v>0</v>
      </c>
      <c r="V52" s="776">
        <f t="shared" ca="1" si="17"/>
        <v>0</v>
      </c>
      <c r="W52" s="776">
        <f t="shared" ca="1" si="17"/>
        <v>0</v>
      </c>
      <c r="X52" s="776">
        <f t="shared" ca="1" si="17"/>
        <v>0</v>
      </c>
      <c r="Y52" s="776">
        <f t="shared" ca="1" si="17"/>
        <v>0</v>
      </c>
      <c r="Z52" s="776">
        <f t="shared" ca="1" si="17"/>
        <v>0</v>
      </c>
      <c r="AA52" s="776">
        <f t="shared" ca="1" si="17"/>
        <v>0</v>
      </c>
    </row>
    <row r="53" spans="1:27" ht="18.75" customHeight="1">
      <c r="A53" s="566"/>
      <c r="B53" s="566"/>
      <c r="C53" s="257" t="str">
        <f>"   Check 3 (aggregation)"</f>
        <v xml:space="preserve">   Check 3 (aggregation)</v>
      </c>
      <c r="D53" s="767"/>
      <c r="E53" s="767"/>
      <c r="F53" s="767"/>
      <c r="G53" s="767"/>
      <c r="H53" s="767"/>
      <c r="I53" s="836">
        <f ca="1">ROUND(LOOKUP(Enddatum,IFS!$J$5:$AG$5,IFS!J148:AG148)-LOOKUP(Enddatum,$J$8:$AA$8,$J$45:$AA$45),1)</f>
        <v>0</v>
      </c>
      <c r="J53" s="776"/>
      <c r="K53" s="767"/>
      <c r="L53" s="767"/>
      <c r="M53" s="767"/>
      <c r="N53" s="767"/>
      <c r="O53" s="767"/>
      <c r="P53" s="767"/>
      <c r="Q53" s="767"/>
      <c r="R53" s="767"/>
      <c r="S53" s="767"/>
      <c r="T53" s="767"/>
      <c r="U53" s="767"/>
      <c r="V53" s="767"/>
      <c r="W53" s="767"/>
      <c r="X53" s="767"/>
      <c r="Y53" s="767"/>
      <c r="Z53" s="767"/>
      <c r="AA53" s="767"/>
    </row>
    <row r="54" spans="1:27">
      <c r="A54" s="566"/>
      <c r="B54" s="566"/>
      <c r="C54" s="767"/>
      <c r="D54" s="767"/>
      <c r="E54" s="767"/>
      <c r="F54" s="767"/>
      <c r="G54" s="767"/>
      <c r="H54" s="767"/>
      <c r="I54" s="767"/>
      <c r="J54" s="767"/>
      <c r="K54" s="767"/>
      <c r="L54" s="767"/>
      <c r="M54" s="767"/>
      <c r="N54" s="767"/>
      <c r="O54" s="767"/>
      <c r="P54" s="767"/>
      <c r="Q54" s="767"/>
      <c r="R54" s="767"/>
      <c r="S54" s="767"/>
      <c r="T54" s="767"/>
      <c r="U54" s="767"/>
      <c r="V54" s="767"/>
      <c r="W54" s="767"/>
      <c r="X54" s="767"/>
      <c r="Y54" s="767"/>
      <c r="Z54" s="767"/>
      <c r="AA54" s="767"/>
    </row>
    <row r="55" spans="1:27">
      <c r="A55" s="566"/>
      <c r="B55" s="566"/>
      <c r="C55" s="767"/>
      <c r="D55" s="767"/>
      <c r="E55" s="767"/>
      <c r="F55" s="767"/>
      <c r="G55" s="767"/>
      <c r="H55" s="767"/>
      <c r="I55" s="767"/>
      <c r="J55" s="767"/>
      <c r="K55" s="767"/>
      <c r="L55" s="767"/>
      <c r="M55" s="767"/>
      <c r="N55" s="767"/>
      <c r="O55" s="767"/>
      <c r="P55" s="767"/>
      <c r="Q55" s="767"/>
      <c r="R55" s="767"/>
      <c r="S55" s="767"/>
      <c r="T55" s="767"/>
      <c r="U55" s="767"/>
      <c r="V55" s="767"/>
      <c r="W55" s="767"/>
      <c r="X55" s="767"/>
      <c r="Y55" s="767"/>
      <c r="Z55" s="767"/>
      <c r="AA55" s="767"/>
    </row>
    <row r="56" spans="1:27">
      <c r="A56" s="566"/>
      <c r="B56" s="566"/>
      <c r="C56" s="767"/>
      <c r="D56" s="767"/>
      <c r="E56" s="767"/>
      <c r="F56" s="767"/>
      <c r="G56" s="767"/>
      <c r="H56" s="767"/>
      <c r="I56" s="767"/>
      <c r="J56" s="767"/>
      <c r="K56" s="767"/>
      <c r="L56" s="767"/>
      <c r="M56" s="767"/>
      <c r="N56" s="767"/>
      <c r="O56" s="767"/>
      <c r="P56" s="767"/>
      <c r="Q56" s="767"/>
      <c r="R56" s="767"/>
      <c r="S56" s="767"/>
      <c r="T56" s="767"/>
      <c r="U56" s="767"/>
      <c r="V56" s="767"/>
      <c r="W56" s="767"/>
      <c r="X56" s="767"/>
      <c r="Y56" s="767"/>
      <c r="Z56" s="767"/>
      <c r="AA56" s="767"/>
    </row>
    <row r="57" spans="1:27">
      <c r="A57" s="566"/>
      <c r="B57" s="566"/>
      <c r="C57" s="767"/>
      <c r="D57" s="767"/>
      <c r="E57" s="767"/>
      <c r="F57" s="767"/>
      <c r="G57" s="767"/>
      <c r="H57" s="767"/>
      <c r="I57" s="767"/>
      <c r="J57" s="767"/>
      <c r="K57" s="767"/>
      <c r="L57" s="767"/>
      <c r="M57" s="767"/>
      <c r="N57" s="767"/>
      <c r="O57" s="767"/>
      <c r="P57" s="767"/>
      <c r="Q57" s="767"/>
      <c r="R57" s="767"/>
      <c r="S57" s="767"/>
      <c r="T57" s="767"/>
      <c r="U57" s="767"/>
      <c r="V57" s="767"/>
      <c r="W57" s="767"/>
      <c r="X57" s="767"/>
      <c r="Y57" s="767"/>
      <c r="Z57" s="767"/>
      <c r="AA57" s="767"/>
    </row>
    <row r="58" spans="1:27">
      <c r="A58" s="767"/>
      <c r="B58" s="767"/>
      <c r="C58" s="767"/>
      <c r="D58" s="767"/>
      <c r="E58" s="767"/>
      <c r="F58" s="767"/>
      <c r="G58" s="767"/>
      <c r="H58" s="767"/>
      <c r="I58" s="767"/>
      <c r="J58" s="767"/>
      <c r="K58" s="767"/>
      <c r="L58" s="767"/>
      <c r="M58" s="767"/>
      <c r="N58" s="767"/>
      <c r="O58" s="767"/>
      <c r="P58" s="767"/>
      <c r="Q58" s="767"/>
      <c r="R58" s="767"/>
      <c r="S58" s="767"/>
      <c r="T58" s="767"/>
      <c r="U58" s="767"/>
      <c r="V58" s="767"/>
      <c r="W58" s="767"/>
      <c r="X58" s="767"/>
      <c r="Y58" s="767"/>
      <c r="Z58" s="767"/>
      <c r="AA58" s="767"/>
    </row>
    <row r="59" spans="1:27">
      <c r="A59" s="767"/>
      <c r="B59" s="767"/>
      <c r="C59" s="767"/>
      <c r="D59" s="767"/>
      <c r="E59" s="767"/>
      <c r="F59" s="767"/>
      <c r="G59" s="767"/>
      <c r="H59" s="767"/>
      <c r="I59" s="767"/>
      <c r="J59" s="767"/>
      <c r="K59" s="767"/>
      <c r="L59" s="767"/>
      <c r="M59" s="767"/>
      <c r="N59" s="767"/>
      <c r="O59" s="767"/>
      <c r="P59" s="767"/>
      <c r="Q59" s="767"/>
      <c r="R59" s="767"/>
      <c r="S59" s="767"/>
      <c r="T59" s="767"/>
      <c r="U59" s="767"/>
      <c r="V59" s="767"/>
      <c r="W59" s="767"/>
      <c r="X59" s="767"/>
      <c r="Y59" s="767"/>
      <c r="Z59" s="767"/>
      <c r="AA59" s="767"/>
    </row>
  </sheetData>
  <sheetProtection password="F66A" sheet="1"/>
  <mergeCells count="2">
    <mergeCell ref="J5:U5"/>
    <mergeCell ref="W5:Z5"/>
  </mergeCells>
  <conditionalFormatting sqref="I52">
    <cfRule type="cellIs" dxfId="460" priority="3" operator="notEqual">
      <formula>0</formula>
    </cfRule>
  </conditionalFormatting>
  <conditionalFormatting sqref="D3">
    <cfRule type="cellIs" dxfId="459" priority="2" operator="notEqual">
      <formula>0</formula>
    </cfRule>
  </conditionalFormatting>
  <conditionalFormatting sqref="I51">
    <cfRule type="cellIs" dxfId="458" priority="4" operator="notEqual">
      <formula>0</formula>
    </cfRule>
  </conditionalFormatting>
  <conditionalFormatting sqref="I53">
    <cfRule type="cellIs" dxfId="457" priority="1" operator="notEqual">
      <formula>0</formula>
    </cfRule>
  </conditionalFormatting>
  <hyperlinks>
    <hyperlink ref="E3" location="Fehlerkontrolle" display="Go to error checks"/>
    <hyperlink ref="E2" location="Index!A1" display="Go to table of contents"/>
  </hyperlinks>
  <pageMargins left="0.39370078740157483" right="0.39370078740157483" top="0.39370078740157483" bottom="0.59055118110236227" header="0.31496062992125984" footer="0.31496062992125984"/>
  <pageSetup paperSize="9" scale="55" fitToWidth="2" orientation="landscape" r:id="rId1"/>
  <headerFooter>
    <oddFooter>&amp;Lwww.excel-financial-model.com&amp;C&amp;A&amp;Rpage &amp;P of &amp;N</oddFooter>
  </headerFooter>
  <colBreaks count="1" manualBreakCount="1">
    <brk id="22" min="4" max="47" man="1"/>
  </col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Annahmen">
    <tabColor rgb="FFFFFF00"/>
    <pageSetUpPr autoPageBreaks="0"/>
  </sheetPr>
  <dimension ref="A1:BU383"/>
  <sheetViews>
    <sheetView showGridLines="0" zoomScaleNormal="100" zoomScaleSheetLayoutView="100" workbookViewId="0">
      <selection activeCell="M14" sqref="M14"/>
    </sheetView>
  </sheetViews>
  <sheetFormatPr baseColWidth="10" defaultColWidth="0" defaultRowHeight="12.75" outlineLevelRow="2"/>
  <cols>
    <col min="1" max="2" width="3.5703125" customWidth="1"/>
    <col min="3" max="3" width="66.85546875" customWidth="1"/>
    <col min="4" max="4" width="9.7109375" customWidth="1"/>
    <col min="5" max="5" width="21.140625" customWidth="1"/>
    <col min="6" max="6" width="17.85546875" customWidth="1"/>
    <col min="7" max="10" width="16.85546875" customWidth="1"/>
    <col min="11" max="11" width="12.28515625" customWidth="1"/>
    <col min="12" max="14" width="11.42578125" customWidth="1"/>
    <col min="15" max="15" width="13.140625" customWidth="1"/>
    <col min="16" max="33" width="11.42578125" customWidth="1"/>
    <col min="34" max="73" width="0" hidden="1" customWidth="1"/>
    <col min="74" max="16384" width="11.42578125" hidden="1"/>
  </cols>
  <sheetData>
    <row r="1" spans="1:33" ht="24" customHeight="1">
      <c r="A1" s="41"/>
      <c r="B1" s="41"/>
      <c r="C1" s="193" t="str">
        <f>"Assumptions " &amp;Name_Company</f>
        <v>Assumptions X-ample Computech Ltd.</v>
      </c>
      <c r="D1" s="41"/>
      <c r="E1" s="41"/>
      <c r="F1" s="41"/>
      <c r="G1" s="41"/>
      <c r="H1" s="41"/>
      <c r="I1" s="41"/>
      <c r="J1" s="41"/>
      <c r="K1" s="41"/>
      <c r="L1" s="41"/>
      <c r="M1" s="41"/>
      <c r="N1" s="41"/>
      <c r="O1" s="41"/>
      <c r="P1" s="184"/>
      <c r="Q1" s="184"/>
      <c r="R1" s="184"/>
      <c r="S1" s="184"/>
      <c r="T1" s="184"/>
      <c r="U1" s="909"/>
      <c r="V1" s="909"/>
      <c r="W1" s="909"/>
      <c r="X1" s="909"/>
      <c r="Y1" s="909"/>
      <c r="Z1" s="909"/>
      <c r="AA1" s="909"/>
      <c r="AB1" s="909"/>
      <c r="AC1" s="909"/>
      <c r="AD1" s="909"/>
      <c r="AE1" s="909"/>
      <c r="AF1" s="909"/>
      <c r="AG1" s="909"/>
    </row>
    <row r="2" spans="1:33" ht="18" customHeight="1">
      <c r="A2" s="290"/>
      <c r="B2" s="290"/>
      <c r="C2" s="291" t="str">
        <f>Timing!C2</f>
        <v>Model: 5 Year Forecast</v>
      </c>
      <c r="D2" s="184"/>
      <c r="E2" s="290"/>
      <c r="F2" s="292" t="s">
        <v>148</v>
      </c>
      <c r="G2" s="290"/>
      <c r="H2" s="296" t="s">
        <v>536</v>
      </c>
      <c r="I2" s="290"/>
      <c r="J2" s="290"/>
      <c r="K2" s="290"/>
      <c r="L2" s="290"/>
      <c r="M2" s="290"/>
      <c r="N2" s="290"/>
      <c r="O2" s="290"/>
      <c r="P2" s="909"/>
      <c r="Q2" s="184"/>
      <c r="R2" s="184"/>
      <c r="S2" s="184"/>
      <c r="T2" s="184"/>
      <c r="U2" s="909"/>
      <c r="V2" s="909"/>
      <c r="W2" s="909"/>
      <c r="X2" s="909"/>
      <c r="Y2" s="909"/>
      <c r="Z2" s="909"/>
      <c r="AA2" s="909"/>
      <c r="AB2" s="909"/>
      <c r="AC2" s="909"/>
      <c r="AD2" s="909"/>
      <c r="AE2" s="909"/>
      <c r="AF2" s="909"/>
      <c r="AG2" s="909"/>
    </row>
    <row r="3" spans="1:33" ht="18" customHeight="1">
      <c r="A3" s="290"/>
      <c r="B3" s="290"/>
      <c r="C3" s="291" t="str">
        <f>Timing!C3</f>
        <v>Model Integrity:</v>
      </c>
      <c r="D3" s="643">
        <f ca="1">Timing!D3</f>
        <v>0</v>
      </c>
      <c r="E3" s="297"/>
      <c r="F3" s="292" t="s">
        <v>149</v>
      </c>
      <c r="G3" s="297"/>
      <c r="H3" s="184"/>
      <c r="I3" s="184"/>
      <c r="J3" s="184"/>
      <c r="K3" s="184"/>
      <c r="L3" s="184"/>
      <c r="M3" s="909"/>
      <c r="N3" s="909"/>
      <c r="O3" s="909"/>
      <c r="P3" s="909"/>
      <c r="Q3" s="184"/>
      <c r="R3" s="184"/>
      <c r="S3" s="184"/>
      <c r="T3" s="184"/>
      <c r="U3" s="909"/>
      <c r="V3" s="909"/>
      <c r="W3" s="909"/>
      <c r="X3" s="909"/>
      <c r="Y3" s="909"/>
      <c r="Z3" s="909"/>
      <c r="AA3" s="909"/>
      <c r="AB3" s="909"/>
      <c r="AC3" s="909"/>
      <c r="AD3" s="909"/>
      <c r="AE3" s="909"/>
      <c r="AF3" s="909"/>
      <c r="AG3" s="909"/>
    </row>
    <row r="4" spans="1:33" s="20" customFormat="1" ht="11.25" customHeight="1">
      <c r="A4" s="290"/>
      <c r="B4" s="294"/>
      <c r="C4" s="295"/>
      <c r="D4" s="184"/>
      <c r="E4" s="184"/>
      <c r="F4" s="184"/>
      <c r="G4" s="184"/>
      <c r="H4" s="184"/>
      <c r="I4" s="184"/>
      <c r="J4" s="184"/>
      <c r="K4" s="184"/>
      <c r="L4" s="184"/>
      <c r="M4" s="909"/>
      <c r="N4" s="909"/>
      <c r="O4" s="909"/>
      <c r="P4" s="909"/>
      <c r="Q4" s="184"/>
      <c r="R4" s="184"/>
      <c r="S4" s="184"/>
      <c r="T4" s="184"/>
      <c r="U4" s="909"/>
      <c r="V4" s="909"/>
      <c r="W4" s="909"/>
      <c r="X4" s="909"/>
      <c r="Y4" s="909"/>
      <c r="Z4" s="909"/>
      <c r="AA4" s="909"/>
      <c r="AB4" s="909"/>
      <c r="AC4" s="909"/>
      <c r="AD4" s="909"/>
      <c r="AE4" s="909"/>
      <c r="AF4" s="909"/>
      <c r="AG4" s="909"/>
    </row>
    <row r="5" spans="1:33" s="20" customFormat="1" ht="24" thickBot="1">
      <c r="A5" s="288"/>
      <c r="B5" s="288"/>
      <c r="C5" s="288" t="s">
        <v>535</v>
      </c>
      <c r="D5" s="289"/>
      <c r="E5" s="288"/>
      <c r="F5" s="288"/>
      <c r="G5" s="288"/>
      <c r="H5" s="1075" t="s">
        <v>948</v>
      </c>
      <c r="I5" s="1074"/>
      <c r="J5" s="1074"/>
      <c r="K5" s="1074"/>
      <c r="L5" s="1074"/>
      <c r="M5" s="288"/>
      <c r="N5" s="288"/>
      <c r="O5" s="288"/>
      <c r="P5" s="909"/>
      <c r="Q5" s="184"/>
      <c r="R5" s="184"/>
      <c r="S5" s="184"/>
      <c r="T5" s="184"/>
      <c r="U5" s="909"/>
      <c r="V5" s="909"/>
      <c r="W5" s="909"/>
      <c r="X5" s="909"/>
      <c r="Y5" s="909"/>
      <c r="Z5" s="909"/>
      <c r="AA5" s="909"/>
      <c r="AB5" s="909"/>
      <c r="AC5" s="909"/>
      <c r="AD5" s="909"/>
      <c r="AE5" s="909"/>
      <c r="AF5" s="909"/>
      <c r="AG5" s="909"/>
    </row>
    <row r="6" spans="1:33" s="20" customFormat="1" ht="20.25" outlineLevel="1">
      <c r="A6" s="910"/>
      <c r="B6" s="567"/>
      <c r="C6" s="392" t="s">
        <v>533</v>
      </c>
      <c r="D6" s="567"/>
      <c r="E6" s="567"/>
      <c r="F6" s="930" t="s">
        <v>532</v>
      </c>
      <c r="G6" s="519"/>
      <c r="H6" s="567"/>
      <c r="I6" s="567"/>
      <c r="J6" s="184"/>
      <c r="K6" s="184"/>
      <c r="L6" s="184"/>
      <c r="M6" s="909"/>
      <c r="N6" s="909"/>
      <c r="O6" s="909"/>
      <c r="P6" s="909"/>
      <c r="Q6" s="184"/>
      <c r="R6" s="184"/>
      <c r="S6" s="184"/>
      <c r="T6" s="184"/>
      <c r="U6" s="909"/>
      <c r="V6" s="909"/>
      <c r="W6" s="909"/>
      <c r="X6" s="909"/>
      <c r="Y6" s="909"/>
      <c r="Z6" s="909"/>
      <c r="AA6" s="909"/>
      <c r="AB6" s="909"/>
      <c r="AC6" s="909"/>
      <c r="AD6" s="909"/>
      <c r="AE6" s="909"/>
      <c r="AF6" s="909"/>
      <c r="AG6" s="909"/>
    </row>
    <row r="7" spans="1:33" s="39" customFormat="1" ht="15" outlineLevel="2">
      <c r="A7" s="910"/>
      <c r="B7" s="567"/>
      <c r="C7" s="790"/>
      <c r="D7" s="567"/>
      <c r="E7" s="567"/>
      <c r="F7" s="635"/>
      <c r="G7" s="567"/>
      <c r="H7" s="787"/>
      <c r="I7" s="567"/>
      <c r="J7" s="300"/>
      <c r="K7" s="184"/>
      <c r="L7" s="184"/>
      <c r="M7" s="184"/>
      <c r="N7" s="184"/>
      <c r="O7" s="184"/>
      <c r="P7" s="184"/>
      <c r="Q7" s="184"/>
      <c r="R7" s="184"/>
      <c r="S7" s="184"/>
      <c r="T7" s="184"/>
      <c r="U7" s="909"/>
      <c r="V7" s="909"/>
      <c r="W7" s="909"/>
      <c r="X7" s="909"/>
      <c r="Y7" s="909"/>
      <c r="Z7" s="909"/>
      <c r="AA7" s="909"/>
      <c r="AB7" s="909"/>
      <c r="AC7" s="909"/>
      <c r="AD7" s="909"/>
      <c r="AE7" s="909"/>
      <c r="AF7" s="909"/>
      <c r="AG7" s="909"/>
    </row>
    <row r="8" spans="1:33" s="203" customFormat="1" ht="18" customHeight="1" outlineLevel="2">
      <c r="A8" s="910"/>
      <c r="B8" s="567"/>
      <c r="C8" s="567" t="s">
        <v>176</v>
      </c>
      <c r="D8" s="567"/>
      <c r="E8" s="436" t="s">
        <v>51</v>
      </c>
      <c r="F8" s="632" t="s">
        <v>773</v>
      </c>
      <c r="G8" s="567"/>
      <c r="H8" s="787"/>
      <c r="I8" s="910"/>
      <c r="J8" s="300"/>
      <c r="K8" s="909"/>
      <c r="L8" s="909"/>
      <c r="M8" s="909"/>
      <c r="N8" s="909"/>
      <c r="O8" s="909"/>
      <c r="P8" s="184"/>
      <c r="Q8" s="184"/>
      <c r="R8" s="184"/>
      <c r="S8" s="184"/>
      <c r="T8" s="184"/>
      <c r="U8" s="909"/>
      <c r="V8" s="909"/>
      <c r="W8" s="909"/>
      <c r="X8" s="909"/>
      <c r="Y8" s="909"/>
      <c r="Z8" s="909"/>
      <c r="AA8" s="909"/>
      <c r="AB8" s="909"/>
      <c r="AC8" s="909"/>
      <c r="AD8" s="909"/>
      <c r="AE8" s="909"/>
      <c r="AF8" s="909"/>
      <c r="AG8" s="909"/>
    </row>
    <row r="9" spans="1:33" s="39" customFormat="1" ht="18" customHeight="1" outlineLevel="2">
      <c r="A9" s="910"/>
      <c r="B9" s="567"/>
      <c r="C9" s="567" t="s">
        <v>177</v>
      </c>
      <c r="D9" s="567"/>
      <c r="E9" s="436" t="s">
        <v>51</v>
      </c>
      <c r="F9" s="518" t="s">
        <v>916</v>
      </c>
      <c r="G9" s="519"/>
      <c r="H9" s="665"/>
      <c r="I9" s="910"/>
      <c r="J9" s="300"/>
      <c r="K9" s="909"/>
      <c r="L9" s="909"/>
      <c r="M9" s="909"/>
      <c r="N9" s="909"/>
      <c r="O9" s="909"/>
      <c r="P9" s="184"/>
      <c r="Q9" s="184"/>
      <c r="R9" s="184"/>
      <c r="S9" s="184"/>
      <c r="T9" s="184"/>
      <c r="U9" s="909"/>
      <c r="V9" s="909"/>
      <c r="W9" s="909"/>
      <c r="X9" s="909"/>
      <c r="Y9" s="909"/>
      <c r="Z9" s="909"/>
      <c r="AA9" s="909"/>
      <c r="AB9" s="909"/>
      <c r="AC9" s="909"/>
      <c r="AD9" s="909"/>
      <c r="AE9" s="909"/>
      <c r="AF9" s="909"/>
      <c r="AG9" s="909"/>
    </row>
    <row r="10" spans="1:33" s="39" customFormat="1" ht="18" customHeight="1" outlineLevel="2">
      <c r="A10" s="910"/>
      <c r="B10" s="567"/>
      <c r="C10" s="567" t="s">
        <v>178</v>
      </c>
      <c r="D10" s="567"/>
      <c r="E10" s="436" t="s">
        <v>51</v>
      </c>
      <c r="F10" s="791" t="s">
        <v>842</v>
      </c>
      <c r="G10" s="792"/>
      <c r="H10" s="665"/>
      <c r="I10" s="567"/>
      <c r="J10" s="300"/>
      <c r="K10" s="184"/>
      <c r="L10" s="184"/>
      <c r="M10" s="184"/>
      <c r="N10" s="184"/>
      <c r="O10" s="184"/>
      <c r="P10" s="184"/>
      <c r="Q10" s="184"/>
      <c r="R10" s="184"/>
      <c r="S10" s="184"/>
      <c r="T10" s="184"/>
      <c r="U10" s="909"/>
      <c r="V10" s="909"/>
      <c r="W10" s="909"/>
      <c r="X10" s="909"/>
      <c r="Y10" s="909"/>
      <c r="Z10" s="909"/>
      <c r="AA10" s="909"/>
      <c r="AB10" s="909"/>
      <c r="AC10" s="909"/>
      <c r="AD10" s="909"/>
      <c r="AE10" s="909"/>
      <c r="AF10" s="909"/>
      <c r="AG10" s="909"/>
    </row>
    <row r="11" spans="1:33" s="39" customFormat="1" ht="18" customHeight="1" outlineLevel="2">
      <c r="A11" s="910"/>
      <c r="B11" s="567"/>
      <c r="C11" s="190" t="s">
        <v>179</v>
      </c>
      <c r="D11" s="567"/>
      <c r="E11" s="567"/>
      <c r="F11" s="793" t="str">
        <f ca="1">MID(CELL("Filename"),SEARCH("[",CELL("Filename"))+1,SEARCH("]",CELL("Filename"))-SEARCH("[",CELL("Filename"))-1)</f>
        <v>EFM_Classic_Economy_Free_Version (an Alex 002).xlsx</v>
      </c>
      <c r="G11" s="794"/>
      <c r="H11" s="795"/>
      <c r="I11" s="567"/>
      <c r="J11" s="300"/>
      <c r="K11" s="909"/>
      <c r="L11" s="909"/>
      <c r="M11" s="909"/>
      <c r="N11" s="184"/>
      <c r="O11" s="184"/>
      <c r="P11" s="184"/>
      <c r="Q11" s="184"/>
      <c r="R11" s="184"/>
      <c r="S11" s="184"/>
      <c r="T11" s="184"/>
      <c r="U11" s="909"/>
      <c r="V11" s="909"/>
      <c r="W11" s="909"/>
      <c r="X11" s="909"/>
      <c r="Y11" s="909"/>
      <c r="Z11" s="909"/>
      <c r="AA11" s="909"/>
      <c r="AB11" s="909"/>
      <c r="AC11" s="909"/>
      <c r="AD11" s="909"/>
      <c r="AE11" s="909"/>
      <c r="AF11" s="909"/>
      <c r="AG11" s="909"/>
    </row>
    <row r="12" spans="1:33" s="203" customFormat="1" ht="18" customHeight="1" outlineLevel="2">
      <c r="A12" s="910"/>
      <c r="B12" s="567"/>
      <c r="C12" s="190" t="s">
        <v>180</v>
      </c>
      <c r="D12" s="567"/>
      <c r="E12" s="436" t="s">
        <v>51</v>
      </c>
      <c r="F12" s="518" t="s">
        <v>905</v>
      </c>
      <c r="G12" s="519"/>
      <c r="H12" s="796"/>
      <c r="I12" s="567"/>
      <c r="J12" s="300"/>
      <c r="K12" s="184"/>
      <c r="L12" s="184"/>
      <c r="M12" s="184"/>
      <c r="N12" s="184"/>
      <c r="O12" s="184"/>
      <c r="P12" s="184"/>
      <c r="Q12" s="184"/>
      <c r="R12" s="184"/>
      <c r="S12" s="184"/>
      <c r="T12" s="184"/>
      <c r="U12" s="909"/>
      <c r="V12" s="909"/>
      <c r="W12" s="909"/>
      <c r="X12" s="909"/>
      <c r="Y12" s="909"/>
      <c r="Z12" s="909"/>
      <c r="AA12" s="909"/>
      <c r="AB12" s="909"/>
      <c r="AC12" s="909"/>
      <c r="AD12" s="909"/>
      <c r="AE12" s="909"/>
      <c r="AF12" s="909"/>
      <c r="AG12" s="909"/>
    </row>
    <row r="13" spans="1:33" s="20" customFormat="1" ht="18" customHeight="1" outlineLevel="2">
      <c r="A13" s="910"/>
      <c r="B13" s="567"/>
      <c r="C13" s="190" t="s">
        <v>181</v>
      </c>
      <c r="D13" s="567"/>
      <c r="E13" s="436" t="s">
        <v>76</v>
      </c>
      <c r="F13" s="785">
        <v>42745</v>
      </c>
      <c r="G13" s="567"/>
      <c r="H13" s="567"/>
      <c r="I13" s="300"/>
      <c r="J13" s="300"/>
      <c r="K13" s="184"/>
      <c r="L13" s="184"/>
      <c r="M13" s="184"/>
      <c r="N13" s="184"/>
      <c r="O13" s="184"/>
      <c r="P13" s="184"/>
      <c r="Q13" s="184"/>
      <c r="R13" s="184"/>
      <c r="S13" s="184"/>
      <c r="T13" s="184"/>
      <c r="U13" s="909"/>
      <c r="V13" s="909"/>
      <c r="W13" s="909"/>
      <c r="X13" s="909"/>
      <c r="Y13" s="909"/>
      <c r="Z13" s="909"/>
      <c r="AA13" s="909"/>
      <c r="AB13" s="909"/>
      <c r="AC13" s="909"/>
      <c r="AD13" s="909"/>
      <c r="AE13" s="909"/>
      <c r="AF13" s="909"/>
      <c r="AG13" s="909"/>
    </row>
    <row r="14" spans="1:33" s="203" customFormat="1" ht="18" customHeight="1" outlineLevel="2">
      <c r="A14" s="910"/>
      <c r="B14" s="567"/>
      <c r="C14" s="190" t="s">
        <v>187</v>
      </c>
      <c r="D14" s="567"/>
      <c r="E14" s="436" t="s">
        <v>133</v>
      </c>
      <c r="F14" s="647" t="s">
        <v>183</v>
      </c>
      <c r="G14" s="519"/>
      <c r="H14" s="797">
        <f>VLOOKUP(F14,Formats!$J$85:$K$86,2,FALSE)</f>
        <v>2</v>
      </c>
      <c r="I14" s="300"/>
      <c r="J14" s="300"/>
      <c r="K14" s="909"/>
      <c r="L14" s="184"/>
      <c r="M14" s="184"/>
      <c r="N14" s="184"/>
      <c r="O14" s="184"/>
      <c r="P14" s="184"/>
      <c r="Q14" s="184"/>
      <c r="R14" s="184"/>
      <c r="S14" s="184"/>
      <c r="T14" s="184"/>
      <c r="U14" s="909"/>
      <c r="V14" s="909"/>
      <c r="W14" s="909"/>
      <c r="X14" s="909"/>
      <c r="Y14" s="909"/>
      <c r="Z14" s="909"/>
      <c r="AA14" s="909"/>
      <c r="AB14" s="909"/>
      <c r="AC14" s="909"/>
      <c r="AD14" s="909"/>
      <c r="AE14" s="909"/>
      <c r="AF14" s="909"/>
      <c r="AG14" s="909"/>
    </row>
    <row r="15" spans="1:33" s="203" customFormat="1" ht="18" customHeight="1" outlineLevel="2">
      <c r="A15" s="910"/>
      <c r="B15" s="567"/>
      <c r="C15" s="190" t="s">
        <v>201</v>
      </c>
      <c r="D15" s="567"/>
      <c r="E15" s="436" t="s">
        <v>50</v>
      </c>
      <c r="F15" s="934" t="s">
        <v>943</v>
      </c>
      <c r="G15" s="798" t="s">
        <v>202</v>
      </c>
      <c r="H15" s="797"/>
      <c r="I15" s="1081" t="s">
        <v>945</v>
      </c>
      <c r="J15" s="1081"/>
      <c r="K15" s="1082"/>
      <c r="L15" s="300"/>
      <c r="M15" s="184"/>
      <c r="N15" s="184"/>
      <c r="O15" s="184"/>
      <c r="P15" s="184"/>
      <c r="Q15" s="184"/>
      <c r="R15" s="184"/>
      <c r="S15" s="184"/>
      <c r="T15" s="184"/>
      <c r="U15" s="909"/>
      <c r="V15" s="909"/>
      <c r="W15" s="909"/>
      <c r="X15" s="909"/>
      <c r="Y15" s="909"/>
      <c r="Z15" s="909"/>
      <c r="AA15" s="909"/>
      <c r="AB15" s="909"/>
      <c r="AC15" s="909"/>
      <c r="AD15" s="909"/>
      <c r="AE15" s="909"/>
      <c r="AF15" s="909"/>
      <c r="AG15" s="909"/>
    </row>
    <row r="16" spans="1:33" s="203" customFormat="1" ht="18" customHeight="1" outlineLevel="2">
      <c r="A16" s="910"/>
      <c r="B16" s="567"/>
      <c r="C16" s="190" t="s">
        <v>200</v>
      </c>
      <c r="D16" s="567"/>
      <c r="E16" s="436" t="s">
        <v>198</v>
      </c>
      <c r="F16" s="931">
        <v>1</v>
      </c>
      <c r="G16" s="797"/>
      <c r="H16" s="567"/>
      <c r="I16" s="567"/>
      <c r="J16" s="300"/>
      <c r="K16" s="909"/>
      <c r="L16" s="184"/>
      <c r="M16" s="184"/>
      <c r="N16" s="184"/>
      <c r="O16" s="184"/>
      <c r="P16" s="184"/>
      <c r="Q16" s="184"/>
      <c r="R16" s="184"/>
      <c r="S16" s="184"/>
      <c r="T16" s="184"/>
      <c r="U16" s="909"/>
      <c r="V16" s="909"/>
      <c r="W16" s="909"/>
      <c r="X16" s="909"/>
      <c r="Y16" s="909"/>
      <c r="Z16" s="909"/>
      <c r="AA16" s="909"/>
      <c r="AB16" s="909"/>
      <c r="AC16" s="909"/>
      <c r="AD16" s="909"/>
      <c r="AE16" s="909"/>
      <c r="AF16" s="909"/>
      <c r="AG16" s="909"/>
    </row>
    <row r="17" spans="1:33" s="203" customFormat="1" ht="18" customHeight="1" outlineLevel="2">
      <c r="A17" s="910"/>
      <c r="B17" s="567"/>
      <c r="C17" s="190" t="s">
        <v>199</v>
      </c>
      <c r="D17" s="567"/>
      <c r="E17" s="567"/>
      <c r="F17" s="1078" t="s">
        <v>943</v>
      </c>
      <c r="G17" s="796"/>
      <c r="H17" s="567"/>
      <c r="I17" s="567"/>
      <c r="J17" s="184"/>
      <c r="K17" s="184"/>
      <c r="L17" s="184"/>
      <c r="M17" s="184"/>
      <c r="N17" s="184"/>
      <c r="O17" s="184"/>
      <c r="P17" s="184"/>
      <c r="Q17" s="184"/>
      <c r="R17" s="184"/>
      <c r="S17" s="184"/>
      <c r="T17" s="184"/>
      <c r="U17" s="909"/>
      <c r="V17" s="909"/>
      <c r="W17" s="909"/>
      <c r="X17" s="909"/>
      <c r="Y17" s="909"/>
      <c r="Z17" s="909"/>
      <c r="AA17" s="909"/>
      <c r="AB17" s="909"/>
      <c r="AC17" s="909"/>
      <c r="AD17" s="909"/>
      <c r="AE17" s="909"/>
      <c r="AF17" s="909"/>
      <c r="AG17" s="909"/>
    </row>
    <row r="18" spans="1:33" s="37" customFormat="1" ht="9" customHeight="1" outlineLevel="2">
      <c r="A18" s="910"/>
      <c r="B18" s="567"/>
      <c r="C18" s="190"/>
      <c r="D18" s="567"/>
      <c r="E18" s="567"/>
      <c r="F18" s="567"/>
      <c r="G18" s="567"/>
      <c r="H18" s="567"/>
      <c r="I18" s="567"/>
      <c r="J18" s="386"/>
      <c r="K18" s="184"/>
      <c r="L18" s="184"/>
      <c r="M18" s="184"/>
      <c r="N18" s="184"/>
      <c r="O18" s="184"/>
      <c r="P18" s="184"/>
      <c r="Q18" s="184"/>
      <c r="R18" s="184"/>
      <c r="S18" s="184"/>
      <c r="T18" s="184"/>
      <c r="U18" s="909"/>
      <c r="V18" s="909"/>
      <c r="W18" s="909"/>
      <c r="X18" s="909"/>
      <c r="Y18" s="909"/>
      <c r="Z18" s="909"/>
      <c r="AA18" s="909"/>
      <c r="AB18" s="909"/>
      <c r="AC18" s="909"/>
      <c r="AD18" s="909"/>
      <c r="AE18" s="909"/>
      <c r="AF18" s="909"/>
      <c r="AG18" s="909"/>
    </row>
    <row r="19" spans="1:33" s="37" customFormat="1" ht="20.25" outlineLevel="1">
      <c r="A19" s="910"/>
      <c r="B19" s="567"/>
      <c r="C19" s="392" t="s">
        <v>534</v>
      </c>
      <c r="D19" s="1083" t="s">
        <v>951</v>
      </c>
      <c r="E19" s="1084"/>
      <c r="F19" s="1085"/>
      <c r="G19" s="1086"/>
      <c r="H19" s="788"/>
      <c r="I19" s="788" t="s">
        <v>539</v>
      </c>
      <c r="J19" s="567"/>
      <c r="K19" s="567"/>
      <c r="L19" s="184"/>
      <c r="M19" s="184"/>
      <c r="N19" s="184"/>
      <c r="O19" s="184"/>
      <c r="P19" s="184"/>
      <c r="Q19" s="184"/>
      <c r="R19" s="184"/>
      <c r="S19" s="184"/>
      <c r="T19" s="184"/>
      <c r="U19" s="909"/>
      <c r="V19" s="909"/>
      <c r="W19" s="909"/>
      <c r="X19" s="909"/>
      <c r="Y19" s="909"/>
      <c r="Z19" s="909"/>
      <c r="AA19" s="909"/>
      <c r="AB19" s="909"/>
      <c r="AC19" s="909"/>
      <c r="AD19" s="909"/>
      <c r="AE19" s="909"/>
      <c r="AF19" s="909"/>
      <c r="AG19" s="909"/>
    </row>
    <row r="20" spans="1:33" s="37" customFormat="1" ht="18" customHeight="1" outlineLevel="2">
      <c r="A20" s="910"/>
      <c r="B20" s="567"/>
      <c r="C20" s="567" t="s">
        <v>537</v>
      </c>
      <c r="D20" s="567"/>
      <c r="E20" s="436" t="s">
        <v>76</v>
      </c>
      <c r="F20" s="932">
        <v>43525</v>
      </c>
      <c r="G20" s="787"/>
      <c r="H20" s="635" t="s">
        <v>540</v>
      </c>
      <c r="I20" s="934" t="s">
        <v>952</v>
      </c>
      <c r="J20" s="453">
        <v>11</v>
      </c>
      <c r="K20" s="567"/>
      <c r="L20" s="184"/>
      <c r="M20" s="184"/>
      <c r="N20" s="184"/>
      <c r="O20" s="184"/>
      <c r="P20" s="184"/>
      <c r="Q20" s="184"/>
      <c r="R20" s="184"/>
      <c r="S20" s="184"/>
      <c r="T20" s="184"/>
      <c r="U20" s="909"/>
      <c r="V20" s="909"/>
      <c r="W20" s="909"/>
      <c r="X20" s="909"/>
      <c r="Y20" s="909"/>
      <c r="Z20" s="909"/>
      <c r="AA20" s="909"/>
      <c r="AB20" s="909"/>
      <c r="AC20" s="909"/>
      <c r="AD20" s="909"/>
      <c r="AE20" s="909"/>
      <c r="AF20" s="909"/>
      <c r="AG20" s="909"/>
    </row>
    <row r="21" spans="1:33" s="37" customFormat="1" ht="18" customHeight="1" outlineLevel="2">
      <c r="A21" s="910"/>
      <c r="B21" s="567"/>
      <c r="C21" s="190" t="str">
        <f>IF($I$22=1,"Planning horizon: First financial year + x additional yrs","Planning horizon: Short financial year + x additional yrs")</f>
        <v>Planning horizon: Short financial year + x additional yrs</v>
      </c>
      <c r="D21" s="567"/>
      <c r="E21" s="436" t="s">
        <v>544</v>
      </c>
      <c r="F21" s="1076">
        <v>1</v>
      </c>
      <c r="G21" s="665"/>
      <c r="H21" s="635" t="s">
        <v>541</v>
      </c>
      <c r="I21" s="789">
        <v>43435</v>
      </c>
      <c r="J21" s="673" t="s">
        <v>543</v>
      </c>
      <c r="K21" s="789">
        <v>43799</v>
      </c>
      <c r="L21" s="184"/>
      <c r="M21" s="378"/>
      <c r="N21" s="184"/>
      <c r="O21" s="184"/>
      <c r="P21" s="184"/>
      <c r="Q21" s="184"/>
      <c r="R21" s="184"/>
      <c r="S21" s="184"/>
      <c r="T21" s="184"/>
      <c r="U21" s="909"/>
      <c r="V21" s="909"/>
      <c r="W21" s="909"/>
      <c r="X21" s="909"/>
      <c r="Y21" s="909"/>
      <c r="Z21" s="909"/>
      <c r="AA21" s="909"/>
      <c r="AB21" s="909"/>
      <c r="AC21" s="909"/>
      <c r="AD21" s="909"/>
      <c r="AE21" s="909"/>
      <c r="AF21" s="909"/>
      <c r="AG21" s="909"/>
    </row>
    <row r="22" spans="1:33" s="37" customFormat="1" ht="18" customHeight="1" outlineLevel="2">
      <c r="A22" s="910"/>
      <c r="B22" s="567"/>
      <c r="C22" s="190" t="s">
        <v>538</v>
      </c>
      <c r="D22" s="567"/>
      <c r="E22" s="436" t="s">
        <v>76</v>
      </c>
      <c r="F22" s="687">
        <v>44165</v>
      </c>
      <c r="G22" s="567"/>
      <c r="H22" s="635" t="s">
        <v>542</v>
      </c>
      <c r="I22" s="786">
        <v>0</v>
      </c>
      <c r="J22" s="567"/>
      <c r="K22" s="567"/>
      <c r="L22" s="184"/>
      <c r="M22" s="184"/>
      <c r="N22" s="184"/>
      <c r="O22" s="184"/>
      <c r="P22" s="184"/>
      <c r="Q22" s="184"/>
      <c r="R22" s="184"/>
      <c r="S22" s="184"/>
      <c r="T22" s="184"/>
      <c r="U22" s="909"/>
      <c r="V22" s="909"/>
      <c r="W22" s="909"/>
      <c r="X22" s="909"/>
      <c r="Y22" s="909"/>
      <c r="Z22" s="909"/>
      <c r="AA22" s="909"/>
      <c r="AB22" s="909"/>
      <c r="AC22" s="909"/>
      <c r="AD22" s="909"/>
      <c r="AE22" s="909"/>
      <c r="AF22" s="909"/>
      <c r="AG22" s="909"/>
    </row>
    <row r="23" spans="1:33" s="89" customFormat="1" ht="18" customHeight="1" outlineLevel="1">
      <c r="A23" s="910"/>
      <c r="B23" s="184"/>
      <c r="C23" s="290"/>
      <c r="D23" s="184"/>
      <c r="E23" s="184"/>
      <c r="F23" s="302"/>
      <c r="G23" s="383"/>
      <c r="H23" s="383"/>
      <c r="I23" s="184"/>
      <c r="J23" s="184"/>
      <c r="K23" s="184"/>
      <c r="L23" s="184"/>
      <c r="M23" s="184"/>
      <c r="N23" s="184"/>
      <c r="O23" s="184"/>
      <c r="P23" s="184"/>
      <c r="Q23" s="184"/>
      <c r="R23" s="184"/>
      <c r="S23" s="184"/>
      <c r="T23" s="184"/>
      <c r="U23" s="909"/>
      <c r="V23" s="909"/>
      <c r="W23" s="909"/>
      <c r="X23" s="909"/>
      <c r="Y23" s="909"/>
      <c r="Z23" s="909"/>
      <c r="AA23" s="909"/>
      <c r="AB23" s="909"/>
      <c r="AC23" s="909"/>
      <c r="AD23" s="909"/>
      <c r="AE23" s="909"/>
      <c r="AF23" s="909"/>
      <c r="AG23" s="909"/>
    </row>
    <row r="24" spans="1:33" s="649" customFormat="1" ht="18" customHeight="1">
      <c r="A24" s="909"/>
      <c r="B24" s="293"/>
      <c r="C24" s="290"/>
      <c r="D24" s="290"/>
      <c r="E24" s="290"/>
      <c r="F24" s="290"/>
      <c r="G24" s="290"/>
      <c r="H24" s="290"/>
      <c r="I24" s="293"/>
      <c r="J24" s="293"/>
      <c r="K24" s="293"/>
      <c r="L24" s="293"/>
      <c r="M24" s="293"/>
      <c r="N24" s="293"/>
      <c r="O24" s="293"/>
      <c r="P24" s="293"/>
      <c r="Q24" s="293"/>
      <c r="R24" s="293"/>
      <c r="S24" s="293"/>
      <c r="T24" s="293"/>
      <c r="U24" s="909"/>
      <c r="V24" s="909"/>
      <c r="W24" s="909"/>
      <c r="X24" s="909"/>
      <c r="Y24" s="909"/>
      <c r="Z24" s="909"/>
      <c r="AA24" s="909"/>
      <c r="AB24" s="909"/>
      <c r="AC24" s="909"/>
      <c r="AD24" s="909"/>
      <c r="AE24" s="909"/>
      <c r="AF24" s="909"/>
      <c r="AG24" s="909"/>
    </row>
    <row r="25" spans="1:33" s="649" customFormat="1" ht="24" customHeight="1" thickBot="1">
      <c r="A25" s="288"/>
      <c r="B25" s="288"/>
      <c r="C25" s="288" t="s">
        <v>204</v>
      </c>
      <c r="D25" s="289"/>
      <c r="E25" s="289"/>
      <c r="F25" s="380"/>
      <c r="G25" s="289"/>
      <c r="H25" s="289"/>
      <c r="I25" s="289"/>
      <c r="J25" s="289"/>
      <c r="K25" s="289"/>
      <c r="L25" s="289"/>
      <c r="M25" s="289"/>
      <c r="N25" s="289"/>
      <c r="O25" s="289"/>
      <c r="P25" s="293"/>
      <c r="Q25" s="293"/>
      <c r="R25" s="293"/>
      <c r="S25" s="293"/>
      <c r="T25" s="293"/>
      <c r="U25" s="909"/>
      <c r="V25" s="909"/>
      <c r="W25" s="909"/>
      <c r="X25" s="909"/>
      <c r="Y25" s="909"/>
      <c r="Z25" s="909"/>
      <c r="AA25" s="909"/>
      <c r="AB25" s="909"/>
      <c r="AC25" s="909"/>
      <c r="AD25" s="909"/>
      <c r="AE25" s="909"/>
      <c r="AF25" s="909"/>
      <c r="AG25" s="909"/>
    </row>
    <row r="26" spans="1:33" s="649" customFormat="1" ht="22.5" customHeight="1" outlineLevel="1">
      <c r="A26" s="909"/>
      <c r="B26" s="293"/>
      <c r="C26" s="293" t="s">
        <v>203</v>
      </c>
      <c r="D26" s="293"/>
      <c r="E26" s="293" t="s">
        <v>297</v>
      </c>
      <c r="F26" s="317"/>
      <c r="G26" s="383"/>
      <c r="H26" s="293" t="s">
        <v>295</v>
      </c>
      <c r="I26" s="293"/>
      <c r="J26" s="293"/>
      <c r="K26" s="293"/>
      <c r="L26" s="293"/>
      <c r="M26" s="293"/>
      <c r="N26" s="293"/>
      <c r="O26" s="293"/>
      <c r="P26" s="293"/>
      <c r="Q26" s="293"/>
      <c r="R26" s="293"/>
      <c r="S26" s="293"/>
      <c r="T26" s="293"/>
      <c r="U26" s="909"/>
      <c r="V26" s="909"/>
      <c r="W26" s="909"/>
      <c r="X26" s="909"/>
      <c r="Y26" s="909"/>
      <c r="Z26" s="909"/>
      <c r="AA26" s="909"/>
      <c r="AB26" s="909"/>
      <c r="AC26" s="909"/>
      <c r="AD26" s="909"/>
      <c r="AE26" s="909"/>
      <c r="AF26" s="909"/>
      <c r="AG26" s="909"/>
    </row>
    <row r="27" spans="1:33" s="649" customFormat="1" ht="18" customHeight="1" outlineLevel="1">
      <c r="A27" s="909"/>
      <c r="B27" s="635"/>
      <c r="C27" s="688" t="s">
        <v>221</v>
      </c>
      <c r="D27" s="293"/>
      <c r="E27" s="688" t="str">
        <f>"Select " &amp;Name_VAT &amp; " Rate"</f>
        <v>Select VAT Rate</v>
      </c>
      <c r="F27" s="689" t="str">
        <f>Name_VAT &amp; " Rate"</f>
        <v>VAT Rate</v>
      </c>
      <c r="G27" s="317"/>
      <c r="H27" s="691" t="s">
        <v>295</v>
      </c>
      <c r="I27" s="293"/>
      <c r="J27" s="909"/>
      <c r="K27" s="293"/>
      <c r="L27" s="293"/>
      <c r="M27" s="293"/>
      <c r="N27" s="293"/>
      <c r="O27" s="293"/>
      <c r="P27" s="293"/>
      <c r="Q27" s="293"/>
      <c r="R27" s="293"/>
      <c r="S27" s="293"/>
      <c r="T27" s="293"/>
      <c r="U27" s="909"/>
      <c r="V27" s="909"/>
      <c r="W27" s="909"/>
      <c r="X27" s="909"/>
      <c r="Y27" s="909"/>
      <c r="Z27" s="909"/>
      <c r="AA27" s="909"/>
      <c r="AB27" s="909"/>
      <c r="AC27" s="909"/>
      <c r="AD27" s="909"/>
      <c r="AE27" s="909"/>
      <c r="AF27" s="909"/>
      <c r="AG27" s="909"/>
    </row>
    <row r="28" spans="1:33" s="649" customFormat="1" ht="18" customHeight="1" outlineLevel="1">
      <c r="A28" s="909"/>
      <c r="B28" s="635">
        <v>1</v>
      </c>
      <c r="C28" s="641" t="s">
        <v>910</v>
      </c>
      <c r="D28" s="293"/>
      <c r="E28" s="641" t="s">
        <v>130</v>
      </c>
      <c r="F28" s="85">
        <f>VLOOKUP(E28,Inputs!$C$182:$F$185,4,FALSE)</f>
        <v>0.2</v>
      </c>
      <c r="G28" s="383"/>
      <c r="H28" s="271">
        <v>0</v>
      </c>
      <c r="I28" s="293"/>
      <c r="J28" s="909"/>
      <c r="K28" s="293"/>
      <c r="L28" s="293"/>
      <c r="M28" s="293"/>
      <c r="N28" s="293"/>
      <c r="O28" s="293"/>
      <c r="P28" s="293"/>
      <c r="Q28" s="293"/>
      <c r="R28" s="293"/>
      <c r="S28" s="293"/>
      <c r="T28" s="293"/>
      <c r="U28" s="909"/>
      <c r="V28" s="909"/>
      <c r="W28" s="909"/>
      <c r="X28" s="909"/>
      <c r="Y28" s="909"/>
      <c r="Z28" s="909"/>
      <c r="AA28" s="909"/>
      <c r="AB28" s="909"/>
      <c r="AC28" s="909"/>
      <c r="AD28" s="909"/>
      <c r="AE28" s="909"/>
      <c r="AF28" s="909"/>
      <c r="AG28" s="909"/>
    </row>
    <row r="29" spans="1:33" s="649" customFormat="1" ht="18" customHeight="1" outlineLevel="1">
      <c r="A29" s="909"/>
      <c r="B29" s="635">
        <v>2</v>
      </c>
      <c r="C29" s="641" t="s">
        <v>911</v>
      </c>
      <c r="D29" s="293"/>
      <c r="E29" s="641" t="s">
        <v>131</v>
      </c>
      <c r="F29" s="85">
        <f>VLOOKUP(E29,Inputs!$C$182:$F$185,4,FALSE)</f>
        <v>0.1</v>
      </c>
      <c r="G29" s="383"/>
      <c r="H29" s="271">
        <v>0.05</v>
      </c>
      <c r="I29" s="293"/>
      <c r="J29" s="909"/>
      <c r="K29" s="293"/>
      <c r="L29" s="293"/>
      <c r="M29" s="293"/>
      <c r="N29" s="293"/>
      <c r="O29" s="293"/>
      <c r="P29" s="293"/>
      <c r="Q29" s="293"/>
      <c r="R29" s="293"/>
      <c r="S29" s="293"/>
      <c r="T29" s="293"/>
      <c r="U29" s="909"/>
      <c r="V29" s="909"/>
      <c r="W29" s="909"/>
      <c r="X29" s="909"/>
      <c r="Y29" s="909"/>
      <c r="Z29" s="909"/>
      <c r="AA29" s="909"/>
      <c r="AB29" s="909"/>
      <c r="AC29" s="909"/>
      <c r="AD29" s="909"/>
      <c r="AE29" s="909"/>
      <c r="AF29" s="909"/>
      <c r="AG29" s="909"/>
    </row>
    <row r="30" spans="1:33" s="649" customFormat="1" ht="18" customHeight="1" outlineLevel="1">
      <c r="A30" s="909"/>
      <c r="B30" s="635">
        <v>3</v>
      </c>
      <c r="C30" s="641" t="s">
        <v>912</v>
      </c>
      <c r="D30" s="293"/>
      <c r="E30" s="641" t="s">
        <v>131</v>
      </c>
      <c r="F30" s="85">
        <f>VLOOKUP(E30,Inputs!$C$182:$F$185,4,FALSE)</f>
        <v>0.1</v>
      </c>
      <c r="G30" s="383"/>
      <c r="H30" s="271"/>
      <c r="I30" s="293"/>
      <c r="J30" s="909"/>
      <c r="K30" s="909"/>
      <c r="L30" s="909"/>
      <c r="M30" s="293"/>
      <c r="N30" s="293"/>
      <c r="O30" s="293"/>
      <c r="P30" s="293"/>
      <c r="Q30" s="293"/>
      <c r="R30" s="293"/>
      <c r="S30" s="293"/>
      <c r="T30" s="293"/>
      <c r="U30" s="909"/>
      <c r="V30" s="909"/>
      <c r="W30" s="909"/>
      <c r="X30" s="909"/>
      <c r="Y30" s="909"/>
      <c r="Z30" s="909"/>
      <c r="AA30" s="909"/>
      <c r="AB30" s="909"/>
      <c r="AC30" s="909"/>
      <c r="AD30" s="909"/>
      <c r="AE30" s="909"/>
      <c r="AF30" s="909"/>
      <c r="AG30" s="909"/>
    </row>
    <row r="31" spans="1:33" s="649" customFormat="1" ht="18" customHeight="1" outlineLevel="1">
      <c r="A31" s="909"/>
      <c r="B31" s="635">
        <v>4</v>
      </c>
      <c r="C31" s="641" t="s">
        <v>909</v>
      </c>
      <c r="D31" s="293"/>
      <c r="E31" s="641" t="s">
        <v>130</v>
      </c>
      <c r="F31" s="85">
        <f>VLOOKUP(E31,Inputs!$C$182:$F$185,4,FALSE)</f>
        <v>0.2</v>
      </c>
      <c r="G31" s="383"/>
      <c r="H31" s="271">
        <v>0.1</v>
      </c>
      <c r="I31" s="293"/>
      <c r="J31" s="293"/>
      <c r="K31" s="293"/>
      <c r="L31" s="293"/>
      <c r="M31" s="293"/>
      <c r="N31" s="293"/>
      <c r="O31" s="293"/>
      <c r="P31" s="293"/>
      <c r="Q31" s="293"/>
      <c r="R31" s="293"/>
      <c r="S31" s="293"/>
      <c r="T31" s="293"/>
      <c r="U31" s="909"/>
      <c r="V31" s="909"/>
      <c r="W31" s="909"/>
      <c r="X31" s="909"/>
      <c r="Y31" s="909"/>
      <c r="Z31" s="909"/>
      <c r="AA31" s="909"/>
      <c r="AB31" s="909"/>
      <c r="AC31" s="909"/>
      <c r="AD31" s="909"/>
      <c r="AE31" s="909"/>
      <c r="AF31" s="909"/>
      <c r="AG31" s="909"/>
    </row>
    <row r="32" spans="1:33" s="649" customFormat="1" ht="18" customHeight="1" outlineLevel="1">
      <c r="A32" s="909"/>
      <c r="B32" s="635">
        <v>5</v>
      </c>
      <c r="C32" s="641" t="s">
        <v>908</v>
      </c>
      <c r="D32" s="293"/>
      <c r="E32" s="641" t="s">
        <v>132</v>
      </c>
      <c r="F32" s="85">
        <f>VLOOKUP(E32,Inputs!$C$182:$F$185,4,FALSE)</f>
        <v>0.08</v>
      </c>
      <c r="G32" s="383"/>
      <c r="H32" s="271"/>
      <c r="I32" s="293"/>
      <c r="J32" s="909"/>
      <c r="K32" s="909"/>
      <c r="L32" s="909"/>
      <c r="M32" s="293"/>
      <c r="N32" s="293"/>
      <c r="O32" s="293"/>
      <c r="P32" s="293"/>
      <c r="Q32" s="293"/>
      <c r="R32" s="293"/>
      <c r="S32" s="293"/>
      <c r="T32" s="293"/>
      <c r="U32" s="909"/>
      <c r="V32" s="909"/>
      <c r="W32" s="909"/>
      <c r="X32" s="909"/>
      <c r="Y32" s="909"/>
      <c r="Z32" s="909"/>
      <c r="AA32" s="909"/>
      <c r="AB32" s="909"/>
      <c r="AC32" s="909"/>
      <c r="AD32" s="909"/>
      <c r="AE32" s="909"/>
      <c r="AF32" s="909"/>
      <c r="AG32" s="909"/>
    </row>
    <row r="33" spans="1:33" s="649" customFormat="1" ht="18" customHeight="1" outlineLevel="1">
      <c r="A33" s="909"/>
      <c r="B33" s="635">
        <v>6</v>
      </c>
      <c r="C33" s="641" t="s">
        <v>913</v>
      </c>
      <c r="D33" s="293"/>
      <c r="E33" s="641" t="s">
        <v>130</v>
      </c>
      <c r="F33" s="85">
        <f>VLOOKUP(E33,Inputs!$C$182:$F$185,4,FALSE)</f>
        <v>0.2</v>
      </c>
      <c r="G33" s="383"/>
      <c r="H33" s="271"/>
      <c r="I33" s="293"/>
      <c r="J33" s="293"/>
      <c r="K33" s="293"/>
      <c r="L33" s="293"/>
      <c r="M33" s="293"/>
      <c r="N33" s="293"/>
      <c r="O33" s="293"/>
      <c r="P33" s="293"/>
      <c r="Q33" s="293"/>
      <c r="R33" s="293"/>
      <c r="S33" s="293"/>
      <c r="T33" s="293"/>
      <c r="U33" s="909"/>
      <c r="V33" s="909"/>
      <c r="W33" s="909"/>
      <c r="X33" s="909"/>
      <c r="Y33" s="909"/>
      <c r="Z33" s="909"/>
      <c r="AA33" s="909"/>
      <c r="AB33" s="909"/>
      <c r="AC33" s="909"/>
      <c r="AD33" s="909"/>
      <c r="AE33" s="909"/>
      <c r="AF33" s="909"/>
      <c r="AG33" s="909"/>
    </row>
    <row r="34" spans="1:33" s="649" customFormat="1" ht="18" customHeight="1" outlineLevel="1">
      <c r="A34" s="909"/>
      <c r="B34" s="635">
        <v>7</v>
      </c>
      <c r="C34" s="641" t="s">
        <v>906</v>
      </c>
      <c r="D34" s="293"/>
      <c r="E34" s="641" t="s">
        <v>130</v>
      </c>
      <c r="F34" s="85">
        <f>VLOOKUP(E34,Inputs!$C$182:$F$185,4,FALSE)</f>
        <v>0.2</v>
      </c>
      <c r="G34" s="383"/>
      <c r="H34" s="271"/>
      <c r="I34" s="293"/>
      <c r="J34" s="293"/>
      <c r="K34" s="293"/>
      <c r="L34" s="293"/>
      <c r="M34" s="293"/>
      <c r="N34" s="293"/>
      <c r="O34" s="293"/>
      <c r="P34" s="293"/>
      <c r="Q34" s="293"/>
      <c r="R34" s="293"/>
      <c r="S34" s="293"/>
      <c r="T34" s="293"/>
      <c r="U34" s="909"/>
      <c r="V34" s="909"/>
      <c r="W34" s="909"/>
      <c r="X34" s="909"/>
      <c r="Y34" s="909"/>
      <c r="Z34" s="909"/>
      <c r="AA34" s="909"/>
      <c r="AB34" s="909"/>
      <c r="AC34" s="909"/>
      <c r="AD34" s="909"/>
      <c r="AE34" s="909"/>
      <c r="AF34" s="909"/>
      <c r="AG34" s="909"/>
    </row>
    <row r="35" spans="1:33" s="649" customFormat="1" ht="18" customHeight="1" outlineLevel="1">
      <c r="A35" s="909"/>
      <c r="B35" s="635">
        <v>8</v>
      </c>
      <c r="C35" s="641" t="s">
        <v>907</v>
      </c>
      <c r="D35" s="293"/>
      <c r="E35" s="641" t="s">
        <v>130</v>
      </c>
      <c r="F35" s="85">
        <f>VLOOKUP(E35,Inputs!$C$182:$F$185,4,FALSE)</f>
        <v>0.2</v>
      </c>
      <c r="G35" s="383"/>
      <c r="H35" s="271"/>
      <c r="I35" s="293"/>
      <c r="J35" s="293"/>
      <c r="K35" s="293"/>
      <c r="L35" s="293"/>
      <c r="M35" s="293"/>
      <c r="N35" s="293"/>
      <c r="O35" s="293"/>
      <c r="P35" s="293"/>
      <c r="Q35" s="293"/>
      <c r="R35" s="293"/>
      <c r="S35" s="293"/>
      <c r="T35" s="293"/>
      <c r="U35" s="909"/>
      <c r="V35" s="909"/>
      <c r="W35" s="909"/>
      <c r="X35" s="909"/>
      <c r="Y35" s="909"/>
      <c r="Z35" s="909"/>
      <c r="AA35" s="909"/>
      <c r="AB35" s="909"/>
      <c r="AC35" s="909"/>
      <c r="AD35" s="909"/>
      <c r="AE35" s="909"/>
      <c r="AF35" s="909"/>
      <c r="AG35" s="909"/>
    </row>
    <row r="36" spans="1:33" s="649" customFormat="1" ht="18" customHeight="1" outlineLevel="1">
      <c r="A36" s="909"/>
      <c r="B36" s="635">
        <v>9</v>
      </c>
      <c r="C36" s="641" t="s">
        <v>915</v>
      </c>
      <c r="D36" s="293"/>
      <c r="E36" s="641" t="s">
        <v>130</v>
      </c>
      <c r="F36" s="85">
        <f>VLOOKUP(E36,Inputs!$C$182:$F$185,4,FALSE)</f>
        <v>0.2</v>
      </c>
      <c r="G36" s="383"/>
      <c r="H36" s="271"/>
      <c r="I36" s="293"/>
      <c r="J36" s="293"/>
      <c r="K36" s="293"/>
      <c r="L36" s="293"/>
      <c r="M36" s="293"/>
      <c r="N36" s="293"/>
      <c r="O36" s="293"/>
      <c r="P36" s="293"/>
      <c r="Q36" s="293"/>
      <c r="R36" s="293"/>
      <c r="S36" s="293"/>
      <c r="T36" s="293"/>
      <c r="U36" s="909"/>
      <c r="V36" s="909"/>
      <c r="W36" s="909"/>
      <c r="X36" s="909"/>
      <c r="Y36" s="909"/>
      <c r="Z36" s="909"/>
      <c r="AA36" s="909"/>
      <c r="AB36" s="909"/>
      <c r="AC36" s="909"/>
      <c r="AD36" s="909"/>
      <c r="AE36" s="909"/>
      <c r="AF36" s="909"/>
      <c r="AG36" s="909"/>
    </row>
    <row r="37" spans="1:33" s="649" customFormat="1" ht="18" customHeight="1" outlineLevel="1">
      <c r="A37" s="909"/>
      <c r="B37" s="635">
        <v>10</v>
      </c>
      <c r="C37" s="641" t="s">
        <v>914</v>
      </c>
      <c r="D37" s="293"/>
      <c r="E37" s="641" t="s">
        <v>378</v>
      </c>
      <c r="F37" s="85">
        <f>VLOOKUP(E37,Inputs!$C$182:$F$185,4,FALSE)</f>
        <v>0</v>
      </c>
      <c r="G37" s="383"/>
      <c r="H37" s="271"/>
      <c r="I37" s="293"/>
      <c r="J37" s="293"/>
      <c r="K37" s="293"/>
      <c r="L37" s="293"/>
      <c r="M37" s="293"/>
      <c r="N37" s="293"/>
      <c r="O37" s="293"/>
      <c r="P37" s="293"/>
      <c r="Q37" s="293"/>
      <c r="R37" s="293"/>
      <c r="S37" s="293"/>
      <c r="T37" s="293"/>
      <c r="U37" s="909"/>
      <c r="V37" s="909"/>
      <c r="W37" s="909"/>
      <c r="X37" s="909"/>
      <c r="Y37" s="909"/>
      <c r="Z37" s="909"/>
      <c r="AA37" s="909"/>
      <c r="AB37" s="909"/>
      <c r="AC37" s="909"/>
      <c r="AD37" s="909"/>
      <c r="AE37" s="909"/>
      <c r="AF37" s="909"/>
      <c r="AG37" s="909"/>
    </row>
    <row r="38" spans="1:33" s="649" customFormat="1" ht="18" customHeight="1" outlineLevel="1">
      <c r="A38" s="909"/>
      <c r="B38" s="293"/>
      <c r="C38" s="290"/>
      <c r="D38" s="293"/>
      <c r="E38" s="293"/>
      <c r="F38" s="317" t="str">
        <f>" =&gt; Individual rates can be changed on this sheet in row " &amp;ROW($C$183) &amp;" ff."</f>
        <v xml:space="preserve"> =&gt; Individual rates can be changed on this sheet in row 183 ff.</v>
      </c>
      <c r="G38" s="383"/>
      <c r="H38" s="383"/>
      <c r="I38" s="293"/>
      <c r="J38" s="293"/>
      <c r="K38" s="293"/>
      <c r="L38" s="293"/>
      <c r="M38" s="293"/>
      <c r="N38" s="293"/>
      <c r="O38" s="293"/>
      <c r="P38" s="293"/>
      <c r="Q38" s="293"/>
      <c r="R38" s="293"/>
      <c r="S38" s="293"/>
      <c r="T38" s="293"/>
      <c r="U38" s="909"/>
      <c r="V38" s="909"/>
      <c r="W38" s="909"/>
      <c r="X38" s="909"/>
      <c r="Y38" s="909"/>
      <c r="Z38" s="909"/>
      <c r="AA38" s="909"/>
      <c r="AB38" s="909"/>
      <c r="AC38" s="909"/>
      <c r="AD38" s="909"/>
      <c r="AE38" s="909"/>
      <c r="AF38" s="909"/>
      <c r="AG38" s="909"/>
    </row>
    <row r="39" spans="1:33" s="911" customFormat="1" ht="18" customHeight="1" outlineLevel="1">
      <c r="A39" s="909"/>
      <c r="B39" s="909"/>
      <c r="C39" s="291" t="s">
        <v>848</v>
      </c>
      <c r="D39" s="909"/>
      <c r="E39" s="909"/>
      <c r="F39" s="317"/>
      <c r="G39" s="383"/>
      <c r="H39" s="383"/>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c r="AG39" s="909"/>
    </row>
    <row r="40" spans="1:33" s="911" customFormat="1" ht="18" customHeight="1" outlineLevel="1">
      <c r="A40" s="909"/>
      <c r="B40" s="909"/>
      <c r="C40" s="290" t="s">
        <v>897</v>
      </c>
      <c r="D40" s="909"/>
      <c r="E40" s="8" t="s">
        <v>133</v>
      </c>
      <c r="F40" s="799" t="s">
        <v>214</v>
      </c>
      <c r="G40" s="797">
        <f>VLOOKUP(F40,Formats!$B$89:$C$91,2,FALSE)</f>
        <v>2</v>
      </c>
      <c r="H40" s="1033" t="str">
        <f>IF(alloc_dc=3,"=&gt; Please enter/change percentage distribution on sheet Costs 02 (rows " &amp;ROW('Costs 02'!F341) &amp;" ff.)","")</f>
        <v/>
      </c>
      <c r="I40" s="910"/>
      <c r="J40" s="910"/>
      <c r="K40" s="910"/>
      <c r="L40" s="909"/>
      <c r="M40" s="909"/>
      <c r="N40" s="909"/>
      <c r="O40" s="909"/>
      <c r="P40" s="909"/>
      <c r="Q40" s="909"/>
      <c r="R40" s="909"/>
      <c r="S40" s="909"/>
      <c r="T40" s="909"/>
      <c r="U40" s="909"/>
      <c r="V40" s="909"/>
      <c r="W40" s="909"/>
      <c r="X40" s="909"/>
      <c r="Y40" s="909"/>
      <c r="Z40" s="909"/>
      <c r="AA40" s="909"/>
      <c r="AB40" s="909"/>
      <c r="AC40" s="909"/>
      <c r="AD40" s="909"/>
      <c r="AE40" s="909"/>
      <c r="AF40" s="909"/>
      <c r="AG40" s="909"/>
    </row>
    <row r="41" spans="1:33" s="911" customFormat="1" ht="18" customHeight="1" outlineLevel="1">
      <c r="A41" s="909"/>
      <c r="B41" s="909"/>
      <c r="C41" s="290"/>
      <c r="D41" s="909"/>
      <c r="E41" s="909"/>
      <c r="F41" s="317"/>
      <c r="G41" s="383"/>
      <c r="H41" s="383"/>
      <c r="I41" s="909"/>
      <c r="J41" s="909"/>
      <c r="K41" s="909"/>
      <c r="L41" s="909"/>
      <c r="M41" s="909"/>
      <c r="N41" s="909"/>
      <c r="O41" s="909"/>
      <c r="P41" s="909"/>
      <c r="Q41" s="909"/>
      <c r="R41" s="909"/>
      <c r="S41" s="909"/>
      <c r="T41" s="909"/>
      <c r="U41" s="909"/>
      <c r="V41" s="909"/>
      <c r="W41" s="909"/>
      <c r="X41" s="909"/>
      <c r="Y41" s="909"/>
      <c r="Z41" s="909"/>
      <c r="AA41" s="909"/>
      <c r="AB41" s="909"/>
      <c r="AC41" s="909"/>
      <c r="AD41" s="909"/>
      <c r="AE41" s="909"/>
      <c r="AF41" s="909"/>
      <c r="AG41" s="909"/>
    </row>
    <row r="42" spans="1:33" s="649" customFormat="1" ht="18" customHeight="1" outlineLevel="1">
      <c r="A42" s="909"/>
      <c r="B42" s="293"/>
      <c r="C42" s="291" t="s">
        <v>296</v>
      </c>
      <c r="D42" s="293"/>
      <c r="E42" s="293"/>
      <c r="F42" s="317"/>
      <c r="G42" s="383"/>
      <c r="H42" s="383"/>
      <c r="I42" s="293"/>
      <c r="J42" s="293"/>
      <c r="K42" s="293"/>
      <c r="L42" s="293"/>
      <c r="M42" s="293"/>
      <c r="N42" s="293"/>
      <c r="O42" s="293"/>
      <c r="P42" s="293"/>
      <c r="Q42" s="293"/>
      <c r="R42" s="293"/>
      <c r="S42" s="293"/>
      <c r="T42" s="293"/>
      <c r="U42" s="909"/>
      <c r="V42" s="909"/>
      <c r="W42" s="909"/>
      <c r="X42" s="909"/>
      <c r="Y42" s="909"/>
      <c r="Z42" s="909"/>
      <c r="AA42" s="909"/>
      <c r="AB42" s="909"/>
      <c r="AC42" s="909"/>
      <c r="AD42" s="909"/>
      <c r="AE42" s="909"/>
      <c r="AF42" s="909"/>
      <c r="AG42" s="909"/>
    </row>
    <row r="43" spans="1:33" s="649" customFormat="1" ht="18" customHeight="1" outlineLevel="1">
      <c r="A43" s="909"/>
      <c r="B43" s="293"/>
      <c r="C43" s="290" t="s">
        <v>206</v>
      </c>
      <c r="D43" s="293"/>
      <c r="E43" s="8" t="s">
        <v>205</v>
      </c>
      <c r="F43" s="272">
        <v>1.4999999999999999E-2</v>
      </c>
      <c r="G43" s="383"/>
      <c r="H43" s="383"/>
      <c r="I43" s="293"/>
      <c r="J43" s="293"/>
      <c r="K43" s="293"/>
      <c r="L43" s="293"/>
      <c r="M43" s="293"/>
      <c r="N43" s="293"/>
      <c r="O43" s="293"/>
      <c r="P43" s="293"/>
      <c r="Q43" s="293"/>
      <c r="R43" s="293"/>
      <c r="S43" s="293"/>
      <c r="T43" s="293"/>
      <c r="U43" s="909"/>
      <c r="V43" s="909"/>
      <c r="W43" s="909"/>
      <c r="X43" s="909"/>
      <c r="Y43" s="909"/>
      <c r="Z43" s="909"/>
      <c r="AA43" s="909"/>
      <c r="AB43" s="909"/>
      <c r="AC43" s="909"/>
      <c r="AD43" s="909"/>
      <c r="AE43" s="909"/>
      <c r="AF43" s="909"/>
      <c r="AG43" s="909"/>
    </row>
    <row r="44" spans="1:33" s="649" customFormat="1" ht="18" customHeight="1" outlineLevel="1">
      <c r="A44" s="909"/>
      <c r="B44" s="293"/>
      <c r="C44" s="290"/>
      <c r="D44" s="293"/>
      <c r="E44" s="293"/>
      <c r="F44" s="302"/>
      <c r="G44" s="383"/>
      <c r="H44" s="383"/>
      <c r="I44" s="293"/>
      <c r="J44" s="293"/>
      <c r="K44" s="293"/>
      <c r="L44" s="293"/>
      <c r="M44" s="293"/>
      <c r="N44" s="293"/>
      <c r="O44" s="293"/>
      <c r="P44" s="293"/>
      <c r="Q44" s="293"/>
      <c r="R44" s="293"/>
      <c r="S44" s="293"/>
      <c r="T44" s="293"/>
      <c r="U44" s="909"/>
      <c r="V44" s="909"/>
      <c r="W44" s="909"/>
      <c r="X44" s="909"/>
      <c r="Y44" s="909"/>
      <c r="Z44" s="909"/>
      <c r="AA44" s="909"/>
      <c r="AB44" s="909"/>
      <c r="AC44" s="909"/>
      <c r="AD44" s="909"/>
      <c r="AE44" s="909"/>
      <c r="AF44" s="909"/>
      <c r="AG44" s="909"/>
    </row>
    <row r="45" spans="1:33" s="117" customFormat="1" ht="24.75" customHeight="1" thickBot="1">
      <c r="A45" s="288"/>
      <c r="B45" s="288"/>
      <c r="C45" s="288" t="s">
        <v>263</v>
      </c>
      <c r="D45" s="289"/>
      <c r="E45" s="289"/>
      <c r="F45" s="380"/>
      <c r="G45" s="289"/>
      <c r="H45" s="289"/>
      <c r="I45" s="289"/>
      <c r="J45" s="289"/>
      <c r="K45" s="289"/>
      <c r="L45" s="289"/>
      <c r="M45" s="289"/>
      <c r="N45" s="289"/>
      <c r="O45" s="289"/>
      <c r="P45" s="184"/>
      <c r="Q45" s="184"/>
      <c r="R45" s="184"/>
      <c r="S45" s="184"/>
      <c r="T45" s="184"/>
      <c r="U45" s="909"/>
      <c r="V45" s="909"/>
      <c r="W45" s="909"/>
      <c r="X45" s="909"/>
      <c r="Y45" s="909"/>
      <c r="Z45" s="909"/>
      <c r="AA45" s="909"/>
      <c r="AB45" s="909"/>
      <c r="AC45" s="909"/>
      <c r="AD45" s="909"/>
      <c r="AE45" s="909"/>
      <c r="AF45" s="909"/>
      <c r="AG45" s="909"/>
    </row>
    <row r="46" spans="1:33" s="117" customFormat="1" ht="20.25" outlineLevel="1">
      <c r="A46" s="909"/>
      <c r="B46" s="184"/>
      <c r="C46" s="298" t="s">
        <v>262</v>
      </c>
      <c r="D46" s="184"/>
      <c r="E46" s="184"/>
      <c r="F46" s="303"/>
      <c r="G46" s="303"/>
      <c r="H46" s="303"/>
      <c r="I46" s="303"/>
      <c r="J46" s="303"/>
      <c r="K46" s="184"/>
      <c r="L46" s="184"/>
      <c r="M46" s="184"/>
      <c r="N46" s="184"/>
      <c r="O46" s="184"/>
      <c r="P46" s="184"/>
      <c r="Q46" s="184"/>
      <c r="R46" s="184"/>
      <c r="S46" s="184"/>
      <c r="T46" s="184"/>
      <c r="U46" s="909"/>
      <c r="V46" s="909"/>
      <c r="W46" s="909"/>
      <c r="X46" s="909"/>
      <c r="Y46" s="909"/>
      <c r="Z46" s="909"/>
      <c r="AA46" s="909"/>
      <c r="AB46" s="909"/>
      <c r="AC46" s="909"/>
      <c r="AD46" s="909"/>
      <c r="AE46" s="909"/>
      <c r="AF46" s="909"/>
      <c r="AG46" s="909"/>
    </row>
    <row r="47" spans="1:33" s="117" customFormat="1" ht="16.5" customHeight="1" outlineLevel="2">
      <c r="A47" s="909"/>
      <c r="B47" s="184"/>
      <c r="C47" s="304" t="s">
        <v>266</v>
      </c>
      <c r="D47" s="293"/>
      <c r="E47" s="184"/>
      <c r="F47" s="290"/>
      <c r="G47" s="127" t="s">
        <v>265</v>
      </c>
      <c r="H47" s="303"/>
      <c r="I47" s="303"/>
      <c r="J47" s="303"/>
      <c r="K47" s="303"/>
      <c r="L47" s="184"/>
      <c r="M47" s="184"/>
      <c r="N47" s="184"/>
      <c r="O47" s="184"/>
      <c r="P47" s="184"/>
      <c r="Q47" s="184"/>
      <c r="R47" s="184"/>
      <c r="S47" s="184"/>
      <c r="T47" s="184"/>
      <c r="U47" s="909"/>
      <c r="V47" s="909"/>
      <c r="W47" s="909"/>
      <c r="X47" s="909"/>
      <c r="Y47" s="909"/>
      <c r="Z47" s="909"/>
      <c r="AA47" s="909"/>
      <c r="AB47" s="909"/>
      <c r="AC47" s="909"/>
      <c r="AD47" s="909"/>
      <c r="AE47" s="909"/>
      <c r="AF47" s="909"/>
      <c r="AG47" s="909"/>
    </row>
    <row r="48" spans="1:33" s="117" customFormat="1" ht="15.75" outlineLevel="2">
      <c r="A48" s="909"/>
      <c r="B48" s="429" t="s">
        <v>33</v>
      </c>
      <c r="C48" s="428" t="str">
        <f>CHOOSE(language,"Direct Labour Staff","Direct Labor Staff")</f>
        <v>Direct Labor Staff</v>
      </c>
      <c r="D48" s="293"/>
      <c r="E48" s="184"/>
      <c r="F48" s="11" t="s">
        <v>264</v>
      </c>
      <c r="G48" s="11">
        <f>YEAR(Startdatum)</f>
        <v>2019</v>
      </c>
      <c r="H48" s="11">
        <f>G48+1</f>
        <v>2020</v>
      </c>
      <c r="I48" s="909"/>
      <c r="J48" s="909"/>
      <c r="K48" s="909"/>
      <c r="L48" s="184"/>
      <c r="M48" s="184"/>
      <c r="N48" s="184"/>
      <c r="O48" s="184"/>
      <c r="P48" s="184"/>
      <c r="Q48" s="184"/>
      <c r="R48" s="184"/>
      <c r="S48" s="184"/>
      <c r="T48" s="184"/>
      <c r="U48" s="909"/>
      <c r="V48" s="909"/>
      <c r="W48" s="909"/>
      <c r="X48" s="909"/>
      <c r="Y48" s="909"/>
      <c r="Z48" s="909"/>
      <c r="AA48" s="909"/>
      <c r="AB48" s="909"/>
      <c r="AC48" s="909"/>
      <c r="AD48" s="909"/>
      <c r="AE48" s="909"/>
      <c r="AF48" s="909"/>
      <c r="AG48" s="909"/>
    </row>
    <row r="49" spans="1:33" s="117" customFormat="1" ht="17.25" customHeight="1" outlineLevel="2">
      <c r="A49" s="909"/>
      <c r="B49" s="293"/>
      <c r="C49" s="641" t="s">
        <v>765</v>
      </c>
      <c r="D49" s="293"/>
      <c r="E49" s="8" t="str">
        <f>Currency_Label</f>
        <v>USD</v>
      </c>
      <c r="F49" s="271">
        <v>0.01</v>
      </c>
      <c r="G49" s="269">
        <v>20000</v>
      </c>
      <c r="H49" s="70">
        <f t="shared" ref="H49" si="0">G49*(1+$F49)</f>
        <v>20200</v>
      </c>
      <c r="I49" s="909"/>
      <c r="J49" s="909"/>
      <c r="K49" s="909"/>
      <c r="L49" s="184"/>
      <c r="M49" s="184"/>
      <c r="N49" s="184"/>
      <c r="O49" s="184"/>
      <c r="P49" s="184"/>
      <c r="Q49" s="184"/>
      <c r="R49" s="184"/>
      <c r="S49" s="184"/>
      <c r="T49" s="184"/>
      <c r="U49" s="909"/>
      <c r="V49" s="909"/>
      <c r="W49" s="909"/>
      <c r="X49" s="909"/>
      <c r="Y49" s="909"/>
      <c r="Z49" s="909"/>
      <c r="AA49" s="909"/>
      <c r="AB49" s="909"/>
      <c r="AC49" s="909"/>
      <c r="AD49" s="909"/>
      <c r="AE49" s="909"/>
      <c r="AF49" s="909"/>
      <c r="AG49" s="909"/>
    </row>
    <row r="50" spans="1:33" s="117" customFormat="1" ht="17.25" customHeight="1" outlineLevel="2">
      <c r="A50" s="909"/>
      <c r="B50" s="293"/>
      <c r="C50" s="641" t="s">
        <v>765</v>
      </c>
      <c r="D50" s="293"/>
      <c r="E50" s="8" t="str">
        <f>Currency_Label</f>
        <v>USD</v>
      </c>
      <c r="F50" s="271">
        <v>1.4999999999999999E-2</v>
      </c>
      <c r="G50" s="269">
        <v>35000</v>
      </c>
      <c r="H50" s="70">
        <f t="shared" ref="H50:H52" si="1">G50*(1+$F50)</f>
        <v>35525</v>
      </c>
      <c r="I50" s="909"/>
      <c r="J50" s="909"/>
      <c r="K50" s="909"/>
      <c r="L50" s="184"/>
      <c r="M50" s="184"/>
      <c r="N50" s="184"/>
      <c r="O50" s="184"/>
      <c r="P50" s="184"/>
      <c r="Q50" s="184"/>
      <c r="R50" s="184"/>
      <c r="S50" s="184"/>
      <c r="T50" s="184"/>
      <c r="U50" s="909"/>
      <c r="V50" s="909"/>
      <c r="W50" s="909"/>
      <c r="X50" s="909"/>
      <c r="Y50" s="909"/>
      <c r="Z50" s="909"/>
      <c r="AA50" s="909"/>
      <c r="AB50" s="909"/>
      <c r="AC50" s="909"/>
      <c r="AD50" s="909"/>
      <c r="AE50" s="909"/>
      <c r="AF50" s="909"/>
      <c r="AG50" s="909"/>
    </row>
    <row r="51" spans="1:33" s="203" customFormat="1" ht="17.25" customHeight="1" outlineLevel="2">
      <c r="A51" s="909"/>
      <c r="B51" s="293"/>
      <c r="C51" s="641" t="s">
        <v>765</v>
      </c>
      <c r="D51" s="293"/>
      <c r="E51" s="8" t="str">
        <f>Currency_Label</f>
        <v>USD</v>
      </c>
      <c r="F51" s="271">
        <v>1.4999999999999999E-2</v>
      </c>
      <c r="G51" s="269">
        <v>30000</v>
      </c>
      <c r="H51" s="70">
        <f t="shared" ref="H51" si="2">G51*(1+$F51)</f>
        <v>30449.999999999996</v>
      </c>
      <c r="I51" s="909"/>
      <c r="J51" s="909"/>
      <c r="K51" s="909"/>
      <c r="L51" s="184"/>
      <c r="M51" s="184"/>
      <c r="N51" s="184"/>
      <c r="O51" s="184"/>
      <c r="P51" s="184"/>
      <c r="Q51" s="184"/>
      <c r="R51" s="184"/>
      <c r="S51" s="184"/>
      <c r="T51" s="184"/>
      <c r="U51" s="909"/>
      <c r="V51" s="909"/>
      <c r="W51" s="909"/>
      <c r="X51" s="909"/>
      <c r="Y51" s="909"/>
      <c r="Z51" s="909"/>
      <c r="AA51" s="909"/>
      <c r="AB51" s="909"/>
      <c r="AC51" s="909"/>
      <c r="AD51" s="909"/>
      <c r="AE51" s="909"/>
      <c r="AF51" s="909"/>
      <c r="AG51" s="909"/>
    </row>
    <row r="52" spans="1:33" s="117" customFormat="1" ht="17.25" customHeight="1" outlineLevel="2">
      <c r="A52" s="909"/>
      <c r="B52" s="293"/>
      <c r="C52" s="641" t="s">
        <v>765</v>
      </c>
      <c r="D52" s="293"/>
      <c r="E52" s="8" t="str">
        <f>Currency_Label</f>
        <v>USD</v>
      </c>
      <c r="F52" s="271"/>
      <c r="G52" s="269"/>
      <c r="H52" s="70">
        <f t="shared" si="1"/>
        <v>0</v>
      </c>
      <c r="I52" s="909"/>
      <c r="J52" s="909"/>
      <c r="K52" s="909"/>
      <c r="L52" s="184"/>
      <c r="M52" s="184"/>
      <c r="N52" s="184"/>
      <c r="O52" s="184"/>
      <c r="P52" s="184"/>
      <c r="Q52" s="184"/>
      <c r="R52" s="184"/>
      <c r="S52" s="184"/>
      <c r="T52" s="184"/>
      <c r="U52" s="909"/>
      <c r="V52" s="909"/>
      <c r="W52" s="909"/>
      <c r="X52" s="909"/>
      <c r="Y52" s="909"/>
      <c r="Z52" s="909"/>
      <c r="AA52" s="909"/>
      <c r="AB52" s="909"/>
      <c r="AC52" s="909"/>
      <c r="AD52" s="909"/>
      <c r="AE52" s="909"/>
      <c r="AF52" s="909"/>
      <c r="AG52" s="909"/>
    </row>
    <row r="53" spans="1:33" s="203" customFormat="1" ht="22.5" customHeight="1" outlineLevel="2">
      <c r="A53" s="909"/>
      <c r="B53" s="293"/>
      <c r="C53" s="291"/>
      <c r="D53" s="293"/>
      <c r="E53" s="304"/>
      <c r="F53" s="290"/>
      <c r="G53" s="303"/>
      <c r="H53" s="303"/>
      <c r="I53" s="303"/>
      <c r="J53" s="303"/>
      <c r="K53" s="303"/>
      <c r="L53" s="303"/>
      <c r="M53" s="184"/>
      <c r="N53" s="184"/>
      <c r="O53" s="184"/>
      <c r="P53" s="184"/>
      <c r="Q53" s="184"/>
      <c r="R53" s="184"/>
      <c r="S53" s="184"/>
      <c r="T53" s="184"/>
      <c r="U53" s="909"/>
      <c r="V53" s="909"/>
      <c r="W53" s="909"/>
      <c r="X53" s="909"/>
      <c r="Y53" s="909"/>
      <c r="Z53" s="909"/>
      <c r="AA53" s="909"/>
      <c r="AB53" s="909"/>
      <c r="AC53" s="909"/>
      <c r="AD53" s="909"/>
      <c r="AE53" s="909"/>
      <c r="AF53" s="909"/>
      <c r="AG53" s="909"/>
    </row>
    <row r="54" spans="1:33" s="117" customFormat="1" ht="24.75" customHeight="1" outlineLevel="2">
      <c r="A54" s="909"/>
      <c r="B54" s="429" t="s">
        <v>34</v>
      </c>
      <c r="C54" s="428" t="s">
        <v>260</v>
      </c>
      <c r="D54" s="293"/>
      <c r="E54" s="304"/>
      <c r="F54" s="290"/>
      <c r="G54" s="303"/>
      <c r="H54" s="303"/>
      <c r="I54" s="303"/>
      <c r="J54" s="303"/>
      <c r="K54" s="303"/>
      <c r="L54" s="303"/>
      <c r="M54" s="184"/>
      <c r="N54" s="184"/>
      <c r="O54" s="184"/>
      <c r="P54" s="184"/>
      <c r="Q54" s="184"/>
      <c r="R54" s="184"/>
      <c r="S54" s="184"/>
      <c r="T54" s="184"/>
      <c r="U54" s="909"/>
      <c r="V54" s="909"/>
      <c r="W54" s="909"/>
      <c r="X54" s="909"/>
      <c r="Y54" s="909"/>
      <c r="Z54" s="909"/>
      <c r="AA54" s="909"/>
      <c r="AB54" s="909"/>
      <c r="AC54" s="909"/>
      <c r="AD54" s="909"/>
      <c r="AE54" s="909"/>
      <c r="AF54" s="909"/>
      <c r="AG54" s="909"/>
    </row>
    <row r="55" spans="1:33" s="117" customFormat="1" ht="17.25" customHeight="1" outlineLevel="2">
      <c r="A55" s="909"/>
      <c r="B55" s="293"/>
      <c r="C55" s="641" t="s">
        <v>765</v>
      </c>
      <c r="D55" s="293"/>
      <c r="E55" s="8" t="str">
        <f>Currency_Label</f>
        <v>USD</v>
      </c>
      <c r="F55" s="271">
        <v>2.5000000000000001E-2</v>
      </c>
      <c r="G55" s="269">
        <v>50000</v>
      </c>
      <c r="H55" s="70">
        <f t="shared" ref="H55:H58" si="3">G55*(1+$F55)</f>
        <v>51249.999999999993</v>
      </c>
      <c r="I55" s="909"/>
      <c r="J55" s="909"/>
      <c r="K55" s="909"/>
      <c r="L55" s="184"/>
      <c r="M55" s="184"/>
      <c r="N55" s="184"/>
      <c r="O55" s="184"/>
      <c r="P55" s="184"/>
      <c r="Q55" s="184"/>
      <c r="R55" s="184"/>
      <c r="S55" s="184"/>
      <c r="T55" s="184"/>
      <c r="U55" s="909"/>
      <c r="V55" s="909"/>
      <c r="W55" s="909"/>
      <c r="X55" s="909"/>
      <c r="Y55" s="909"/>
      <c r="Z55" s="909"/>
      <c r="AA55" s="909"/>
      <c r="AB55" s="909"/>
      <c r="AC55" s="909"/>
      <c r="AD55" s="909"/>
      <c r="AE55" s="909"/>
      <c r="AF55" s="909"/>
      <c r="AG55" s="909"/>
    </row>
    <row r="56" spans="1:33" s="117" customFormat="1" ht="17.25" customHeight="1" outlineLevel="2">
      <c r="A56" s="909"/>
      <c r="B56" s="293"/>
      <c r="C56" s="641" t="s">
        <v>765</v>
      </c>
      <c r="D56" s="293"/>
      <c r="E56" s="8" t="str">
        <f>Currency_Label</f>
        <v>USD</v>
      </c>
      <c r="F56" s="271">
        <v>2.5000000000000001E-2</v>
      </c>
      <c r="G56" s="269">
        <v>40000</v>
      </c>
      <c r="H56" s="70">
        <f t="shared" si="3"/>
        <v>41000</v>
      </c>
      <c r="I56" s="909"/>
      <c r="J56" s="909"/>
      <c r="K56" s="909"/>
      <c r="L56" s="184"/>
      <c r="M56" s="184"/>
      <c r="N56" s="184"/>
      <c r="O56" s="184"/>
      <c r="P56" s="184"/>
      <c r="Q56" s="184"/>
      <c r="R56" s="184"/>
      <c r="S56" s="184"/>
      <c r="T56" s="184"/>
      <c r="U56" s="909"/>
      <c r="V56" s="909"/>
      <c r="W56" s="909"/>
      <c r="X56" s="909"/>
      <c r="Y56" s="909"/>
      <c r="Z56" s="909"/>
      <c r="AA56" s="909"/>
      <c r="AB56" s="909"/>
      <c r="AC56" s="909"/>
      <c r="AD56" s="909"/>
      <c r="AE56" s="909"/>
      <c r="AF56" s="909"/>
      <c r="AG56" s="909"/>
    </row>
    <row r="57" spans="1:33" s="203" customFormat="1" ht="17.25" customHeight="1" outlineLevel="2">
      <c r="A57" s="909"/>
      <c r="B57" s="293"/>
      <c r="C57" s="641" t="s">
        <v>765</v>
      </c>
      <c r="D57" s="293"/>
      <c r="E57" s="8" t="str">
        <f>Currency_Label</f>
        <v>USD</v>
      </c>
      <c r="F57" s="271"/>
      <c r="G57" s="269"/>
      <c r="H57" s="70">
        <f t="shared" ref="H57" si="4">G57*(1+$F57)</f>
        <v>0</v>
      </c>
      <c r="I57" s="909"/>
      <c r="J57" s="909"/>
      <c r="K57" s="909"/>
      <c r="L57" s="184"/>
      <c r="M57" s="184"/>
      <c r="N57" s="184"/>
      <c r="O57" s="184"/>
      <c r="P57" s="184"/>
      <c r="Q57" s="184"/>
      <c r="R57" s="184"/>
      <c r="S57" s="184"/>
      <c r="T57" s="184"/>
      <c r="U57" s="909"/>
      <c r="V57" s="909"/>
      <c r="W57" s="909"/>
      <c r="X57" s="909"/>
      <c r="Y57" s="909"/>
      <c r="Z57" s="909"/>
      <c r="AA57" s="909"/>
      <c r="AB57" s="909"/>
      <c r="AC57" s="909"/>
      <c r="AD57" s="909"/>
      <c r="AE57" s="909"/>
      <c r="AF57" s="909"/>
      <c r="AG57" s="909"/>
    </row>
    <row r="58" spans="1:33" s="117" customFormat="1" ht="17.25" customHeight="1" outlineLevel="2">
      <c r="A58" s="909"/>
      <c r="B58" s="293"/>
      <c r="C58" s="641" t="s">
        <v>765</v>
      </c>
      <c r="D58" s="293"/>
      <c r="E58" s="8" t="str">
        <f>Currency_Label</f>
        <v>USD</v>
      </c>
      <c r="F58" s="271"/>
      <c r="G58" s="269"/>
      <c r="H58" s="70">
        <f t="shared" si="3"/>
        <v>0</v>
      </c>
      <c r="I58" s="909"/>
      <c r="J58" s="909"/>
      <c r="K58" s="909"/>
      <c r="L58" s="184"/>
      <c r="M58" s="184"/>
      <c r="N58" s="184"/>
      <c r="O58" s="184"/>
      <c r="P58" s="184"/>
      <c r="Q58" s="184"/>
      <c r="R58" s="184"/>
      <c r="S58" s="184"/>
      <c r="T58" s="184"/>
      <c r="U58" s="909"/>
      <c r="V58" s="909"/>
      <c r="W58" s="909"/>
      <c r="X58" s="909"/>
      <c r="Y58" s="909"/>
      <c r="Z58" s="909"/>
      <c r="AA58" s="909"/>
      <c r="AB58" s="909"/>
      <c r="AC58" s="909"/>
      <c r="AD58" s="909"/>
      <c r="AE58" s="909"/>
      <c r="AF58" s="909"/>
      <c r="AG58" s="909"/>
    </row>
    <row r="59" spans="1:33" s="117" customFormat="1" ht="17.25" customHeight="1" outlineLevel="2">
      <c r="A59" s="909"/>
      <c r="B59" s="293"/>
      <c r="C59" s="301"/>
      <c r="D59" s="293"/>
      <c r="E59" s="304"/>
      <c r="F59" s="290"/>
      <c r="G59" s="303"/>
      <c r="H59" s="303"/>
      <c r="I59" s="303"/>
      <c r="J59" s="303"/>
      <c r="K59" s="303"/>
      <c r="L59" s="303"/>
      <c r="M59" s="184"/>
      <c r="N59" s="184"/>
      <c r="O59" s="184"/>
      <c r="P59" s="184"/>
      <c r="Q59" s="184"/>
      <c r="R59" s="184"/>
      <c r="S59" s="184"/>
      <c r="T59" s="184"/>
      <c r="U59" s="909"/>
      <c r="V59" s="909"/>
      <c r="W59" s="909"/>
      <c r="X59" s="909"/>
      <c r="Y59" s="909"/>
      <c r="Z59" s="909"/>
      <c r="AA59" s="909"/>
      <c r="AB59" s="909"/>
      <c r="AC59" s="909"/>
      <c r="AD59" s="909"/>
      <c r="AE59" s="909"/>
      <c r="AF59" s="909"/>
      <c r="AG59" s="909"/>
    </row>
    <row r="60" spans="1:33" s="117" customFormat="1" ht="24.75" customHeight="1" outlineLevel="2">
      <c r="A60" s="909"/>
      <c r="B60" s="429" t="s">
        <v>35</v>
      </c>
      <c r="C60" s="428" t="s">
        <v>261</v>
      </c>
      <c r="D60" s="293"/>
      <c r="E60" s="304"/>
      <c r="F60" s="290"/>
      <c r="G60" s="303"/>
      <c r="H60" s="303"/>
      <c r="I60" s="303"/>
      <c r="J60" s="303"/>
      <c r="K60" s="303"/>
      <c r="L60" s="303"/>
      <c r="M60" s="184"/>
      <c r="N60" s="184"/>
      <c r="O60" s="184"/>
      <c r="P60" s="184"/>
      <c r="Q60" s="184"/>
      <c r="R60" s="184"/>
      <c r="S60" s="184"/>
      <c r="T60" s="184"/>
      <c r="U60" s="909"/>
      <c r="V60" s="909"/>
      <c r="W60" s="909"/>
      <c r="X60" s="909"/>
      <c r="Y60" s="909"/>
      <c r="Z60" s="909"/>
      <c r="AA60" s="909"/>
      <c r="AB60" s="909"/>
      <c r="AC60" s="909"/>
      <c r="AD60" s="909"/>
      <c r="AE60" s="909"/>
      <c r="AF60" s="909"/>
      <c r="AG60" s="909"/>
    </row>
    <row r="61" spans="1:33" s="117" customFormat="1" ht="17.25" customHeight="1" outlineLevel="2">
      <c r="A61" s="909"/>
      <c r="B61" s="293"/>
      <c r="C61" s="641" t="s">
        <v>765</v>
      </c>
      <c r="D61" s="293"/>
      <c r="E61" s="8" t="str">
        <f>Currency_Label</f>
        <v>USD</v>
      </c>
      <c r="F61" s="271">
        <v>2.5000000000000001E-2</v>
      </c>
      <c r="G61" s="269">
        <v>35000</v>
      </c>
      <c r="H61" s="70">
        <f t="shared" ref="H61:H64" si="5">G61*(1+$F61)</f>
        <v>35875</v>
      </c>
      <c r="I61" s="909"/>
      <c r="J61" s="909"/>
      <c r="K61" s="909"/>
      <c r="L61" s="184"/>
      <c r="M61" s="184"/>
      <c r="N61" s="184"/>
      <c r="O61" s="184"/>
      <c r="P61" s="184"/>
      <c r="Q61" s="184"/>
      <c r="R61" s="184"/>
      <c r="S61" s="184"/>
      <c r="T61" s="184"/>
      <c r="U61" s="909"/>
      <c r="V61" s="909"/>
      <c r="W61" s="909"/>
      <c r="X61" s="909"/>
      <c r="Y61" s="909"/>
      <c r="Z61" s="909"/>
      <c r="AA61" s="909"/>
      <c r="AB61" s="909"/>
      <c r="AC61" s="909"/>
      <c r="AD61" s="909"/>
      <c r="AE61" s="909"/>
      <c r="AF61" s="909"/>
      <c r="AG61" s="909"/>
    </row>
    <row r="62" spans="1:33" s="117" customFormat="1" ht="17.25" customHeight="1" outlineLevel="2">
      <c r="A62" s="909"/>
      <c r="B62" s="293"/>
      <c r="C62" s="641" t="s">
        <v>765</v>
      </c>
      <c r="D62" s="293"/>
      <c r="E62" s="8" t="str">
        <f>Currency_Label</f>
        <v>USD</v>
      </c>
      <c r="F62" s="271">
        <v>2.5000000000000001E-2</v>
      </c>
      <c r="G62" s="269">
        <v>40000</v>
      </c>
      <c r="H62" s="70">
        <f t="shared" si="5"/>
        <v>41000</v>
      </c>
      <c r="I62" s="909"/>
      <c r="J62" s="909"/>
      <c r="K62" s="909"/>
      <c r="L62" s="184"/>
      <c r="M62" s="184"/>
      <c r="N62" s="184"/>
      <c r="O62" s="184"/>
      <c r="P62" s="184"/>
      <c r="Q62" s="184"/>
      <c r="R62" s="184"/>
      <c r="S62" s="184"/>
      <c r="T62" s="184"/>
      <c r="U62" s="909"/>
      <c r="V62" s="909"/>
      <c r="W62" s="909"/>
      <c r="X62" s="909"/>
      <c r="Y62" s="909"/>
      <c r="Z62" s="909"/>
      <c r="AA62" s="909"/>
      <c r="AB62" s="909"/>
      <c r="AC62" s="909"/>
      <c r="AD62" s="909"/>
      <c r="AE62" s="909"/>
      <c r="AF62" s="909"/>
      <c r="AG62" s="909"/>
    </row>
    <row r="63" spans="1:33" s="203" customFormat="1" ht="17.25" customHeight="1" outlineLevel="2">
      <c r="A63" s="909"/>
      <c r="B63" s="293"/>
      <c r="C63" s="641" t="s">
        <v>765</v>
      </c>
      <c r="D63" s="293"/>
      <c r="E63" s="8" t="str">
        <f>Currency_Label</f>
        <v>USD</v>
      </c>
      <c r="F63" s="271"/>
      <c r="G63" s="269"/>
      <c r="H63" s="70">
        <f t="shared" ref="H63" si="6">G63*(1+$F63)</f>
        <v>0</v>
      </c>
      <c r="I63" s="909"/>
      <c r="J63" s="909"/>
      <c r="K63" s="909"/>
      <c r="L63" s="184"/>
      <c r="M63" s="184"/>
      <c r="N63" s="184"/>
      <c r="O63" s="184"/>
      <c r="P63" s="184"/>
      <c r="Q63" s="184"/>
      <c r="R63" s="184"/>
      <c r="S63" s="184"/>
      <c r="T63" s="184"/>
      <c r="U63" s="909"/>
      <c r="V63" s="909"/>
      <c r="W63" s="909"/>
      <c r="X63" s="909"/>
      <c r="Y63" s="909"/>
      <c r="Z63" s="909"/>
      <c r="AA63" s="909"/>
      <c r="AB63" s="909"/>
      <c r="AC63" s="909"/>
      <c r="AD63" s="909"/>
      <c r="AE63" s="909"/>
      <c r="AF63" s="909"/>
      <c r="AG63" s="909"/>
    </row>
    <row r="64" spans="1:33" s="117" customFormat="1" ht="17.25" customHeight="1" outlineLevel="2">
      <c r="A64" s="909"/>
      <c r="B64" s="293"/>
      <c r="C64" s="641" t="s">
        <v>765</v>
      </c>
      <c r="D64" s="293"/>
      <c r="E64" s="8" t="str">
        <f>Currency_Label</f>
        <v>USD</v>
      </c>
      <c r="F64" s="271"/>
      <c r="G64" s="269"/>
      <c r="H64" s="70">
        <f t="shared" si="5"/>
        <v>0</v>
      </c>
      <c r="I64" s="909"/>
      <c r="J64" s="909"/>
      <c r="K64" s="909"/>
      <c r="L64" s="184"/>
      <c r="M64" s="184"/>
      <c r="N64" s="184"/>
      <c r="O64" s="184"/>
      <c r="P64" s="184"/>
      <c r="Q64" s="184"/>
      <c r="R64" s="184"/>
      <c r="S64" s="184"/>
      <c r="T64" s="184"/>
      <c r="U64" s="909"/>
      <c r="V64" s="909"/>
      <c r="W64" s="909"/>
      <c r="X64" s="909"/>
      <c r="Y64" s="909"/>
      <c r="Z64" s="909"/>
      <c r="AA64" s="909"/>
      <c r="AB64" s="909"/>
      <c r="AC64" s="909"/>
      <c r="AD64" s="909"/>
      <c r="AE64" s="909"/>
      <c r="AF64" s="909"/>
      <c r="AG64" s="909"/>
    </row>
    <row r="65" spans="1:33" s="117" customFormat="1" ht="17.25" customHeight="1" outlineLevel="2">
      <c r="A65" s="909"/>
      <c r="B65" s="293"/>
      <c r="C65" s="301"/>
      <c r="D65" s="293"/>
      <c r="E65" s="304"/>
      <c r="F65" s="290"/>
      <c r="G65" s="303"/>
      <c r="H65" s="303"/>
      <c r="I65" s="303"/>
      <c r="J65" s="303"/>
      <c r="K65" s="303"/>
      <c r="L65" s="303"/>
      <c r="M65" s="184"/>
      <c r="N65" s="184"/>
      <c r="O65" s="184"/>
      <c r="P65" s="184"/>
      <c r="Q65" s="184"/>
      <c r="R65" s="184"/>
      <c r="S65" s="184"/>
      <c r="T65" s="184"/>
      <c r="U65" s="909"/>
      <c r="V65" s="909"/>
      <c r="W65" s="909"/>
      <c r="X65" s="909"/>
      <c r="Y65" s="909"/>
      <c r="Z65" s="909"/>
      <c r="AA65" s="909"/>
      <c r="AB65" s="909"/>
      <c r="AC65" s="909"/>
      <c r="AD65" s="909"/>
      <c r="AE65" s="909"/>
      <c r="AF65" s="909"/>
      <c r="AG65" s="909"/>
    </row>
    <row r="66" spans="1:33" s="117" customFormat="1" ht="24.75" customHeight="1" outlineLevel="2">
      <c r="A66" s="909"/>
      <c r="B66" s="429" t="s">
        <v>37</v>
      </c>
      <c r="C66" s="428" t="str">
        <f>CHOOSE(language,"Salesforce","Sales, Marketing &amp; Distribution Staff")</f>
        <v>Sales, Marketing &amp; Distribution Staff</v>
      </c>
      <c r="D66" s="293"/>
      <c r="E66" s="304"/>
      <c r="F66" s="290"/>
      <c r="G66" s="303"/>
      <c r="H66" s="303"/>
      <c r="I66" s="303"/>
      <c r="J66" s="303"/>
      <c r="K66" s="303"/>
      <c r="L66" s="303"/>
      <c r="M66" s="184"/>
      <c r="N66" s="184"/>
      <c r="O66" s="184"/>
      <c r="P66" s="184"/>
      <c r="Q66" s="184"/>
      <c r="R66" s="184"/>
      <c r="S66" s="184"/>
      <c r="T66" s="184"/>
      <c r="U66" s="909"/>
      <c r="V66" s="909"/>
      <c r="W66" s="909"/>
      <c r="X66" s="909"/>
      <c r="Y66" s="909"/>
      <c r="Z66" s="909"/>
      <c r="AA66" s="909"/>
      <c r="AB66" s="909"/>
      <c r="AC66" s="909"/>
      <c r="AD66" s="909"/>
      <c r="AE66" s="909"/>
      <c r="AF66" s="909"/>
      <c r="AG66" s="909"/>
    </row>
    <row r="67" spans="1:33" s="117" customFormat="1" ht="17.25" customHeight="1" outlineLevel="2">
      <c r="A67" s="909"/>
      <c r="B67" s="184"/>
      <c r="C67" s="641" t="s">
        <v>765</v>
      </c>
      <c r="D67" s="293"/>
      <c r="E67" s="8" t="str">
        <f>Currency_Label</f>
        <v>USD</v>
      </c>
      <c r="F67" s="271">
        <v>2.5000000000000001E-2</v>
      </c>
      <c r="G67" s="269">
        <v>40000</v>
      </c>
      <c r="H67" s="70">
        <f t="shared" ref="H67:H70" si="7">G67*(1+$F67)</f>
        <v>41000</v>
      </c>
      <c r="I67" s="909"/>
      <c r="J67" s="909"/>
      <c r="K67" s="909"/>
      <c r="L67" s="184"/>
      <c r="M67" s="184"/>
      <c r="N67" s="184"/>
      <c r="O67" s="184"/>
      <c r="P67" s="184"/>
      <c r="Q67" s="184"/>
      <c r="R67" s="184"/>
      <c r="S67" s="184"/>
      <c r="T67" s="184"/>
      <c r="U67" s="909"/>
      <c r="V67" s="909"/>
      <c r="W67" s="909"/>
      <c r="X67" s="909"/>
      <c r="Y67" s="909"/>
      <c r="Z67" s="909"/>
      <c r="AA67" s="909"/>
      <c r="AB67" s="909"/>
      <c r="AC67" s="909"/>
      <c r="AD67" s="909"/>
      <c r="AE67" s="909"/>
      <c r="AF67" s="909"/>
      <c r="AG67" s="909"/>
    </row>
    <row r="68" spans="1:33" s="117" customFormat="1" ht="17.25" customHeight="1" outlineLevel="2">
      <c r="A68" s="909"/>
      <c r="B68" s="184"/>
      <c r="C68" s="641" t="s">
        <v>765</v>
      </c>
      <c r="D68" s="293"/>
      <c r="E68" s="8" t="str">
        <f>Currency_Label</f>
        <v>USD</v>
      </c>
      <c r="F68" s="271">
        <v>2.5000000000000001E-2</v>
      </c>
      <c r="G68" s="269">
        <v>25000</v>
      </c>
      <c r="H68" s="70">
        <f t="shared" si="7"/>
        <v>25624.999999999996</v>
      </c>
      <c r="I68" s="909"/>
      <c r="J68" s="909"/>
      <c r="K68" s="909"/>
      <c r="L68" s="184"/>
      <c r="M68" s="184"/>
      <c r="N68" s="184"/>
      <c r="O68" s="184"/>
      <c r="P68" s="184"/>
      <c r="Q68" s="184"/>
      <c r="R68" s="184"/>
      <c r="S68" s="184"/>
      <c r="T68" s="184"/>
      <c r="U68" s="909"/>
      <c r="V68" s="909"/>
      <c r="W68" s="909"/>
      <c r="X68" s="909"/>
      <c r="Y68" s="909"/>
      <c r="Z68" s="909"/>
      <c r="AA68" s="909"/>
      <c r="AB68" s="909"/>
      <c r="AC68" s="909"/>
      <c r="AD68" s="909"/>
      <c r="AE68" s="909"/>
      <c r="AF68" s="909"/>
      <c r="AG68" s="909"/>
    </row>
    <row r="69" spans="1:33" s="203" customFormat="1" ht="17.25" customHeight="1" outlineLevel="2">
      <c r="A69" s="909"/>
      <c r="B69" s="184"/>
      <c r="C69" s="641" t="s">
        <v>765</v>
      </c>
      <c r="D69" s="293"/>
      <c r="E69" s="8" t="str">
        <f>Currency_Label</f>
        <v>USD</v>
      </c>
      <c r="F69" s="271"/>
      <c r="G69" s="269"/>
      <c r="H69" s="70">
        <f t="shared" ref="H69" si="8">G69*(1+$F69)</f>
        <v>0</v>
      </c>
      <c r="I69" s="909"/>
      <c r="J69" s="909"/>
      <c r="K69" s="909"/>
      <c r="L69" s="184"/>
      <c r="M69" s="184"/>
      <c r="N69" s="184"/>
      <c r="O69" s="184"/>
      <c r="P69" s="184"/>
      <c r="Q69" s="184"/>
      <c r="R69" s="184"/>
      <c r="S69" s="184"/>
      <c r="T69" s="184"/>
      <c r="U69" s="909"/>
      <c r="V69" s="909"/>
      <c r="W69" s="909"/>
      <c r="X69" s="909"/>
      <c r="Y69" s="909"/>
      <c r="Z69" s="909"/>
      <c r="AA69" s="909"/>
      <c r="AB69" s="909"/>
      <c r="AC69" s="909"/>
      <c r="AD69" s="909"/>
      <c r="AE69" s="909"/>
      <c r="AF69" s="909"/>
      <c r="AG69" s="909"/>
    </row>
    <row r="70" spans="1:33" s="117" customFormat="1" ht="17.25" customHeight="1" outlineLevel="2">
      <c r="A70" s="909"/>
      <c r="B70" s="184"/>
      <c r="C70" s="641" t="s">
        <v>765</v>
      </c>
      <c r="D70" s="293"/>
      <c r="E70" s="8" t="str">
        <f>Currency_Label</f>
        <v>USD</v>
      </c>
      <c r="F70" s="271"/>
      <c r="G70" s="269"/>
      <c r="H70" s="70">
        <f t="shared" si="7"/>
        <v>0</v>
      </c>
      <c r="I70" s="909"/>
      <c r="J70" s="909"/>
      <c r="K70" s="909"/>
      <c r="L70" s="184"/>
      <c r="M70" s="184"/>
      <c r="N70" s="184"/>
      <c r="O70" s="184"/>
      <c r="P70" s="184"/>
      <c r="Q70" s="184"/>
      <c r="R70" s="184"/>
      <c r="S70" s="184"/>
      <c r="T70" s="184"/>
      <c r="U70" s="909"/>
      <c r="V70" s="909"/>
      <c r="W70" s="909"/>
      <c r="X70" s="909"/>
      <c r="Y70" s="909"/>
      <c r="Z70" s="909"/>
      <c r="AA70" s="909"/>
      <c r="AB70" s="909"/>
      <c r="AC70" s="909"/>
      <c r="AD70" s="909"/>
      <c r="AE70" s="909"/>
      <c r="AF70" s="909"/>
      <c r="AG70" s="909"/>
    </row>
    <row r="71" spans="1:33" s="117" customFormat="1" ht="17.25" customHeight="1" outlineLevel="2">
      <c r="A71" s="909"/>
      <c r="B71" s="184"/>
      <c r="C71" s="301"/>
      <c r="D71" s="293"/>
      <c r="E71" s="304"/>
      <c r="F71" s="290"/>
      <c r="G71" s="303"/>
      <c r="H71" s="303"/>
      <c r="I71" s="303"/>
      <c r="J71" s="303"/>
      <c r="K71" s="303"/>
      <c r="L71" s="303"/>
      <c r="M71" s="184"/>
      <c r="N71" s="184"/>
      <c r="O71" s="184"/>
      <c r="P71" s="184"/>
      <c r="Q71" s="184"/>
      <c r="R71" s="184"/>
      <c r="S71" s="184"/>
      <c r="T71" s="184"/>
      <c r="U71" s="909"/>
      <c r="V71" s="909"/>
      <c r="W71" s="909"/>
      <c r="X71" s="909"/>
      <c r="Y71" s="909"/>
      <c r="Z71" s="909"/>
      <c r="AA71" s="909"/>
      <c r="AB71" s="909"/>
      <c r="AC71" s="909"/>
      <c r="AD71" s="909"/>
      <c r="AE71" s="909"/>
      <c r="AF71" s="909"/>
      <c r="AG71" s="909"/>
    </row>
    <row r="72" spans="1:33" s="117" customFormat="1" ht="24.75" customHeight="1" outlineLevel="2">
      <c r="A72" s="909"/>
      <c r="B72" s="429" t="s">
        <v>45</v>
      </c>
      <c r="C72" s="642" t="s">
        <v>345</v>
      </c>
      <c r="D72" s="293"/>
      <c r="E72" s="304"/>
      <c r="F72" s="290"/>
      <c r="G72" s="303"/>
      <c r="H72" s="303"/>
      <c r="I72" s="303"/>
      <c r="J72" s="303"/>
      <c r="K72" s="303"/>
      <c r="L72" s="303"/>
      <c r="M72" s="184"/>
      <c r="N72" s="184"/>
      <c r="O72" s="184"/>
      <c r="P72" s="184"/>
      <c r="Q72" s="184"/>
      <c r="R72" s="184"/>
      <c r="S72" s="184"/>
      <c r="T72" s="184"/>
      <c r="U72" s="909"/>
      <c r="V72" s="909"/>
      <c r="W72" s="909"/>
      <c r="X72" s="909"/>
      <c r="Y72" s="909"/>
      <c r="Z72" s="909"/>
      <c r="AA72" s="909"/>
      <c r="AB72" s="909"/>
      <c r="AC72" s="909"/>
      <c r="AD72" s="909"/>
      <c r="AE72" s="909"/>
      <c r="AF72" s="909"/>
      <c r="AG72" s="909"/>
    </row>
    <row r="73" spans="1:33" s="117" customFormat="1" ht="17.25" customHeight="1" outlineLevel="2">
      <c r="A73" s="909"/>
      <c r="B73" s="184"/>
      <c r="C73" s="641" t="s">
        <v>765</v>
      </c>
      <c r="D73" s="293"/>
      <c r="E73" s="8" t="str">
        <f>Currency_Label</f>
        <v>USD</v>
      </c>
      <c r="F73" s="271">
        <v>0.02</v>
      </c>
      <c r="G73" s="269">
        <v>45000</v>
      </c>
      <c r="H73" s="70">
        <f t="shared" ref="H73:H76" si="9">G73*(1+$F73)</f>
        <v>45900</v>
      </c>
      <c r="I73" s="909"/>
      <c r="J73" s="909"/>
      <c r="K73" s="909"/>
      <c r="L73" s="184"/>
      <c r="M73" s="184"/>
      <c r="N73" s="184"/>
      <c r="O73" s="184"/>
      <c r="P73" s="184"/>
      <c r="Q73" s="184"/>
      <c r="R73" s="184"/>
      <c r="S73" s="184"/>
      <c r="T73" s="184"/>
      <c r="U73" s="909"/>
      <c r="V73" s="909"/>
      <c r="W73" s="909"/>
      <c r="X73" s="909"/>
      <c r="Y73" s="909"/>
      <c r="Z73" s="909"/>
      <c r="AA73" s="909"/>
      <c r="AB73" s="909"/>
      <c r="AC73" s="909"/>
      <c r="AD73" s="909"/>
      <c r="AE73" s="909"/>
      <c r="AF73" s="909"/>
      <c r="AG73" s="909"/>
    </row>
    <row r="74" spans="1:33" s="117" customFormat="1" ht="17.25" customHeight="1" outlineLevel="2">
      <c r="A74" s="909"/>
      <c r="B74" s="184"/>
      <c r="C74" s="641" t="s">
        <v>765</v>
      </c>
      <c r="D74" s="293"/>
      <c r="E74" s="8" t="str">
        <f>Currency_Label</f>
        <v>USD</v>
      </c>
      <c r="F74" s="271"/>
      <c r="G74" s="269"/>
      <c r="H74" s="70">
        <f t="shared" si="9"/>
        <v>0</v>
      </c>
      <c r="I74" s="909"/>
      <c r="J74" s="909"/>
      <c r="K74" s="909"/>
      <c r="L74" s="184"/>
      <c r="M74" s="184"/>
      <c r="N74" s="184"/>
      <c r="O74" s="184"/>
      <c r="P74" s="184"/>
      <c r="Q74" s="184"/>
      <c r="R74" s="184"/>
      <c r="S74" s="184"/>
      <c r="T74" s="184"/>
      <c r="U74" s="909"/>
      <c r="V74" s="909"/>
      <c r="W74" s="909"/>
      <c r="X74" s="909"/>
      <c r="Y74" s="909"/>
      <c r="Z74" s="909"/>
      <c r="AA74" s="909"/>
      <c r="AB74" s="909"/>
      <c r="AC74" s="909"/>
      <c r="AD74" s="909"/>
      <c r="AE74" s="909"/>
      <c r="AF74" s="909"/>
      <c r="AG74" s="909"/>
    </row>
    <row r="75" spans="1:33" s="203" customFormat="1" ht="17.25" customHeight="1" outlineLevel="2">
      <c r="A75" s="909"/>
      <c r="B75" s="184"/>
      <c r="C75" s="641" t="s">
        <v>765</v>
      </c>
      <c r="D75" s="293"/>
      <c r="E75" s="8" t="str">
        <f>Currency_Label</f>
        <v>USD</v>
      </c>
      <c r="F75" s="271"/>
      <c r="G75" s="269"/>
      <c r="H75" s="70">
        <f t="shared" ref="H75" si="10">G75*(1+$F75)</f>
        <v>0</v>
      </c>
      <c r="I75" s="909"/>
      <c r="J75" s="909"/>
      <c r="K75" s="909"/>
      <c r="L75" s="184"/>
      <c r="M75" s="184"/>
      <c r="N75" s="184"/>
      <c r="O75" s="184"/>
      <c r="P75" s="184"/>
      <c r="Q75" s="184"/>
      <c r="R75" s="184"/>
      <c r="S75" s="184"/>
      <c r="T75" s="184"/>
      <c r="U75" s="909"/>
      <c r="V75" s="909"/>
      <c r="W75" s="909"/>
      <c r="X75" s="909"/>
      <c r="Y75" s="909"/>
      <c r="Z75" s="909"/>
      <c r="AA75" s="909"/>
      <c r="AB75" s="909"/>
      <c r="AC75" s="909"/>
      <c r="AD75" s="909"/>
      <c r="AE75" s="909"/>
      <c r="AF75" s="909"/>
      <c r="AG75" s="909"/>
    </row>
    <row r="76" spans="1:33" s="117" customFormat="1" ht="17.25" customHeight="1" outlineLevel="2">
      <c r="A76" s="909"/>
      <c r="B76" s="184"/>
      <c r="C76" s="641" t="s">
        <v>765</v>
      </c>
      <c r="D76" s="293"/>
      <c r="E76" s="8" t="str">
        <f>Currency_Label</f>
        <v>USD</v>
      </c>
      <c r="F76" s="271"/>
      <c r="G76" s="269"/>
      <c r="H76" s="70">
        <f t="shared" si="9"/>
        <v>0</v>
      </c>
      <c r="I76" s="909"/>
      <c r="J76" s="909"/>
      <c r="K76" s="909"/>
      <c r="L76" s="184"/>
      <c r="M76" s="184"/>
      <c r="N76" s="184"/>
      <c r="O76" s="184"/>
      <c r="P76" s="184"/>
      <c r="Q76" s="184"/>
      <c r="R76" s="184"/>
      <c r="S76" s="184"/>
      <c r="T76" s="184"/>
      <c r="U76" s="909"/>
      <c r="V76" s="909"/>
      <c r="W76" s="909"/>
      <c r="X76" s="909"/>
      <c r="Y76" s="909"/>
      <c r="Z76" s="909"/>
      <c r="AA76" s="909"/>
      <c r="AB76" s="909"/>
      <c r="AC76" s="909"/>
      <c r="AD76" s="909"/>
      <c r="AE76" s="909"/>
      <c r="AF76" s="909"/>
      <c r="AG76" s="909"/>
    </row>
    <row r="77" spans="1:33" s="203" customFormat="1" ht="15" customHeight="1" outlineLevel="2">
      <c r="A77" s="909"/>
      <c r="B77" s="184"/>
      <c r="C77" s="290"/>
      <c r="D77" s="184"/>
      <c r="E77" s="304"/>
      <c r="F77" s="290"/>
      <c r="G77" s="303"/>
      <c r="H77" s="303"/>
      <c r="I77" s="909"/>
      <c r="J77" s="909"/>
      <c r="K77" s="909"/>
      <c r="L77" s="293"/>
      <c r="M77" s="184"/>
      <c r="N77" s="184"/>
      <c r="O77" s="184"/>
      <c r="P77" s="184"/>
      <c r="Q77" s="184"/>
      <c r="R77" s="184"/>
      <c r="S77" s="184"/>
      <c r="T77" s="184"/>
      <c r="U77" s="909"/>
      <c r="V77" s="909"/>
      <c r="W77" s="909"/>
      <c r="X77" s="909"/>
      <c r="Y77" s="909"/>
      <c r="Z77" s="909"/>
      <c r="AA77" s="909"/>
      <c r="AB77" s="909"/>
      <c r="AC77" s="909"/>
      <c r="AD77" s="909"/>
      <c r="AE77" s="909"/>
      <c r="AF77" s="909"/>
      <c r="AG77" s="909"/>
    </row>
    <row r="78" spans="1:33" s="203" customFormat="1" ht="21" customHeight="1" outlineLevel="2">
      <c r="A78" s="909"/>
      <c r="B78" s="291"/>
      <c r="C78" s="298" t="s">
        <v>270</v>
      </c>
      <c r="D78" s="184"/>
      <c r="E78" s="304"/>
      <c r="F78" s="290"/>
      <c r="G78" s="303"/>
      <c r="H78" s="303"/>
      <c r="I78" s="303"/>
      <c r="J78" s="303"/>
      <c r="K78" s="184"/>
      <c r="L78" s="293"/>
      <c r="M78" s="293"/>
      <c r="N78" s="293"/>
      <c r="O78" s="293"/>
      <c r="P78" s="293"/>
      <c r="Q78" s="184"/>
      <c r="R78" s="184"/>
      <c r="S78" s="184"/>
      <c r="T78" s="184"/>
      <c r="U78" s="909"/>
      <c r="V78" s="909"/>
      <c r="W78" s="909"/>
      <c r="X78" s="909"/>
      <c r="Y78" s="909"/>
      <c r="Z78" s="909"/>
      <c r="AA78" s="909"/>
      <c r="AB78" s="909"/>
      <c r="AC78" s="909"/>
      <c r="AD78" s="909"/>
      <c r="AE78" s="909"/>
      <c r="AF78" s="909"/>
      <c r="AG78" s="909"/>
    </row>
    <row r="79" spans="1:33" s="203" customFormat="1" ht="17.25" customHeight="1" outlineLevel="2">
      <c r="A79" s="909"/>
      <c r="B79" s="184"/>
      <c r="C79" s="40" t="s">
        <v>269</v>
      </c>
      <c r="D79" s="184"/>
      <c r="E79" s="8" t="s">
        <v>268</v>
      </c>
      <c r="F79" s="1028">
        <v>0.25</v>
      </c>
      <c r="G79" s="304" t="s">
        <v>271</v>
      </c>
      <c r="H79" s="303"/>
      <c r="I79" s="303"/>
      <c r="J79" s="303"/>
      <c r="K79" s="184"/>
      <c r="L79" s="293"/>
      <c r="M79" s="293"/>
      <c r="N79" s="293"/>
      <c r="O79" s="293"/>
      <c r="P79" s="293"/>
      <c r="Q79" s="184"/>
      <c r="R79" s="184"/>
      <c r="S79" s="184"/>
      <c r="T79" s="184"/>
      <c r="U79" s="909"/>
      <c r="V79" s="909"/>
      <c r="W79" s="909"/>
      <c r="X79" s="909"/>
      <c r="Y79" s="909"/>
      <c r="Z79" s="909"/>
      <c r="AA79" s="909"/>
      <c r="AB79" s="909"/>
      <c r="AC79" s="909"/>
      <c r="AD79" s="909"/>
      <c r="AE79" s="909"/>
      <c r="AF79" s="909"/>
      <c r="AG79" s="909"/>
    </row>
    <row r="80" spans="1:33" s="649" customFormat="1" ht="21" customHeight="1" outlineLevel="2">
      <c r="A80" s="909"/>
      <c r="B80" s="293"/>
      <c r="C80" s="298"/>
      <c r="D80" s="293"/>
      <c r="E80" s="304"/>
      <c r="F80" s="290"/>
      <c r="G80" s="303"/>
      <c r="H80" s="303"/>
      <c r="I80" s="303"/>
      <c r="J80" s="303"/>
      <c r="K80" s="293"/>
      <c r="L80" s="293"/>
      <c r="M80" s="184"/>
      <c r="N80" s="304"/>
      <c r="O80" s="293"/>
      <c r="P80" s="322"/>
      <c r="Q80" s="309"/>
      <c r="R80" s="309"/>
      <c r="S80" s="293"/>
      <c r="T80" s="293"/>
      <c r="U80" s="909"/>
      <c r="V80" s="909"/>
      <c r="W80" s="909"/>
      <c r="X80" s="909"/>
      <c r="Y80" s="909"/>
      <c r="Z80" s="909"/>
      <c r="AA80" s="909"/>
      <c r="AB80" s="909"/>
      <c r="AC80" s="909"/>
      <c r="AD80" s="909"/>
      <c r="AE80" s="909"/>
      <c r="AF80" s="909"/>
      <c r="AG80" s="909"/>
    </row>
    <row r="81" spans="1:33" s="649" customFormat="1" ht="30" customHeight="1" outlineLevel="1">
      <c r="A81" s="909"/>
      <c r="B81" s="293"/>
      <c r="C81" s="298" t="s">
        <v>267</v>
      </c>
      <c r="D81" s="293"/>
      <c r="E81" s="707" t="s">
        <v>282</v>
      </c>
      <c r="F81" s="706" t="str">
        <f>C54</f>
        <v>Management &amp; Administration Staff</v>
      </c>
      <c r="G81" s="706" t="str">
        <f>C60</f>
        <v>Operational Staff</v>
      </c>
      <c r="H81" s="706" t="str">
        <f>C66</f>
        <v>Sales, Marketing &amp; Distribution Staff</v>
      </c>
      <c r="I81" s="706" t="str">
        <f>C72</f>
        <v>Research &amp; Development</v>
      </c>
      <c r="J81" s="293"/>
      <c r="K81" s="293"/>
      <c r="L81" s="293"/>
      <c r="M81" s="293"/>
      <c r="N81" s="304"/>
      <c r="O81" s="293"/>
      <c r="P81" s="322"/>
      <c r="Q81" s="309"/>
      <c r="R81" s="309"/>
      <c r="S81" s="293"/>
      <c r="T81" s="293"/>
      <c r="U81" s="909"/>
      <c r="V81" s="909"/>
      <c r="W81" s="909"/>
      <c r="X81" s="909"/>
      <c r="Y81" s="909"/>
      <c r="Z81" s="909"/>
      <c r="AA81" s="909"/>
      <c r="AB81" s="909"/>
      <c r="AC81" s="909"/>
      <c r="AD81" s="909"/>
      <c r="AE81" s="909"/>
      <c r="AF81" s="909"/>
      <c r="AG81" s="909"/>
    </row>
    <row r="82" spans="1:33" s="649" customFormat="1" ht="17.25" customHeight="1" outlineLevel="2">
      <c r="A82" s="909"/>
      <c r="B82" s="293"/>
      <c r="C82" s="570" t="s">
        <v>272</v>
      </c>
      <c r="D82" s="293"/>
      <c r="E82" s="8" t="str">
        <f>Currency_Label &amp;" per FTE"</f>
        <v>USD per FTE</v>
      </c>
      <c r="F82" s="269">
        <v>5000</v>
      </c>
      <c r="G82" s="269">
        <v>0</v>
      </c>
      <c r="H82" s="269">
        <v>1500</v>
      </c>
      <c r="I82" s="269">
        <v>1000</v>
      </c>
      <c r="J82" s="293"/>
      <c r="K82" s="293"/>
      <c r="L82" s="293"/>
      <c r="M82" s="909"/>
      <c r="N82" s="909"/>
      <c r="O82" s="909"/>
      <c r="P82" s="322"/>
      <c r="Q82" s="309"/>
      <c r="R82" s="309"/>
      <c r="S82" s="293"/>
      <c r="T82" s="293"/>
      <c r="U82" s="909"/>
      <c r="V82" s="909"/>
      <c r="W82" s="909"/>
      <c r="X82" s="909"/>
      <c r="Y82" s="909"/>
      <c r="Z82" s="909"/>
      <c r="AA82" s="909"/>
      <c r="AB82" s="909"/>
      <c r="AC82" s="909"/>
      <c r="AD82" s="909"/>
      <c r="AE82" s="909"/>
      <c r="AF82" s="909"/>
      <c r="AG82" s="909"/>
    </row>
    <row r="83" spans="1:33" s="649" customFormat="1" ht="17.25" customHeight="1" outlineLevel="2">
      <c r="A83" s="909"/>
      <c r="B83" s="293"/>
      <c r="C83" s="641" t="s">
        <v>273</v>
      </c>
      <c r="D83" s="293"/>
      <c r="E83" s="8" t="str">
        <f>Currency_Label &amp;" /FTE/month"</f>
        <v>USD /FTE/month</v>
      </c>
      <c r="F83" s="269">
        <v>500</v>
      </c>
      <c r="G83" s="269">
        <v>150</v>
      </c>
      <c r="H83" s="269">
        <v>550</v>
      </c>
      <c r="I83" s="269">
        <v>100</v>
      </c>
      <c r="J83" s="293"/>
      <c r="K83" s="293"/>
      <c r="L83" s="293"/>
      <c r="M83" s="909"/>
      <c r="N83" s="909"/>
      <c r="O83" s="909"/>
      <c r="P83" s="322"/>
      <c r="Q83" s="309"/>
      <c r="R83" s="309"/>
      <c r="S83" s="293"/>
      <c r="T83" s="293"/>
      <c r="U83" s="909"/>
      <c r="V83" s="909"/>
      <c r="W83" s="909"/>
      <c r="X83" s="909"/>
      <c r="Y83" s="909"/>
      <c r="Z83" s="909"/>
      <c r="AA83" s="909"/>
      <c r="AB83" s="909"/>
      <c r="AC83" s="909"/>
      <c r="AD83" s="909"/>
      <c r="AE83" s="909"/>
      <c r="AF83" s="909"/>
      <c r="AG83" s="909"/>
    </row>
    <row r="84" spans="1:33" s="649" customFormat="1" ht="17.25" customHeight="1" outlineLevel="2">
      <c r="A84" s="909"/>
      <c r="B84" s="293"/>
      <c r="C84" s="641" t="s">
        <v>275</v>
      </c>
      <c r="D84" s="293"/>
      <c r="E84" s="8" t="str">
        <f>Currency_Label &amp;" /FTE/month"</f>
        <v>USD /FTE/month</v>
      </c>
      <c r="F84" s="269">
        <v>100</v>
      </c>
      <c r="G84" s="269">
        <v>50</v>
      </c>
      <c r="H84" s="269">
        <v>100</v>
      </c>
      <c r="I84" s="269">
        <v>50</v>
      </c>
      <c r="J84" s="293"/>
      <c r="K84" s="293"/>
      <c r="L84" s="293"/>
      <c r="M84" s="909"/>
      <c r="N84" s="909"/>
      <c r="O84" s="909"/>
      <c r="P84" s="322"/>
      <c r="Q84" s="309"/>
      <c r="R84" s="309"/>
      <c r="S84" s="293"/>
      <c r="T84" s="293"/>
      <c r="U84" s="909"/>
      <c r="V84" s="909"/>
      <c r="W84" s="909"/>
      <c r="X84" s="909"/>
      <c r="Y84" s="909"/>
      <c r="Z84" s="909"/>
      <c r="AA84" s="909"/>
      <c r="AB84" s="909"/>
      <c r="AC84" s="909"/>
      <c r="AD84" s="909"/>
      <c r="AE84" s="909"/>
      <c r="AF84" s="909"/>
      <c r="AG84" s="909"/>
    </row>
    <row r="85" spans="1:33" s="649" customFormat="1" ht="17.25" customHeight="1" outlineLevel="2">
      <c r="A85" s="909"/>
      <c r="B85" s="293"/>
      <c r="C85" s="641" t="s">
        <v>276</v>
      </c>
      <c r="D85" s="293"/>
      <c r="E85" s="8" t="s">
        <v>268</v>
      </c>
      <c r="F85" s="271">
        <v>0.05</v>
      </c>
      <c r="G85" s="271">
        <v>0.03</v>
      </c>
      <c r="H85" s="271">
        <v>0.02</v>
      </c>
      <c r="I85" s="271">
        <v>0.05</v>
      </c>
      <c r="J85" s="293"/>
      <c r="K85" s="293"/>
      <c r="L85" s="293"/>
      <c r="M85" s="909"/>
      <c r="N85" s="909"/>
      <c r="O85" s="909"/>
      <c r="P85" s="322"/>
      <c r="Q85" s="309"/>
      <c r="R85" s="309"/>
      <c r="S85" s="293"/>
      <c r="T85" s="293"/>
      <c r="U85" s="909"/>
      <c r="V85" s="909"/>
      <c r="W85" s="909"/>
      <c r="X85" s="909"/>
      <c r="Y85" s="909"/>
      <c r="Z85" s="909"/>
      <c r="AA85" s="909"/>
      <c r="AB85" s="909"/>
      <c r="AC85" s="909"/>
      <c r="AD85" s="909"/>
      <c r="AE85" s="909"/>
      <c r="AF85" s="909"/>
      <c r="AG85" s="909"/>
    </row>
    <row r="86" spans="1:33" s="649" customFormat="1" ht="17.25" customHeight="1" outlineLevel="2">
      <c r="A86" s="909"/>
      <c r="B86" s="293"/>
      <c r="C86" s="641" t="s">
        <v>274</v>
      </c>
      <c r="D86" s="293"/>
      <c r="E86" s="8" t="s">
        <v>268</v>
      </c>
      <c r="F86" s="271">
        <v>0.04</v>
      </c>
      <c r="G86" s="271">
        <v>0</v>
      </c>
      <c r="H86" s="271">
        <v>0.05</v>
      </c>
      <c r="I86" s="271">
        <v>0.02</v>
      </c>
      <c r="J86" s="293"/>
      <c r="K86" s="293"/>
      <c r="L86" s="293"/>
      <c r="M86" s="909"/>
      <c r="N86" s="909"/>
      <c r="O86" s="909"/>
      <c r="P86" s="322"/>
      <c r="Q86" s="309"/>
      <c r="R86" s="309"/>
      <c r="S86" s="293"/>
      <c r="T86" s="293"/>
      <c r="U86" s="909"/>
      <c r="V86" s="909"/>
      <c r="W86" s="909"/>
      <c r="X86" s="909"/>
      <c r="Y86" s="909"/>
      <c r="Z86" s="909"/>
      <c r="AA86" s="909"/>
      <c r="AB86" s="909"/>
      <c r="AC86" s="909"/>
      <c r="AD86" s="909"/>
      <c r="AE86" s="909"/>
      <c r="AF86" s="909"/>
      <c r="AG86" s="909"/>
    </row>
    <row r="87" spans="1:33" s="649" customFormat="1" ht="17.25" customHeight="1" outlineLevel="2">
      <c r="A87" s="909"/>
      <c r="B87" s="293"/>
      <c r="C87" s="641" t="s">
        <v>277</v>
      </c>
      <c r="D87" s="293"/>
      <c r="E87" s="8" t="s">
        <v>268</v>
      </c>
      <c r="F87" s="271">
        <v>0</v>
      </c>
      <c r="G87" s="271">
        <v>0</v>
      </c>
      <c r="H87" s="271">
        <v>0</v>
      </c>
      <c r="I87" s="271">
        <v>0</v>
      </c>
      <c r="J87" s="293"/>
      <c r="K87" s="317"/>
      <c r="L87" s="293"/>
      <c r="M87" s="293"/>
      <c r="N87" s="304"/>
      <c r="O87" s="293"/>
      <c r="P87" s="322"/>
      <c r="Q87" s="309"/>
      <c r="R87" s="309"/>
      <c r="S87" s="293"/>
      <c r="T87" s="293"/>
      <c r="U87" s="909"/>
      <c r="V87" s="909"/>
      <c r="W87" s="909"/>
      <c r="X87" s="909"/>
      <c r="Y87" s="909"/>
      <c r="Z87" s="909"/>
      <c r="AA87" s="909"/>
      <c r="AB87" s="909"/>
      <c r="AC87" s="909"/>
      <c r="AD87" s="909"/>
      <c r="AE87" s="909"/>
      <c r="AF87" s="909"/>
      <c r="AG87" s="909"/>
    </row>
    <row r="88" spans="1:33" s="830" customFormat="1" ht="17.25" customHeight="1" outlineLevel="1">
      <c r="A88" s="909"/>
      <c r="B88" s="293"/>
      <c r="C88" s="298"/>
      <c r="D88" s="293"/>
      <c r="E88" s="304"/>
      <c r="F88" s="304" t="str">
        <f>"Other staff costs for division &lt;"&amp;$C$48 &amp;"&gt; to be planned on sheet Costs 02 rows " &amp;ROW('Costs 02'!$C$233) &amp;" ff."</f>
        <v>Other staff costs for division &lt;Direct Labor Staff&gt; to be planned on sheet Costs 02 rows 233 ff.</v>
      </c>
      <c r="G88" s="303"/>
      <c r="H88" s="303"/>
      <c r="I88" s="303"/>
      <c r="J88" s="303"/>
      <c r="K88" s="293"/>
      <c r="L88" s="293"/>
      <c r="M88" s="293"/>
      <c r="N88" s="304"/>
      <c r="O88" s="293"/>
      <c r="P88" s="322"/>
      <c r="Q88" s="309"/>
      <c r="R88" s="309"/>
      <c r="S88" s="293"/>
      <c r="T88" s="293"/>
      <c r="U88" s="909"/>
      <c r="V88" s="909"/>
      <c r="W88" s="909"/>
      <c r="X88" s="909"/>
      <c r="Y88" s="909"/>
      <c r="Z88" s="909"/>
      <c r="AA88" s="909"/>
      <c r="AB88" s="909"/>
      <c r="AC88" s="909"/>
      <c r="AD88" s="909"/>
      <c r="AE88" s="909"/>
      <c r="AF88" s="909"/>
      <c r="AG88" s="909"/>
    </row>
    <row r="89" spans="1:33" s="117" customFormat="1" ht="17.25" customHeight="1">
      <c r="A89" s="909"/>
      <c r="B89" s="184"/>
      <c r="C89" s="290"/>
      <c r="D89" s="184"/>
      <c r="E89" s="184"/>
      <c r="F89" s="304"/>
      <c r="G89" s="184"/>
      <c r="H89" s="184"/>
      <c r="I89" s="184"/>
      <c r="J89" s="293"/>
      <c r="K89" s="184"/>
      <c r="L89" s="184"/>
      <c r="M89" s="184"/>
      <c r="N89" s="184"/>
      <c r="O89" s="184"/>
      <c r="P89" s="184"/>
      <c r="Q89" s="184"/>
      <c r="R89" s="184"/>
      <c r="S89" s="184"/>
      <c r="T89" s="184"/>
      <c r="U89" s="909"/>
      <c r="V89" s="909"/>
      <c r="W89" s="909"/>
      <c r="X89" s="909"/>
      <c r="Y89" s="909"/>
      <c r="Z89" s="909"/>
      <c r="AA89" s="909"/>
      <c r="AB89" s="909"/>
      <c r="AC89" s="909"/>
      <c r="AD89" s="909"/>
      <c r="AE89" s="909"/>
      <c r="AF89" s="909"/>
      <c r="AG89" s="909"/>
    </row>
    <row r="90" spans="1:33" s="72" customFormat="1" ht="24.75" customHeight="1" thickBot="1">
      <c r="A90" s="289"/>
      <c r="B90" s="289"/>
      <c r="C90" s="289" t="s">
        <v>373</v>
      </c>
      <c r="D90" s="289"/>
      <c r="E90" s="289"/>
      <c r="F90" s="289"/>
      <c r="G90" s="289"/>
      <c r="H90" s="289"/>
      <c r="I90" s="289"/>
      <c r="J90" s="289"/>
      <c r="K90" s="289"/>
      <c r="L90" s="289"/>
      <c r="M90" s="289"/>
      <c r="N90" s="289"/>
      <c r="O90" s="289"/>
      <c r="P90" s="184"/>
      <c r="Q90" s="184"/>
      <c r="R90" s="184"/>
      <c r="S90" s="184"/>
      <c r="T90" s="184"/>
      <c r="U90" s="909"/>
      <c r="V90" s="909"/>
      <c r="W90" s="909"/>
      <c r="X90" s="909"/>
      <c r="Y90" s="909"/>
      <c r="Z90" s="909"/>
      <c r="AA90" s="909"/>
      <c r="AB90" s="909"/>
      <c r="AC90" s="909"/>
      <c r="AD90" s="909"/>
      <c r="AE90" s="909"/>
      <c r="AF90" s="909"/>
      <c r="AG90" s="909"/>
    </row>
    <row r="91" spans="1:33" s="72" customFormat="1" ht="20.25" outlineLevel="1">
      <c r="A91" s="909"/>
      <c r="B91" s="184"/>
      <c r="C91" s="298" t="s">
        <v>396</v>
      </c>
      <c r="D91" s="909"/>
      <c r="E91" s="909"/>
      <c r="F91" s="909"/>
      <c r="G91" s="909"/>
      <c r="H91" s="184"/>
      <c r="I91" s="184"/>
      <c r="J91" s="184"/>
      <c r="K91" s="184"/>
      <c r="L91" s="184"/>
      <c r="M91" s="184"/>
      <c r="N91" s="184"/>
      <c r="O91" s="184"/>
      <c r="P91" s="184"/>
      <c r="Q91" s="184"/>
      <c r="R91" s="184"/>
      <c r="S91" s="184"/>
      <c r="T91" s="184"/>
      <c r="U91" s="909"/>
      <c r="V91" s="909"/>
      <c r="W91" s="909"/>
      <c r="X91" s="909"/>
      <c r="Y91" s="909"/>
      <c r="Z91" s="909"/>
      <c r="AA91" s="909"/>
      <c r="AB91" s="909"/>
      <c r="AC91" s="909"/>
      <c r="AD91" s="909"/>
      <c r="AE91" s="909"/>
      <c r="AF91" s="909"/>
      <c r="AG91" s="909"/>
    </row>
    <row r="92" spans="1:33" s="203" customFormat="1" ht="15" outlineLevel="1">
      <c r="A92" s="909"/>
      <c r="B92" s="184"/>
      <c r="C92" s="291" t="s">
        <v>547</v>
      </c>
      <c r="D92" s="184"/>
      <c r="E92" s="184"/>
      <c r="F92" s="184"/>
      <c r="G92" s="184"/>
      <c r="H92" s="184"/>
      <c r="I92" s="184"/>
      <c r="J92" s="184"/>
      <c r="K92" s="909"/>
      <c r="L92" s="909"/>
      <c r="M92" s="909"/>
      <c r="N92" s="909"/>
      <c r="O92" s="184"/>
      <c r="P92" s="184"/>
      <c r="Q92" s="184"/>
      <c r="R92" s="184"/>
      <c r="S92" s="184"/>
      <c r="T92" s="184"/>
      <c r="U92" s="909"/>
      <c r="V92" s="909"/>
      <c r="W92" s="909"/>
      <c r="X92" s="909"/>
      <c r="Y92" s="909"/>
      <c r="Z92" s="909"/>
      <c r="AA92" s="909"/>
      <c r="AB92" s="909"/>
      <c r="AC92" s="909"/>
      <c r="AD92" s="909"/>
      <c r="AE92" s="909"/>
      <c r="AF92" s="909"/>
      <c r="AG92" s="909"/>
    </row>
    <row r="93" spans="1:33" s="89" customFormat="1" ht="15.75" customHeight="1" outlineLevel="2">
      <c r="A93" s="909"/>
      <c r="B93" s="184"/>
      <c r="C93" s="40" t="s">
        <v>684</v>
      </c>
      <c r="D93" s="184"/>
      <c r="E93" s="8" t="str">
        <f>Currency_Label</f>
        <v>USD</v>
      </c>
      <c r="F93" s="269">
        <v>75000</v>
      </c>
      <c r="G93" s="184"/>
      <c r="H93" s="697" t="s">
        <v>546</v>
      </c>
      <c r="I93" s="799">
        <v>0</v>
      </c>
      <c r="J93" s="184"/>
      <c r="K93" s="184"/>
      <c r="L93" s="184"/>
      <c r="M93" s="184"/>
      <c r="N93" s="184"/>
      <c r="O93" s="184"/>
      <c r="P93" s="184"/>
      <c r="Q93" s="184"/>
      <c r="R93" s="184"/>
      <c r="S93" s="184"/>
      <c r="T93" s="184"/>
      <c r="U93" s="909"/>
      <c r="V93" s="909"/>
      <c r="W93" s="909"/>
      <c r="X93" s="909"/>
      <c r="Y93" s="909"/>
      <c r="Z93" s="909"/>
      <c r="AA93" s="909"/>
      <c r="AB93" s="909"/>
      <c r="AC93" s="909"/>
      <c r="AD93" s="909"/>
      <c r="AE93" s="909"/>
      <c r="AF93" s="909"/>
      <c r="AG93" s="909"/>
    </row>
    <row r="94" spans="1:33" s="203" customFormat="1" ht="15.75" customHeight="1" outlineLevel="2">
      <c r="A94" s="909"/>
      <c r="B94" s="184"/>
      <c r="C94" s="291" t="s">
        <v>548</v>
      </c>
      <c r="D94" s="184"/>
      <c r="E94" s="184"/>
      <c r="F94" s="184"/>
      <c r="G94" s="184"/>
      <c r="H94" s="567"/>
      <c r="I94" s="184"/>
      <c r="J94" s="184"/>
      <c r="K94" s="184"/>
      <c r="L94" s="184"/>
      <c r="M94" s="184"/>
      <c r="N94" s="184"/>
      <c r="O94" s="184"/>
      <c r="P94" s="184"/>
      <c r="Q94" s="184"/>
      <c r="R94" s="184"/>
      <c r="S94" s="184"/>
      <c r="T94" s="184"/>
      <c r="U94" s="909"/>
      <c r="V94" s="909"/>
      <c r="W94" s="909"/>
      <c r="X94" s="909"/>
      <c r="Y94" s="909"/>
      <c r="Z94" s="909"/>
      <c r="AA94" s="909"/>
      <c r="AB94" s="909"/>
      <c r="AC94" s="909"/>
      <c r="AD94" s="909"/>
      <c r="AE94" s="909"/>
      <c r="AF94" s="909"/>
      <c r="AG94" s="909"/>
    </row>
    <row r="95" spans="1:33" s="203" customFormat="1" ht="15.75" customHeight="1" outlineLevel="2">
      <c r="A95" s="909"/>
      <c r="B95" s="184"/>
      <c r="C95" s="40" t="s">
        <v>683</v>
      </c>
      <c r="D95" s="184"/>
      <c r="E95" s="8" t="str">
        <f>Currency_Label</f>
        <v>USD</v>
      </c>
      <c r="F95" s="269">
        <v>0</v>
      </c>
      <c r="G95" s="184"/>
      <c r="H95" s="697" t="s">
        <v>843</v>
      </c>
      <c r="I95" s="980">
        <v>42461</v>
      </c>
      <c r="J95" s="184"/>
      <c r="K95" s="184"/>
      <c r="L95" s="184"/>
      <c r="M95" s="184"/>
      <c r="N95" s="184"/>
      <c r="O95" s="184"/>
      <c r="P95" s="184"/>
      <c r="Q95" s="184"/>
      <c r="R95" s="184"/>
      <c r="S95" s="184"/>
      <c r="T95" s="184"/>
      <c r="U95" s="909"/>
      <c r="V95" s="909"/>
      <c r="W95" s="909"/>
      <c r="X95" s="909"/>
      <c r="Y95" s="909"/>
      <c r="Z95" s="909"/>
      <c r="AA95" s="909"/>
      <c r="AB95" s="909"/>
      <c r="AC95" s="909"/>
      <c r="AD95" s="909"/>
      <c r="AE95" s="909"/>
      <c r="AF95" s="909"/>
      <c r="AG95" s="909"/>
    </row>
    <row r="96" spans="1:33" s="72" customFormat="1" ht="9.75" customHeight="1" outlineLevel="2">
      <c r="A96" s="909"/>
      <c r="B96" s="184"/>
      <c r="C96" s="290"/>
      <c r="D96" s="184"/>
      <c r="E96" s="184"/>
      <c r="F96" s="184"/>
      <c r="G96" s="184"/>
      <c r="H96" s="184"/>
      <c r="I96" s="184"/>
      <c r="J96" s="184"/>
      <c r="K96" s="184"/>
      <c r="L96" s="184"/>
      <c r="M96" s="184"/>
      <c r="N96" s="184"/>
      <c r="O96" s="184"/>
      <c r="P96" s="184"/>
      <c r="Q96" s="184"/>
      <c r="R96" s="184"/>
      <c r="S96" s="184"/>
      <c r="T96" s="184"/>
      <c r="U96" s="909"/>
      <c r="V96" s="909"/>
      <c r="W96" s="909"/>
      <c r="X96" s="909"/>
      <c r="Y96" s="909"/>
      <c r="Z96" s="909"/>
      <c r="AA96" s="909"/>
      <c r="AB96" s="909"/>
      <c r="AC96" s="909"/>
      <c r="AD96" s="909"/>
      <c r="AE96" s="909"/>
      <c r="AF96" s="909"/>
      <c r="AG96" s="909"/>
    </row>
    <row r="97" spans="1:33" s="72" customFormat="1" ht="20.25" outlineLevel="1">
      <c r="A97" s="909"/>
      <c r="B97" s="184"/>
      <c r="C97" s="298" t="s">
        <v>395</v>
      </c>
      <c r="D97" s="184"/>
      <c r="E97" s="304"/>
      <c r="F97" s="184"/>
      <c r="G97" s="184"/>
      <c r="H97" s="184"/>
      <c r="I97" s="184"/>
      <c r="J97" s="184"/>
      <c r="K97" s="184"/>
      <c r="L97" s="184"/>
      <c r="M97" s="184"/>
      <c r="N97" s="184"/>
      <c r="O97" s="184"/>
      <c r="P97" s="184"/>
      <c r="Q97" s="184"/>
      <c r="R97" s="184"/>
      <c r="S97" s="184"/>
      <c r="T97" s="184"/>
      <c r="U97" s="909"/>
      <c r="V97" s="909"/>
      <c r="W97" s="909"/>
      <c r="X97" s="909"/>
      <c r="Y97" s="909"/>
      <c r="Z97" s="909"/>
      <c r="AA97" s="909"/>
      <c r="AB97" s="909"/>
      <c r="AC97" s="909"/>
      <c r="AD97" s="909"/>
      <c r="AE97" s="909"/>
      <c r="AF97" s="909"/>
      <c r="AG97" s="909"/>
    </row>
    <row r="98" spans="1:33" s="117" customFormat="1" ht="15" outlineLevel="2">
      <c r="A98" s="909"/>
      <c r="B98" s="308" t="s">
        <v>33</v>
      </c>
      <c r="C98" s="291" t="s">
        <v>549</v>
      </c>
      <c r="D98" s="184"/>
      <c r="E98" s="304" t="s">
        <v>564</v>
      </c>
      <c r="F98" s="184" t="s">
        <v>565</v>
      </c>
      <c r="G98" s="184"/>
      <c r="H98" s="184"/>
      <c r="I98" s="184"/>
      <c r="J98" s="184"/>
      <c r="K98" s="184"/>
      <c r="L98" s="184"/>
      <c r="M98" s="184"/>
      <c r="N98" s="184"/>
      <c r="O98" s="184"/>
      <c r="P98" s="184"/>
      <c r="Q98" s="184"/>
      <c r="R98" s="184"/>
      <c r="S98" s="184"/>
      <c r="T98" s="184"/>
      <c r="U98" s="909"/>
      <c r="V98" s="909"/>
      <c r="W98" s="909"/>
      <c r="X98" s="909"/>
      <c r="Y98" s="909"/>
      <c r="Z98" s="909"/>
      <c r="AA98" s="909"/>
      <c r="AB98" s="909"/>
      <c r="AC98" s="909"/>
      <c r="AD98" s="909"/>
      <c r="AE98" s="909"/>
      <c r="AF98" s="909"/>
      <c r="AG98" s="909"/>
    </row>
    <row r="99" spans="1:33" s="117" customFormat="1" ht="17.25" customHeight="1" outlineLevel="2">
      <c r="A99" s="909"/>
      <c r="B99" s="184"/>
      <c r="C99" s="40" t="s">
        <v>552</v>
      </c>
      <c r="D99" s="293"/>
      <c r="E99" s="8" t="s">
        <v>51</v>
      </c>
      <c r="F99" s="1029" t="s">
        <v>919</v>
      </c>
      <c r="G99" s="1037"/>
      <c r="H99" s="184"/>
      <c r="I99" s="184"/>
      <c r="J99" s="184"/>
      <c r="K99" s="184"/>
      <c r="L99" s="184"/>
      <c r="M99" s="184"/>
      <c r="N99" s="184"/>
      <c r="O99" s="184"/>
      <c r="P99" s="184"/>
      <c r="Q99" s="184"/>
      <c r="R99" s="184"/>
      <c r="S99" s="184"/>
      <c r="T99" s="184"/>
      <c r="U99" s="909"/>
      <c r="V99" s="909"/>
      <c r="W99" s="909"/>
      <c r="X99" s="909"/>
      <c r="Y99" s="909"/>
      <c r="Z99" s="909"/>
      <c r="AA99" s="909"/>
      <c r="AB99" s="909"/>
      <c r="AC99" s="909"/>
      <c r="AD99" s="909"/>
      <c r="AE99" s="909"/>
      <c r="AF99" s="909"/>
      <c r="AG99" s="909"/>
    </row>
    <row r="100" spans="1:33" s="117" customFormat="1" ht="17.25" customHeight="1" outlineLevel="2">
      <c r="A100" s="909"/>
      <c r="B100" s="184"/>
      <c r="C100" s="40" t="s">
        <v>566</v>
      </c>
      <c r="D100" s="184"/>
      <c r="E100" s="73" t="s">
        <v>133</v>
      </c>
      <c r="F100" s="1038">
        <v>1</v>
      </c>
      <c r="G100" s="926" t="s">
        <v>567</v>
      </c>
      <c r="H100" s="184"/>
      <c r="I100" s="184"/>
      <c r="J100" s="184"/>
      <c r="K100" s="184"/>
      <c r="L100" s="184"/>
      <c r="M100" s="184"/>
      <c r="N100" s="184"/>
      <c r="O100" s="184"/>
      <c r="P100" s="184"/>
      <c r="Q100" s="184"/>
      <c r="R100" s="184"/>
      <c r="S100" s="184"/>
      <c r="T100" s="184"/>
      <c r="U100" s="909"/>
      <c r="V100" s="909"/>
      <c r="W100" s="909"/>
      <c r="X100" s="909"/>
      <c r="Y100" s="909"/>
      <c r="Z100" s="909"/>
      <c r="AA100" s="909"/>
      <c r="AB100" s="909"/>
      <c r="AC100" s="909"/>
      <c r="AD100" s="909"/>
      <c r="AE100" s="909"/>
      <c r="AF100" s="909"/>
      <c r="AG100" s="909"/>
    </row>
    <row r="101" spans="1:33" s="117" customFormat="1" ht="17.25" customHeight="1" outlineLevel="2">
      <c r="A101" s="909"/>
      <c r="B101" s="184"/>
      <c r="C101" s="40" t="s">
        <v>568</v>
      </c>
      <c r="D101" s="184"/>
      <c r="E101" s="8" t="str">
        <f>Currency_Label</f>
        <v>USD</v>
      </c>
      <c r="F101" s="269">
        <v>80000</v>
      </c>
      <c r="G101" s="70">
        <f>F100*F101</f>
        <v>80000</v>
      </c>
      <c r="H101" s="312"/>
      <c r="I101" s="184"/>
      <c r="J101" s="184"/>
      <c r="K101" s="184"/>
      <c r="L101" s="184"/>
      <c r="M101" s="184"/>
      <c r="N101" s="184"/>
      <c r="O101" s="184"/>
      <c r="P101" s="184"/>
      <c r="Q101" s="184"/>
      <c r="R101" s="184"/>
      <c r="S101" s="184"/>
      <c r="T101" s="184"/>
      <c r="U101" s="909"/>
      <c r="V101" s="909"/>
      <c r="W101" s="909"/>
      <c r="X101" s="909"/>
      <c r="Y101" s="909"/>
      <c r="Z101" s="909"/>
      <c r="AA101" s="909"/>
      <c r="AB101" s="909"/>
      <c r="AC101" s="909"/>
      <c r="AD101" s="909"/>
      <c r="AE101" s="909"/>
      <c r="AF101" s="909"/>
      <c r="AG101" s="909"/>
    </row>
    <row r="102" spans="1:33" s="117" customFormat="1" ht="17.25" customHeight="1" outlineLevel="2">
      <c r="A102" s="909"/>
      <c r="B102" s="184"/>
      <c r="C102" s="291" t="str">
        <f>"Timing "&amp;$F$99</f>
        <v>Timing UL Bank</v>
      </c>
      <c r="D102" s="184"/>
      <c r="E102" s="184"/>
      <c r="F102" s="184"/>
      <c r="G102" s="184"/>
      <c r="H102" s="184"/>
      <c r="I102" s="184"/>
      <c r="J102" s="184"/>
      <c r="K102" s="184"/>
      <c r="L102" s="184"/>
      <c r="M102" s="184"/>
      <c r="N102" s="184"/>
      <c r="O102" s="184"/>
      <c r="P102" s="184"/>
      <c r="Q102" s="184"/>
      <c r="R102" s="184"/>
      <c r="S102" s="184"/>
      <c r="T102" s="184"/>
      <c r="U102" s="909"/>
      <c r="V102" s="909"/>
      <c r="W102" s="909"/>
      <c r="X102" s="909"/>
      <c r="Y102" s="909"/>
      <c r="Z102" s="909"/>
      <c r="AA102" s="909"/>
      <c r="AB102" s="909"/>
      <c r="AC102" s="909"/>
      <c r="AD102" s="909"/>
      <c r="AE102" s="909"/>
      <c r="AF102" s="909"/>
      <c r="AG102" s="909"/>
    </row>
    <row r="103" spans="1:33" s="117" customFormat="1" ht="17.25" customHeight="1" outlineLevel="2">
      <c r="A103" s="909"/>
      <c r="B103" s="184"/>
      <c r="C103" s="800" t="s">
        <v>569</v>
      </c>
      <c r="D103" s="184"/>
      <c r="E103" s="8" t="s">
        <v>577</v>
      </c>
      <c r="F103" s="744">
        <v>12</v>
      </c>
      <c r="G103" s="184"/>
      <c r="H103" s="184"/>
      <c r="I103" s="184"/>
      <c r="J103" s="184"/>
      <c r="K103" s="184"/>
      <c r="L103" s="184"/>
      <c r="M103" s="184"/>
      <c r="N103" s="184"/>
      <c r="O103" s="184"/>
      <c r="P103" s="184"/>
      <c r="Q103" s="184"/>
      <c r="R103" s="184"/>
      <c r="S103" s="184"/>
      <c r="T103" s="184"/>
      <c r="U103" s="909"/>
      <c r="V103" s="909"/>
      <c r="W103" s="909"/>
      <c r="X103" s="909"/>
      <c r="Y103" s="909"/>
      <c r="Z103" s="909"/>
      <c r="AA103" s="909"/>
      <c r="AB103" s="909"/>
      <c r="AC103" s="909"/>
      <c r="AD103" s="909"/>
      <c r="AE103" s="909"/>
      <c r="AF103" s="909"/>
      <c r="AG103" s="909"/>
    </row>
    <row r="104" spans="1:33" s="117" customFormat="1" ht="17.25" customHeight="1" outlineLevel="2">
      <c r="A104" s="909"/>
      <c r="B104" s="184"/>
      <c r="C104" s="800" t="s">
        <v>570</v>
      </c>
      <c r="D104" s="184"/>
      <c r="E104" s="8" t="s">
        <v>76</v>
      </c>
      <c r="F104" s="801">
        <f>EOMONTH(Startdatum,F103-1)</f>
        <v>43890</v>
      </c>
      <c r="G104" s="184"/>
      <c r="H104" s="312"/>
      <c r="I104" s="184"/>
      <c r="J104" s="184"/>
      <c r="K104" s="184"/>
      <c r="L104" s="184"/>
      <c r="M104" s="184"/>
      <c r="N104" s="184"/>
      <c r="O104" s="184"/>
      <c r="P104" s="184"/>
      <c r="Q104" s="184"/>
      <c r="R104" s="184"/>
      <c r="S104" s="184"/>
      <c r="T104" s="184"/>
      <c r="U104" s="909"/>
      <c r="V104" s="909"/>
      <c r="W104" s="909"/>
      <c r="X104" s="909"/>
      <c r="Y104" s="909"/>
      <c r="Z104" s="909"/>
      <c r="AA104" s="909"/>
      <c r="AB104" s="909"/>
      <c r="AC104" s="909"/>
      <c r="AD104" s="909"/>
      <c r="AE104" s="909"/>
      <c r="AF104" s="909"/>
      <c r="AG104" s="909"/>
    </row>
    <row r="105" spans="1:33" s="117" customFormat="1" ht="17.25" customHeight="1" outlineLevel="2">
      <c r="A105" s="909"/>
      <c r="B105" s="184"/>
      <c r="C105" s="800" t="s">
        <v>571</v>
      </c>
      <c r="D105" s="184"/>
      <c r="E105" s="74" t="s">
        <v>576</v>
      </c>
      <c r="F105" s="933">
        <v>10</v>
      </c>
      <c r="G105" s="802">
        <f>F105*months_yr</f>
        <v>120</v>
      </c>
      <c r="H105" s="290"/>
      <c r="I105" s="909"/>
      <c r="J105" s="184"/>
      <c r="K105" s="184"/>
      <c r="L105" s="184"/>
      <c r="M105" s="184"/>
      <c r="N105" s="184"/>
      <c r="O105" s="184"/>
      <c r="P105" s="184"/>
      <c r="Q105" s="184"/>
      <c r="R105" s="184"/>
      <c r="S105" s="184"/>
      <c r="T105" s="184"/>
      <c r="U105" s="909"/>
      <c r="V105" s="909"/>
      <c r="W105" s="909"/>
      <c r="X105" s="909"/>
      <c r="Y105" s="909"/>
      <c r="Z105" s="909"/>
      <c r="AA105" s="909"/>
      <c r="AB105" s="909"/>
      <c r="AC105" s="909"/>
      <c r="AD105" s="909"/>
      <c r="AE105" s="909"/>
      <c r="AF105" s="909"/>
      <c r="AG105" s="909"/>
    </row>
    <row r="106" spans="1:33" s="117" customFormat="1" ht="17.25" customHeight="1" outlineLevel="2">
      <c r="A106" s="909"/>
      <c r="B106" s="184"/>
      <c r="C106" s="570" t="s">
        <v>572</v>
      </c>
      <c r="D106" s="184"/>
      <c r="E106" s="74" t="s">
        <v>133</v>
      </c>
      <c r="F106" s="744">
        <v>6</v>
      </c>
      <c r="G106" s="184"/>
      <c r="H106" s="314"/>
      <c r="I106" s="184"/>
      <c r="J106" s="184"/>
      <c r="K106" s="184"/>
      <c r="L106" s="184"/>
      <c r="M106" s="184"/>
      <c r="N106" s="184"/>
      <c r="O106" s="184"/>
      <c r="P106" s="184"/>
      <c r="Q106" s="184"/>
      <c r="R106" s="184"/>
      <c r="S106" s="184"/>
      <c r="T106" s="184"/>
      <c r="U106" s="909"/>
      <c r="V106" s="909"/>
      <c r="W106" s="909"/>
      <c r="X106" s="909"/>
      <c r="Y106" s="909"/>
      <c r="Z106" s="909"/>
      <c r="AA106" s="909"/>
      <c r="AB106" s="909"/>
      <c r="AC106" s="909"/>
      <c r="AD106" s="909"/>
      <c r="AE106" s="909"/>
      <c r="AF106" s="909"/>
      <c r="AG106" s="909"/>
    </row>
    <row r="107" spans="1:33" s="117" customFormat="1" ht="17.25" customHeight="1" outlineLevel="2">
      <c r="A107" s="909"/>
      <c r="B107" s="184"/>
      <c r="C107" s="68" t="s">
        <v>573</v>
      </c>
      <c r="D107" s="184"/>
      <c r="E107" s="74" t="s">
        <v>76</v>
      </c>
      <c r="F107" s="801">
        <f>EDATE(F104,F106)+1</f>
        <v>44073</v>
      </c>
      <c r="G107" s="184"/>
      <c r="H107" s="184"/>
      <c r="I107" s="184"/>
      <c r="J107" s="184"/>
      <c r="K107" s="184"/>
      <c r="L107" s="184"/>
      <c r="M107" s="184"/>
      <c r="N107" s="184"/>
      <c r="O107" s="184"/>
      <c r="P107" s="184"/>
      <c r="Q107" s="184"/>
      <c r="R107" s="184"/>
      <c r="S107" s="184"/>
      <c r="T107" s="184"/>
      <c r="U107" s="909"/>
      <c r="V107" s="909"/>
      <c r="W107" s="909"/>
      <c r="X107" s="909"/>
      <c r="Y107" s="909"/>
      <c r="Z107" s="909"/>
      <c r="AA107" s="909"/>
      <c r="AB107" s="909"/>
      <c r="AC107" s="909"/>
      <c r="AD107" s="909"/>
      <c r="AE107" s="909"/>
      <c r="AF107" s="909"/>
      <c r="AG107" s="909"/>
    </row>
    <row r="108" spans="1:33" s="117" customFormat="1" ht="17.25" customHeight="1" outlineLevel="2">
      <c r="A108" s="909"/>
      <c r="B108" s="184"/>
      <c r="C108" s="800" t="s">
        <v>574</v>
      </c>
      <c r="D108" s="184"/>
      <c r="E108" s="74" t="s">
        <v>76</v>
      </c>
      <c r="F108" s="801">
        <f>EDATE(F104,G105)</f>
        <v>47542</v>
      </c>
      <c r="G108" s="184"/>
      <c r="H108" s="184"/>
      <c r="I108" s="184"/>
      <c r="J108" s="184"/>
      <c r="K108" s="184"/>
      <c r="L108" s="184"/>
      <c r="M108" s="184"/>
      <c r="N108" s="184"/>
      <c r="O108" s="184"/>
      <c r="P108" s="184"/>
      <c r="Q108" s="184"/>
      <c r="R108" s="184"/>
      <c r="S108" s="184"/>
      <c r="T108" s="184"/>
      <c r="U108" s="909"/>
      <c r="V108" s="909"/>
      <c r="W108" s="909"/>
      <c r="X108" s="909"/>
      <c r="Y108" s="909"/>
      <c r="Z108" s="909"/>
      <c r="AA108" s="909"/>
      <c r="AB108" s="909"/>
      <c r="AC108" s="909"/>
      <c r="AD108" s="909"/>
      <c r="AE108" s="909"/>
      <c r="AF108" s="909"/>
      <c r="AG108" s="909"/>
    </row>
    <row r="109" spans="1:33" s="117" customFormat="1" ht="17.25" customHeight="1" outlineLevel="2">
      <c r="A109" s="909"/>
      <c r="B109" s="184"/>
      <c r="C109" s="800" t="s">
        <v>575</v>
      </c>
      <c r="D109" s="184"/>
      <c r="E109" s="74" t="s">
        <v>39</v>
      </c>
      <c r="F109" s="70">
        <f>(G105-F106)/3</f>
        <v>38</v>
      </c>
      <c r="G109" s="290"/>
      <c r="H109" s="290"/>
      <c r="I109" s="184"/>
      <c r="J109" s="184"/>
      <c r="K109" s="184"/>
      <c r="L109" s="184"/>
      <c r="M109" s="184"/>
      <c r="N109" s="184"/>
      <c r="O109" s="184"/>
      <c r="P109" s="184"/>
      <c r="Q109" s="184"/>
      <c r="R109" s="184"/>
      <c r="S109" s="184"/>
      <c r="T109" s="184"/>
      <c r="U109" s="909"/>
      <c r="V109" s="909"/>
      <c r="W109" s="909"/>
      <c r="X109" s="909"/>
      <c r="Y109" s="909"/>
      <c r="Z109" s="909"/>
      <c r="AA109" s="909"/>
      <c r="AB109" s="909"/>
      <c r="AC109" s="909"/>
      <c r="AD109" s="909"/>
      <c r="AE109" s="909"/>
      <c r="AF109" s="909"/>
      <c r="AG109" s="909"/>
    </row>
    <row r="110" spans="1:33" s="117" customFormat="1" ht="8.25" customHeight="1" outlineLevel="2">
      <c r="A110" s="909"/>
      <c r="B110" s="184"/>
      <c r="C110" s="184"/>
      <c r="D110" s="184"/>
      <c r="E110" s="290"/>
      <c r="F110" s="290"/>
      <c r="G110" s="290"/>
      <c r="H110" s="290"/>
      <c r="I110" s="184"/>
      <c r="J110" s="184"/>
      <c r="K110" s="184"/>
      <c r="L110" s="184"/>
      <c r="M110" s="184"/>
      <c r="N110" s="184"/>
      <c r="O110" s="184"/>
      <c r="P110" s="184"/>
      <c r="Q110" s="184"/>
      <c r="R110" s="184"/>
      <c r="S110" s="184"/>
      <c r="T110" s="184"/>
      <c r="U110" s="909"/>
      <c r="V110" s="909"/>
      <c r="W110" s="909"/>
      <c r="X110" s="909"/>
      <c r="Y110" s="909"/>
      <c r="Z110" s="909"/>
      <c r="AA110" s="909"/>
      <c r="AB110" s="909"/>
      <c r="AC110" s="909"/>
      <c r="AD110" s="909"/>
      <c r="AE110" s="909"/>
      <c r="AF110" s="909"/>
      <c r="AG110" s="909"/>
    </row>
    <row r="111" spans="1:33" s="117" customFormat="1" ht="16.5" customHeight="1" outlineLevel="2">
      <c r="A111" s="909"/>
      <c r="B111" s="184"/>
      <c r="C111" s="291" t="str">
        <f>"Interest and Financing Fees: "&amp;$F$99</f>
        <v>Interest and Financing Fees: UL Bank</v>
      </c>
      <c r="D111" s="184"/>
      <c r="E111" s="290"/>
      <c r="F111" s="290"/>
      <c r="G111" s="310"/>
      <c r="H111" s="290"/>
      <c r="I111" s="184"/>
      <c r="J111" s="184"/>
      <c r="K111" s="184"/>
      <c r="L111" s="184"/>
      <c r="M111" s="184"/>
      <c r="N111" s="184"/>
      <c r="O111" s="184"/>
      <c r="P111" s="184"/>
      <c r="Q111" s="184"/>
      <c r="R111" s="184"/>
      <c r="S111" s="184"/>
      <c r="T111" s="184"/>
      <c r="U111" s="909"/>
      <c r="V111" s="909"/>
      <c r="W111" s="909"/>
      <c r="X111" s="909"/>
      <c r="Y111" s="909"/>
      <c r="Z111" s="909"/>
      <c r="AA111" s="909"/>
      <c r="AB111" s="909"/>
      <c r="AC111" s="909"/>
      <c r="AD111" s="909"/>
      <c r="AE111" s="909"/>
      <c r="AF111" s="909"/>
      <c r="AG111" s="909"/>
    </row>
    <row r="112" spans="1:33" s="117" customFormat="1" ht="16.5" customHeight="1" outlineLevel="2">
      <c r="A112" s="909"/>
      <c r="B112" s="184"/>
      <c r="C112" s="800" t="s">
        <v>578</v>
      </c>
      <c r="D112" s="184"/>
      <c r="E112" s="74" t="s">
        <v>27</v>
      </c>
      <c r="F112" s="272">
        <v>3.7499999999999999E-2</v>
      </c>
      <c r="G112" s="136" t="s">
        <v>561</v>
      </c>
      <c r="H112" s="803">
        <f>F112/quarters_yr</f>
        <v>9.3749999999999997E-3</v>
      </c>
      <c r="I112" s="184"/>
      <c r="J112" s="184"/>
      <c r="K112" s="184"/>
      <c r="L112" s="184"/>
      <c r="M112" s="184"/>
      <c r="N112" s="184"/>
      <c r="O112" s="184"/>
      <c r="P112" s="184"/>
      <c r="Q112" s="184"/>
      <c r="R112" s="184"/>
      <c r="S112" s="184"/>
      <c r="T112" s="184"/>
      <c r="U112" s="909"/>
      <c r="V112" s="909"/>
      <c r="W112" s="909"/>
      <c r="X112" s="909"/>
      <c r="Y112" s="909"/>
      <c r="Z112" s="909"/>
      <c r="AA112" s="909"/>
      <c r="AB112" s="909"/>
      <c r="AC112" s="909"/>
      <c r="AD112" s="909"/>
      <c r="AE112" s="909"/>
      <c r="AF112" s="909"/>
      <c r="AG112" s="909"/>
    </row>
    <row r="113" spans="1:33" s="117" customFormat="1" ht="16.5" customHeight="1" outlineLevel="2">
      <c r="A113" s="909"/>
      <c r="B113" s="184"/>
      <c r="C113" s="800" t="s">
        <v>579</v>
      </c>
      <c r="D113" s="184"/>
      <c r="E113" s="74" t="s">
        <v>581</v>
      </c>
      <c r="F113" s="272">
        <v>1.4999999999999999E-2</v>
      </c>
      <c r="G113" s="290"/>
      <c r="H113" s="290"/>
      <c r="I113" s="184"/>
      <c r="J113" s="184"/>
      <c r="K113" s="184"/>
      <c r="L113" s="184"/>
      <c r="M113" s="184"/>
      <c r="N113" s="184"/>
      <c r="O113" s="184"/>
      <c r="P113" s="184"/>
      <c r="Q113" s="184"/>
      <c r="R113" s="184"/>
      <c r="S113" s="184"/>
      <c r="T113" s="184"/>
      <c r="U113" s="909"/>
      <c r="V113" s="909"/>
      <c r="W113" s="909"/>
      <c r="X113" s="909"/>
      <c r="Y113" s="909"/>
      <c r="Z113" s="909"/>
      <c r="AA113" s="909"/>
      <c r="AB113" s="909"/>
      <c r="AC113" s="909"/>
      <c r="AD113" s="909"/>
      <c r="AE113" s="909"/>
      <c r="AF113" s="909"/>
      <c r="AG113" s="909"/>
    </row>
    <row r="114" spans="1:33" s="117" customFormat="1" ht="16.5" customHeight="1" outlineLevel="2">
      <c r="A114" s="909"/>
      <c r="B114" s="184"/>
      <c r="C114" s="800" t="s">
        <v>579</v>
      </c>
      <c r="D114" s="184"/>
      <c r="E114" s="8" t="str">
        <f>Currency_Label</f>
        <v>USD</v>
      </c>
      <c r="F114" s="70">
        <f>G101*F113</f>
        <v>1200</v>
      </c>
      <c r="G114" s="290"/>
      <c r="H114" s="290"/>
      <c r="I114" s="184"/>
      <c r="J114" s="184"/>
      <c r="K114" s="184"/>
      <c r="L114" s="184"/>
      <c r="M114" s="184"/>
      <c r="N114" s="184"/>
      <c r="O114" s="184"/>
      <c r="P114" s="184"/>
      <c r="Q114" s="184"/>
      <c r="R114" s="184"/>
      <c r="S114" s="184"/>
      <c r="T114" s="184"/>
      <c r="U114" s="909"/>
      <c r="V114" s="909"/>
      <c r="W114" s="909"/>
      <c r="X114" s="909"/>
      <c r="Y114" s="909"/>
      <c r="Z114" s="909"/>
      <c r="AA114" s="909"/>
      <c r="AB114" s="909"/>
      <c r="AC114" s="909"/>
      <c r="AD114" s="909"/>
      <c r="AE114" s="909"/>
      <c r="AF114" s="909"/>
      <c r="AG114" s="909"/>
    </row>
    <row r="115" spans="1:33" s="117" customFormat="1" ht="16.5" customHeight="1" outlineLevel="2">
      <c r="A115" s="909"/>
      <c r="B115" s="184"/>
      <c r="C115" s="68" t="s">
        <v>580</v>
      </c>
      <c r="D115" s="184"/>
      <c r="E115" s="74" t="s">
        <v>27</v>
      </c>
      <c r="F115" s="272">
        <v>0.02</v>
      </c>
      <c r="G115" s="136" t="s">
        <v>258</v>
      </c>
      <c r="H115" s="409">
        <f>F115/months_yr</f>
        <v>1.6666666666666668E-3</v>
      </c>
      <c r="I115" s="184"/>
      <c r="J115" s="184"/>
      <c r="K115" s="184"/>
      <c r="L115" s="184"/>
      <c r="M115" s="184"/>
      <c r="N115" s="184"/>
      <c r="O115" s="184"/>
      <c r="P115" s="184"/>
      <c r="Q115" s="184"/>
      <c r="R115" s="184"/>
      <c r="S115" s="184"/>
      <c r="T115" s="184"/>
      <c r="U115" s="909"/>
      <c r="V115" s="909"/>
      <c r="W115" s="909"/>
      <c r="X115" s="909"/>
      <c r="Y115" s="909"/>
      <c r="Z115" s="909"/>
      <c r="AA115" s="909"/>
      <c r="AB115" s="909"/>
      <c r="AC115" s="909"/>
      <c r="AD115" s="909"/>
      <c r="AE115" s="909"/>
      <c r="AF115" s="909"/>
      <c r="AG115" s="909"/>
    </row>
    <row r="116" spans="1:33" s="117" customFormat="1" ht="9" customHeight="1" outlineLevel="2">
      <c r="A116" s="909"/>
      <c r="B116" s="184"/>
      <c r="C116" s="290"/>
      <c r="D116" s="184"/>
      <c r="E116" s="184"/>
      <c r="F116" s="304"/>
      <c r="G116" s="311"/>
      <c r="H116" s="312"/>
      <c r="I116" s="184"/>
      <c r="J116" s="184"/>
      <c r="K116" s="184"/>
      <c r="L116" s="184"/>
      <c r="M116" s="184"/>
      <c r="N116" s="184"/>
      <c r="O116" s="184"/>
      <c r="P116" s="184"/>
      <c r="Q116" s="184"/>
      <c r="R116" s="184"/>
      <c r="S116" s="184"/>
      <c r="T116" s="184"/>
      <c r="U116" s="909"/>
      <c r="V116" s="909"/>
      <c r="W116" s="909"/>
      <c r="X116" s="909"/>
      <c r="Y116" s="909"/>
      <c r="Z116" s="909"/>
      <c r="AA116" s="909"/>
      <c r="AB116" s="909"/>
      <c r="AC116" s="909"/>
      <c r="AD116" s="909"/>
      <c r="AE116" s="909"/>
      <c r="AF116" s="909"/>
      <c r="AG116" s="909"/>
    </row>
    <row r="117" spans="1:33" s="117" customFormat="1" ht="16.5" customHeight="1" outlineLevel="2">
      <c r="A117" s="909"/>
      <c r="B117" s="308" t="s">
        <v>34</v>
      </c>
      <c r="C117" s="291" t="s">
        <v>550</v>
      </c>
      <c r="D117" s="184"/>
      <c r="E117" s="304" t="s">
        <v>562</v>
      </c>
      <c r="F117" s="184" t="s">
        <v>563</v>
      </c>
      <c r="G117" s="184"/>
      <c r="H117" s="184"/>
      <c r="I117" s="184"/>
      <c r="J117" s="184"/>
      <c r="K117" s="184"/>
      <c r="L117" s="184"/>
      <c r="M117" s="184"/>
      <c r="N117" s="184"/>
      <c r="O117" s="184"/>
      <c r="P117" s="184"/>
      <c r="Q117" s="184"/>
      <c r="R117" s="184"/>
      <c r="S117" s="184"/>
      <c r="T117" s="184"/>
      <c r="U117" s="909"/>
      <c r="V117" s="909"/>
      <c r="W117" s="909"/>
      <c r="X117" s="909"/>
      <c r="Y117" s="909"/>
      <c r="Z117" s="909"/>
      <c r="AA117" s="909"/>
      <c r="AB117" s="909"/>
      <c r="AC117" s="909"/>
      <c r="AD117" s="909"/>
      <c r="AE117" s="909"/>
      <c r="AF117" s="909"/>
      <c r="AG117" s="909"/>
    </row>
    <row r="118" spans="1:33" s="117" customFormat="1" ht="16.5" customHeight="1" outlineLevel="2">
      <c r="A118" s="909"/>
      <c r="B118" s="184"/>
      <c r="C118" s="40" t="s">
        <v>552</v>
      </c>
      <c r="D118" s="184"/>
      <c r="E118" s="8" t="s">
        <v>51</v>
      </c>
      <c r="F118" s="1029" t="s">
        <v>920</v>
      </c>
      <c r="G118" s="1037"/>
      <c r="H118" s="184"/>
      <c r="I118" s="184"/>
      <c r="J118" s="184"/>
      <c r="K118" s="184"/>
      <c r="L118" s="184"/>
      <c r="M118" s="184"/>
      <c r="N118" s="184"/>
      <c r="O118" s="184"/>
      <c r="P118" s="184"/>
      <c r="Q118" s="184"/>
      <c r="R118" s="184"/>
      <c r="S118" s="184"/>
      <c r="T118" s="184"/>
      <c r="U118" s="909"/>
      <c r="V118" s="909"/>
      <c r="W118" s="909"/>
      <c r="X118" s="909"/>
      <c r="Y118" s="909"/>
      <c r="Z118" s="909"/>
      <c r="AA118" s="909"/>
      <c r="AB118" s="909"/>
      <c r="AC118" s="909"/>
      <c r="AD118" s="909"/>
      <c r="AE118" s="909"/>
      <c r="AF118" s="909"/>
      <c r="AG118" s="909"/>
    </row>
    <row r="119" spans="1:33" s="117" customFormat="1" ht="16.5" customHeight="1" outlineLevel="2">
      <c r="A119" s="909"/>
      <c r="B119" s="184"/>
      <c r="C119" s="40" t="s">
        <v>551</v>
      </c>
      <c r="D119" s="184"/>
      <c r="E119" s="8" t="s">
        <v>133</v>
      </c>
      <c r="F119" s="1035">
        <v>0</v>
      </c>
      <c r="G119" s="571" t="str">
        <f>IF(F119=1," Please input interest manually on sheet Financing"," Interest will be calculated on a monthly basis with below interest rate")</f>
        <v xml:space="preserve"> Interest will be calculated on a monthly basis with below interest rate</v>
      </c>
      <c r="H119" s="184"/>
      <c r="I119" s="184"/>
      <c r="J119" s="184"/>
      <c r="K119" s="184"/>
      <c r="L119" s="184"/>
      <c r="M119" s="184"/>
      <c r="N119" s="184"/>
      <c r="O119" s="184"/>
      <c r="P119" s="184"/>
      <c r="Q119" s="184"/>
      <c r="R119" s="184"/>
      <c r="S119" s="184"/>
      <c r="T119" s="184"/>
      <c r="U119" s="909"/>
      <c r="V119" s="909"/>
      <c r="W119" s="909"/>
      <c r="X119" s="909"/>
      <c r="Y119" s="909"/>
      <c r="Z119" s="909"/>
      <c r="AA119" s="909"/>
      <c r="AB119" s="909"/>
      <c r="AC119" s="909"/>
      <c r="AD119" s="909"/>
      <c r="AE119" s="909"/>
      <c r="AF119" s="909"/>
      <c r="AG119" s="909"/>
    </row>
    <row r="120" spans="1:33" s="117" customFormat="1" ht="16.5" customHeight="1" outlineLevel="2">
      <c r="A120" s="909"/>
      <c r="B120" s="184"/>
      <c r="C120" s="40" t="s">
        <v>553</v>
      </c>
      <c r="D120" s="184"/>
      <c r="E120" s="74" t="s">
        <v>27</v>
      </c>
      <c r="F120" s="272">
        <v>3.5000000000000003E-2</v>
      </c>
      <c r="G120" s="184"/>
      <c r="H120" s="184"/>
      <c r="I120" s="184"/>
      <c r="J120" s="184"/>
      <c r="K120" s="184"/>
      <c r="L120" s="184"/>
      <c r="M120" s="184"/>
      <c r="N120" s="184"/>
      <c r="O120" s="184"/>
      <c r="P120" s="184"/>
      <c r="Q120" s="184"/>
      <c r="R120" s="184"/>
      <c r="S120" s="184"/>
      <c r="T120" s="184"/>
      <c r="U120" s="909"/>
      <c r="V120" s="909"/>
      <c r="W120" s="909"/>
      <c r="X120" s="909"/>
      <c r="Y120" s="909"/>
      <c r="Z120" s="909"/>
      <c r="AA120" s="909"/>
      <c r="AB120" s="909"/>
      <c r="AC120" s="909"/>
      <c r="AD120" s="909"/>
      <c r="AE120" s="909"/>
      <c r="AF120" s="909"/>
      <c r="AG120" s="909"/>
    </row>
    <row r="121" spans="1:33" s="117" customFormat="1" ht="9.75" customHeight="1" outlineLevel="2">
      <c r="A121" s="909"/>
      <c r="B121" s="184"/>
      <c r="C121" s="184"/>
      <c r="D121" s="184"/>
      <c r="E121" s="184"/>
      <c r="F121" s="304"/>
      <c r="G121" s="184"/>
      <c r="H121" s="184"/>
      <c r="I121" s="184"/>
      <c r="J121" s="184"/>
      <c r="K121" s="184"/>
      <c r="L121" s="184"/>
      <c r="M121" s="184"/>
      <c r="N121" s="184"/>
      <c r="O121" s="184"/>
      <c r="P121" s="184"/>
      <c r="Q121" s="184"/>
      <c r="R121" s="184"/>
      <c r="S121" s="184"/>
      <c r="T121" s="184"/>
      <c r="U121" s="909"/>
      <c r="V121" s="909"/>
      <c r="W121" s="909"/>
      <c r="X121" s="909"/>
      <c r="Y121" s="909"/>
      <c r="Z121" s="909"/>
      <c r="AA121" s="909"/>
      <c r="AB121" s="909"/>
      <c r="AC121" s="909"/>
      <c r="AD121" s="909"/>
      <c r="AE121" s="909"/>
      <c r="AF121" s="909"/>
      <c r="AG121" s="909"/>
    </row>
    <row r="122" spans="1:33" s="117" customFormat="1" ht="16.5" customHeight="1" outlineLevel="2">
      <c r="A122" s="909"/>
      <c r="B122" s="308" t="s">
        <v>35</v>
      </c>
      <c r="C122" s="291" t="s">
        <v>555</v>
      </c>
      <c r="D122" s="184"/>
      <c r="E122" s="184"/>
      <c r="F122" s="304"/>
      <c r="G122" s="184"/>
      <c r="H122" s="184"/>
      <c r="I122" s="184"/>
      <c r="J122" s="184"/>
      <c r="K122" s="184"/>
      <c r="L122" s="184"/>
      <c r="M122" s="184"/>
      <c r="N122" s="184"/>
      <c r="O122" s="184"/>
      <c r="P122" s="184"/>
      <c r="Q122" s="184"/>
      <c r="R122" s="184"/>
      <c r="S122" s="184"/>
      <c r="T122" s="184"/>
      <c r="U122" s="909"/>
      <c r="V122" s="909"/>
      <c r="W122" s="909"/>
      <c r="X122" s="909"/>
      <c r="Y122" s="909"/>
      <c r="Z122" s="909"/>
      <c r="AA122" s="909"/>
      <c r="AB122" s="909"/>
      <c r="AC122" s="909"/>
      <c r="AD122" s="909"/>
      <c r="AE122" s="909"/>
      <c r="AF122" s="909"/>
      <c r="AG122" s="909"/>
    </row>
    <row r="123" spans="1:33" s="117" customFormat="1" ht="16.5" customHeight="1" outlineLevel="2">
      <c r="A123" s="909"/>
      <c r="B123" s="184"/>
      <c r="C123" s="40" t="s">
        <v>552</v>
      </c>
      <c r="D123" s="184"/>
      <c r="E123" s="8" t="s">
        <v>51</v>
      </c>
      <c r="F123" s="1029" t="s">
        <v>918</v>
      </c>
      <c r="G123" s="1037"/>
      <c r="H123" s="909"/>
      <c r="I123" s="184"/>
      <c r="J123" s="184"/>
      <c r="K123" s="184"/>
      <c r="L123" s="184"/>
      <c r="M123" s="184"/>
      <c r="N123" s="184"/>
      <c r="O123" s="184"/>
      <c r="P123" s="184"/>
      <c r="Q123" s="184"/>
      <c r="R123" s="184"/>
      <c r="S123" s="184"/>
      <c r="T123" s="184"/>
      <c r="U123" s="909"/>
      <c r="V123" s="909"/>
      <c r="W123" s="909"/>
      <c r="X123" s="909"/>
      <c r="Y123" s="909"/>
      <c r="Z123" s="909"/>
      <c r="AA123" s="909"/>
      <c r="AB123" s="909"/>
      <c r="AC123" s="909"/>
      <c r="AD123" s="909"/>
      <c r="AE123" s="909"/>
      <c r="AF123" s="909"/>
      <c r="AG123" s="909"/>
    </row>
    <row r="124" spans="1:33" s="117" customFormat="1" ht="16.5" customHeight="1" outlineLevel="2">
      <c r="A124" s="909"/>
      <c r="B124" s="184"/>
      <c r="C124" s="40" t="s">
        <v>551</v>
      </c>
      <c r="D124" s="184"/>
      <c r="E124" s="8" t="s">
        <v>133</v>
      </c>
      <c r="F124" s="1035">
        <v>0</v>
      </c>
      <c r="G124" s="571" t="str">
        <f>IF(F124=1," Please input interest manually on sheet Financing"," Interest will be calculated on a monthly basis with below interest rate")</f>
        <v xml:space="preserve"> Interest will be calculated on a monthly basis with below interest rate</v>
      </c>
      <c r="H124" s="184"/>
      <c r="I124" s="184"/>
      <c r="J124" s="184"/>
      <c r="K124" s="184"/>
      <c r="L124" s="184"/>
      <c r="M124" s="184"/>
      <c r="N124" s="184"/>
      <c r="O124" s="184"/>
      <c r="P124" s="184"/>
      <c r="Q124" s="184"/>
      <c r="R124" s="184"/>
      <c r="S124" s="184"/>
      <c r="T124" s="184"/>
      <c r="U124" s="909"/>
      <c r="V124" s="909"/>
      <c r="W124" s="909"/>
      <c r="X124" s="909"/>
      <c r="Y124" s="909"/>
      <c r="Z124" s="909"/>
      <c r="AA124" s="909"/>
      <c r="AB124" s="909"/>
      <c r="AC124" s="909"/>
      <c r="AD124" s="909"/>
      <c r="AE124" s="909"/>
      <c r="AF124" s="909"/>
      <c r="AG124" s="909"/>
    </row>
    <row r="125" spans="1:33" s="117" customFormat="1" ht="16.5" customHeight="1" outlineLevel="2">
      <c r="A125" s="909"/>
      <c r="B125" s="184"/>
      <c r="C125" s="40" t="s">
        <v>553</v>
      </c>
      <c r="D125" s="184"/>
      <c r="E125" s="74" t="s">
        <v>27</v>
      </c>
      <c r="F125" s="272">
        <v>0.05</v>
      </c>
      <c r="G125" s="184"/>
      <c r="H125" s="184"/>
      <c r="I125" s="184"/>
      <c r="J125" s="184"/>
      <c r="K125" s="184"/>
      <c r="L125" s="184"/>
      <c r="M125" s="184"/>
      <c r="N125" s="184"/>
      <c r="O125" s="184"/>
      <c r="P125" s="184"/>
      <c r="Q125" s="184"/>
      <c r="R125" s="184"/>
      <c r="S125" s="184"/>
      <c r="T125" s="184"/>
      <c r="U125" s="909"/>
      <c r="V125" s="909"/>
      <c r="W125" s="909"/>
      <c r="X125" s="909"/>
      <c r="Y125" s="909"/>
      <c r="Z125" s="909"/>
      <c r="AA125" s="909"/>
      <c r="AB125" s="909"/>
      <c r="AC125" s="909"/>
      <c r="AD125" s="909"/>
      <c r="AE125" s="909"/>
      <c r="AF125" s="909"/>
      <c r="AG125" s="909"/>
    </row>
    <row r="126" spans="1:33" s="117" customFormat="1" ht="12" customHeight="1" outlineLevel="2">
      <c r="A126" s="909"/>
      <c r="B126" s="184"/>
      <c r="C126" s="290"/>
      <c r="D126" s="184"/>
      <c r="E126" s="184"/>
      <c r="F126" s="304"/>
      <c r="G126" s="184"/>
      <c r="H126" s="184"/>
      <c r="I126" s="184"/>
      <c r="J126" s="184"/>
      <c r="K126" s="184"/>
      <c r="L126" s="184"/>
      <c r="M126" s="184"/>
      <c r="N126" s="184"/>
      <c r="O126" s="184"/>
      <c r="P126" s="184"/>
      <c r="Q126" s="184"/>
      <c r="R126" s="184"/>
      <c r="S126" s="184"/>
      <c r="T126" s="184"/>
      <c r="U126" s="909"/>
      <c r="V126" s="909"/>
      <c r="W126" s="909"/>
      <c r="X126" s="909"/>
      <c r="Y126" s="909"/>
      <c r="Z126" s="909"/>
      <c r="AA126" s="909"/>
      <c r="AB126" s="909"/>
      <c r="AC126" s="909"/>
      <c r="AD126" s="909"/>
      <c r="AE126" s="909"/>
      <c r="AF126" s="909"/>
      <c r="AG126" s="909"/>
    </row>
    <row r="127" spans="1:33" s="117" customFormat="1" ht="16.5" customHeight="1" outlineLevel="2">
      <c r="A127" s="909"/>
      <c r="B127" s="308" t="s">
        <v>37</v>
      </c>
      <c r="C127" s="291" t="s">
        <v>554</v>
      </c>
      <c r="D127" s="184"/>
      <c r="E127" s="184"/>
      <c r="F127" s="304"/>
      <c r="G127" s="184"/>
      <c r="H127" s="184"/>
      <c r="I127" s="184"/>
      <c r="J127" s="184"/>
      <c r="K127" s="184"/>
      <c r="L127" s="184"/>
      <c r="M127" s="184"/>
      <c r="N127" s="184"/>
      <c r="O127" s="184"/>
      <c r="P127" s="184"/>
      <c r="Q127" s="184"/>
      <c r="R127" s="184"/>
      <c r="S127" s="184"/>
      <c r="T127" s="184"/>
      <c r="U127" s="909"/>
      <c r="V127" s="909"/>
      <c r="W127" s="909"/>
      <c r="X127" s="909"/>
      <c r="Y127" s="909"/>
      <c r="Z127" s="909"/>
      <c r="AA127" s="909"/>
      <c r="AB127" s="909"/>
      <c r="AC127" s="909"/>
      <c r="AD127" s="909"/>
      <c r="AE127" s="909"/>
      <c r="AF127" s="909"/>
      <c r="AG127" s="909"/>
    </row>
    <row r="128" spans="1:33" s="117" customFormat="1" ht="16.5" customHeight="1" outlineLevel="2">
      <c r="A128" s="909"/>
      <c r="B128" s="184"/>
      <c r="C128" s="40" t="s">
        <v>552</v>
      </c>
      <c r="D128" s="184"/>
      <c r="E128" s="8" t="s">
        <v>51</v>
      </c>
      <c r="F128" s="1029" t="s">
        <v>917</v>
      </c>
      <c r="G128" s="1037"/>
      <c r="H128" s="184"/>
      <c r="I128" s="184"/>
      <c r="J128" s="184"/>
      <c r="K128" s="184"/>
      <c r="L128" s="184"/>
      <c r="M128" s="184"/>
      <c r="N128" s="184"/>
      <c r="O128" s="184"/>
      <c r="P128" s="184"/>
      <c r="Q128" s="184"/>
      <c r="R128" s="184"/>
      <c r="S128" s="184"/>
      <c r="T128" s="184"/>
      <c r="U128" s="909"/>
      <c r="V128" s="909"/>
      <c r="W128" s="909"/>
      <c r="X128" s="909"/>
      <c r="Y128" s="909"/>
      <c r="Z128" s="909"/>
      <c r="AA128" s="909"/>
      <c r="AB128" s="909"/>
      <c r="AC128" s="909"/>
      <c r="AD128" s="909"/>
      <c r="AE128" s="909"/>
      <c r="AF128" s="909"/>
      <c r="AG128" s="909"/>
    </row>
    <row r="129" spans="1:33" s="117" customFormat="1" ht="16.5" customHeight="1" outlineLevel="2">
      <c r="A129" s="909"/>
      <c r="B129" s="184"/>
      <c r="C129" s="40" t="s">
        <v>551</v>
      </c>
      <c r="D129" s="184"/>
      <c r="E129" s="8" t="s">
        <v>133</v>
      </c>
      <c r="F129" s="1035">
        <v>0</v>
      </c>
      <c r="G129" s="571" t="str">
        <f>IF(F129=1," Please input interest manually on sheet Financing"," Interest will be calculated on a monthly basis with below interest rate")</f>
        <v xml:space="preserve"> Interest will be calculated on a monthly basis with below interest rate</v>
      </c>
      <c r="H129" s="184"/>
      <c r="I129" s="184"/>
      <c r="J129" s="184"/>
      <c r="K129" s="184"/>
      <c r="L129" s="184"/>
      <c r="M129" s="184"/>
      <c r="N129" s="184"/>
      <c r="O129" s="184"/>
      <c r="P129" s="184"/>
      <c r="Q129" s="184"/>
      <c r="R129" s="184"/>
      <c r="S129" s="184"/>
      <c r="T129" s="184"/>
      <c r="U129" s="909"/>
      <c r="V129" s="909"/>
      <c r="W129" s="909"/>
      <c r="X129" s="909"/>
      <c r="Y129" s="909"/>
      <c r="Z129" s="909"/>
      <c r="AA129" s="909"/>
      <c r="AB129" s="909"/>
      <c r="AC129" s="909"/>
      <c r="AD129" s="909"/>
      <c r="AE129" s="909"/>
      <c r="AF129" s="909"/>
      <c r="AG129" s="909"/>
    </row>
    <row r="130" spans="1:33" s="117" customFormat="1" ht="16.5" customHeight="1" outlineLevel="2">
      <c r="A130" s="909"/>
      <c r="B130" s="184"/>
      <c r="C130" s="40" t="s">
        <v>553</v>
      </c>
      <c r="D130" s="184"/>
      <c r="E130" s="74" t="s">
        <v>27</v>
      </c>
      <c r="F130" s="272">
        <v>0.01</v>
      </c>
      <c r="G130" s="184"/>
      <c r="H130" s="184"/>
      <c r="I130" s="184"/>
      <c r="J130" s="184"/>
      <c r="K130" s="184"/>
      <c r="L130" s="184"/>
      <c r="M130" s="184"/>
      <c r="N130" s="184"/>
      <c r="O130" s="184"/>
      <c r="P130" s="184"/>
      <c r="Q130" s="184"/>
      <c r="R130" s="184"/>
      <c r="S130" s="184"/>
      <c r="T130" s="184"/>
      <c r="U130" s="909"/>
      <c r="V130" s="909"/>
      <c r="W130" s="909"/>
      <c r="X130" s="909"/>
      <c r="Y130" s="909"/>
      <c r="Z130" s="909"/>
      <c r="AA130" s="909"/>
      <c r="AB130" s="909"/>
      <c r="AC130" s="909"/>
      <c r="AD130" s="909"/>
      <c r="AE130" s="909"/>
      <c r="AF130" s="909"/>
      <c r="AG130" s="909"/>
    </row>
    <row r="131" spans="1:33" s="117" customFormat="1" ht="10.5" customHeight="1" outlineLevel="2">
      <c r="A131" s="909"/>
      <c r="B131" s="184"/>
      <c r="C131" s="290"/>
      <c r="D131" s="184"/>
      <c r="E131" s="184"/>
      <c r="F131" s="304"/>
      <c r="G131" s="184"/>
      <c r="H131" s="184"/>
      <c r="I131" s="184"/>
      <c r="J131" s="184"/>
      <c r="K131" s="184"/>
      <c r="L131" s="184"/>
      <c r="M131" s="184"/>
      <c r="N131" s="184"/>
      <c r="O131" s="184"/>
      <c r="P131" s="184"/>
      <c r="Q131" s="184"/>
      <c r="R131" s="184"/>
      <c r="S131" s="184"/>
      <c r="T131" s="184"/>
      <c r="U131" s="909"/>
      <c r="V131" s="909"/>
      <c r="W131" s="909"/>
      <c r="X131" s="909"/>
      <c r="Y131" s="909"/>
      <c r="Z131" s="909"/>
      <c r="AA131" s="909"/>
      <c r="AB131" s="909"/>
      <c r="AC131" s="909"/>
      <c r="AD131" s="909"/>
      <c r="AE131" s="909"/>
      <c r="AF131" s="909"/>
      <c r="AG131" s="909"/>
    </row>
    <row r="132" spans="1:33" s="117" customFormat="1" ht="16.5" customHeight="1" outlineLevel="2">
      <c r="A132" s="909"/>
      <c r="B132" s="308" t="s">
        <v>45</v>
      </c>
      <c r="C132" s="291" t="s">
        <v>558</v>
      </c>
      <c r="D132" s="184"/>
      <c r="E132" s="184"/>
      <c r="F132" s="665"/>
      <c r="G132" s="910"/>
      <c r="H132" s="910"/>
      <c r="I132" s="910"/>
      <c r="J132" s="910"/>
      <c r="K132" s="184"/>
      <c r="L132" s="184"/>
      <c r="M132" s="184"/>
      <c r="N132" s="184"/>
      <c r="O132" s="184"/>
      <c r="P132" s="184"/>
      <c r="Q132" s="184"/>
      <c r="R132" s="184"/>
      <c r="S132" s="184"/>
      <c r="T132" s="184"/>
      <c r="U132" s="909"/>
      <c r="V132" s="909"/>
      <c r="W132" s="909"/>
      <c r="X132" s="909"/>
      <c r="Y132" s="909"/>
      <c r="Z132" s="909"/>
      <c r="AA132" s="909"/>
      <c r="AB132" s="909"/>
      <c r="AC132" s="909"/>
      <c r="AD132" s="909"/>
      <c r="AE132" s="909"/>
      <c r="AF132" s="909"/>
      <c r="AG132" s="909"/>
    </row>
    <row r="133" spans="1:33" s="117" customFormat="1" ht="16.5" customHeight="1" outlineLevel="2">
      <c r="A133" s="909"/>
      <c r="B133" s="184"/>
      <c r="C133" s="570" t="s">
        <v>556</v>
      </c>
      <c r="D133" s="184"/>
      <c r="E133" s="8" t="str">
        <f>Currency_Label</f>
        <v>USD</v>
      </c>
      <c r="F133" s="451">
        <v>65000</v>
      </c>
      <c r="G133" s="910"/>
      <c r="H133" s="635" t="s">
        <v>559</v>
      </c>
      <c r="I133" s="967">
        <f ca="1">Financing!H69</f>
        <v>23379.828305416639</v>
      </c>
      <c r="J133" s="665" t="str">
        <f>Currency_Label</f>
        <v>USD</v>
      </c>
      <c r="K133" s="184"/>
      <c r="L133" s="184"/>
      <c r="M133" s="184"/>
      <c r="N133" s="184"/>
      <c r="O133" s="184"/>
      <c r="P133" s="184"/>
      <c r="Q133" s="184"/>
      <c r="R133" s="184"/>
      <c r="S133" s="184"/>
      <c r="T133" s="184"/>
      <c r="U133" s="909"/>
      <c r="V133" s="909"/>
      <c r="W133" s="909"/>
      <c r="X133" s="909"/>
      <c r="Y133" s="909"/>
      <c r="Z133" s="909"/>
      <c r="AA133" s="909"/>
      <c r="AB133" s="909"/>
      <c r="AC133" s="909"/>
      <c r="AD133" s="909"/>
      <c r="AE133" s="909"/>
      <c r="AF133" s="909"/>
      <c r="AG133" s="909"/>
    </row>
    <row r="134" spans="1:33" s="203" customFormat="1" ht="16.5" customHeight="1" outlineLevel="2">
      <c r="A134" s="909"/>
      <c r="B134" s="184"/>
      <c r="C134" s="570" t="s">
        <v>557</v>
      </c>
      <c r="D134" s="184"/>
      <c r="E134" s="8" t="s">
        <v>560</v>
      </c>
      <c r="F134" s="643">
        <f>IF($F$236&gt;F133,1,0)</f>
        <v>0</v>
      </c>
      <c r="G134" s="968" t="str">
        <f>IF($F$236&gt;F133,"Attention: max. overdraft has to be at least as high as in the opening balance","")</f>
        <v/>
      </c>
      <c r="H134" s="910"/>
      <c r="I134" s="665"/>
      <c r="J134" s="665"/>
      <c r="K134" s="184"/>
      <c r="L134" s="184"/>
      <c r="M134" s="184"/>
      <c r="N134" s="184"/>
      <c r="O134" s="184"/>
      <c r="P134" s="184"/>
      <c r="Q134" s="184"/>
      <c r="R134" s="184"/>
      <c r="S134" s="184"/>
      <c r="T134" s="184"/>
      <c r="U134" s="909"/>
      <c r="V134" s="909"/>
      <c r="W134" s="909"/>
      <c r="X134" s="909"/>
      <c r="Y134" s="909"/>
      <c r="Z134" s="909"/>
      <c r="AA134" s="909"/>
      <c r="AB134" s="909"/>
      <c r="AC134" s="909"/>
      <c r="AD134" s="909"/>
      <c r="AE134" s="909"/>
      <c r="AF134" s="909"/>
      <c r="AG134" s="909"/>
    </row>
    <row r="135" spans="1:33" s="117" customFormat="1" ht="16.5" customHeight="1" outlineLevel="2">
      <c r="A135" s="909"/>
      <c r="B135" s="184"/>
      <c r="C135" s="570" t="s">
        <v>837</v>
      </c>
      <c r="D135" s="184"/>
      <c r="E135" s="8" t="s">
        <v>27</v>
      </c>
      <c r="F135" s="520">
        <v>0.12</v>
      </c>
      <c r="G135" s="907" t="s">
        <v>258</v>
      </c>
      <c r="H135" s="969">
        <f>F135/months_yr</f>
        <v>0.01</v>
      </c>
      <c r="I135" s="910"/>
      <c r="J135" s="910"/>
      <c r="K135" s="184"/>
      <c r="L135" s="184"/>
      <c r="M135" s="184"/>
      <c r="N135" s="184"/>
      <c r="O135" s="184"/>
      <c r="P135" s="184"/>
      <c r="Q135" s="184"/>
      <c r="R135" s="184"/>
      <c r="S135" s="184"/>
      <c r="T135" s="184"/>
      <c r="U135" s="909"/>
      <c r="V135" s="909"/>
      <c r="W135" s="909"/>
      <c r="X135" s="909"/>
      <c r="Y135" s="909"/>
      <c r="Z135" s="909"/>
      <c r="AA135" s="909"/>
      <c r="AB135" s="909"/>
      <c r="AC135" s="909"/>
      <c r="AD135" s="909"/>
      <c r="AE135" s="909"/>
      <c r="AF135" s="909"/>
      <c r="AG135" s="909"/>
    </row>
    <row r="136" spans="1:33" s="89" customFormat="1" outlineLevel="1">
      <c r="A136" s="909"/>
      <c r="B136" s="184"/>
      <c r="C136" s="290"/>
      <c r="D136" s="184"/>
      <c r="E136" s="313"/>
      <c r="F136" s="184"/>
      <c r="G136" s="184"/>
      <c r="H136" s="184"/>
      <c r="I136" s="184"/>
      <c r="J136" s="184"/>
      <c r="K136" s="184"/>
      <c r="L136" s="184"/>
      <c r="M136" s="184"/>
      <c r="N136" s="184"/>
      <c r="O136" s="184"/>
      <c r="P136" s="184"/>
      <c r="Q136" s="184"/>
      <c r="R136" s="184"/>
      <c r="S136" s="184"/>
      <c r="T136" s="184"/>
      <c r="U136" s="909"/>
      <c r="V136" s="909"/>
      <c r="W136" s="909"/>
      <c r="X136" s="909"/>
      <c r="Y136" s="909"/>
      <c r="Z136" s="909"/>
      <c r="AA136" s="909"/>
      <c r="AB136" s="909"/>
      <c r="AC136" s="909"/>
      <c r="AD136" s="909"/>
      <c r="AE136" s="909"/>
      <c r="AF136" s="909"/>
      <c r="AG136" s="909"/>
    </row>
    <row r="137" spans="1:33" s="76" customFormat="1" ht="24.75" customHeight="1" thickBot="1">
      <c r="A137" s="289"/>
      <c r="B137" s="289"/>
      <c r="C137" s="289" t="s">
        <v>241</v>
      </c>
      <c r="D137" s="289"/>
      <c r="E137" s="289"/>
      <c r="F137" s="289"/>
      <c r="G137" s="289"/>
      <c r="H137" s="289"/>
      <c r="I137" s="289"/>
      <c r="J137" s="289"/>
      <c r="K137" s="289"/>
      <c r="L137" s="289"/>
      <c r="M137" s="289"/>
      <c r="N137" s="289"/>
      <c r="O137" s="289"/>
      <c r="P137" s="184"/>
      <c r="Q137" s="184"/>
      <c r="R137" s="184"/>
      <c r="S137" s="184"/>
      <c r="T137" s="184"/>
      <c r="U137" s="909"/>
      <c r="V137" s="909"/>
      <c r="W137" s="909"/>
      <c r="X137" s="909"/>
      <c r="Y137" s="909"/>
      <c r="Z137" s="909"/>
      <c r="AA137" s="909"/>
      <c r="AB137" s="909"/>
      <c r="AC137" s="909"/>
      <c r="AD137" s="909"/>
      <c r="AE137" s="909"/>
      <c r="AF137" s="909"/>
      <c r="AG137" s="909"/>
    </row>
    <row r="138" spans="1:33" s="89" customFormat="1" ht="20.25" outlineLevel="1">
      <c r="A138" s="909"/>
      <c r="B138" s="184"/>
      <c r="C138" s="298" t="str">
        <f>CHOOSE(language,"Payment Targets Debtors/Creditors","Payment Targets receivables/payables")</f>
        <v>Payment Targets receivables/payables</v>
      </c>
      <c r="D138" s="305"/>
      <c r="E138" s="304"/>
      <c r="F138" s="184"/>
      <c r="G138" s="184"/>
      <c r="H138" s="184"/>
      <c r="I138" s="184"/>
      <c r="J138" s="184"/>
      <c r="K138" s="184"/>
      <c r="L138" s="184"/>
      <c r="M138" s="321"/>
      <c r="N138" s="184"/>
      <c r="O138" s="184"/>
      <c r="P138" s="184"/>
      <c r="Q138" s="184"/>
      <c r="R138" s="184"/>
      <c r="S138" s="184"/>
      <c r="T138" s="184"/>
      <c r="U138" s="909"/>
      <c r="V138" s="909"/>
      <c r="W138" s="909"/>
      <c r="X138" s="909"/>
      <c r="Y138" s="909"/>
      <c r="Z138" s="909"/>
      <c r="AA138" s="909"/>
      <c r="AB138" s="909"/>
      <c r="AC138" s="909"/>
      <c r="AD138" s="909"/>
      <c r="AE138" s="909"/>
      <c r="AF138" s="909"/>
      <c r="AG138" s="909"/>
    </row>
    <row r="139" spans="1:33" s="649" customFormat="1" ht="17.25" customHeight="1" outlineLevel="2">
      <c r="A139" s="909"/>
      <c r="B139" s="293"/>
      <c r="C139" s="291" t="str">
        <f>CHOOSE(language,"Payment Profile: Debtors","Payment Profile: Receivables")</f>
        <v>Payment Profile: Receivables</v>
      </c>
      <c r="D139" s="305"/>
      <c r="E139" s="304"/>
      <c r="F139" s="698" t="s">
        <v>243</v>
      </c>
      <c r="G139" s="699"/>
      <c r="H139" s="699"/>
      <c r="I139" s="700"/>
      <c r="J139" s="293"/>
      <c r="K139" s="293"/>
      <c r="L139" s="293"/>
      <c r="M139" s="321"/>
      <c r="N139" s="293"/>
      <c r="O139" s="293"/>
      <c r="P139" s="293"/>
      <c r="Q139" s="293"/>
      <c r="R139" s="293"/>
      <c r="S139" s="293"/>
      <c r="T139" s="293"/>
      <c r="U139" s="909"/>
      <c r="V139" s="909"/>
      <c r="W139" s="909"/>
      <c r="X139" s="909"/>
      <c r="Y139" s="909"/>
      <c r="Z139" s="909"/>
      <c r="AA139" s="909"/>
      <c r="AB139" s="909"/>
      <c r="AC139" s="909"/>
      <c r="AD139" s="909"/>
      <c r="AE139" s="909"/>
      <c r="AF139" s="909"/>
      <c r="AG139" s="909"/>
    </row>
    <row r="140" spans="1:33" s="649" customFormat="1" ht="17.25" customHeight="1" outlineLevel="2">
      <c r="A140" s="909"/>
      <c r="B140" s="293"/>
      <c r="C140" s="701" t="s">
        <v>242</v>
      </c>
      <c r="D140" s="305"/>
      <c r="E140" s="697"/>
      <c r="F140" s="691" t="s">
        <v>217</v>
      </c>
      <c r="G140" s="688" t="s">
        <v>218</v>
      </c>
      <c r="H140" s="688" t="s">
        <v>219</v>
      </c>
      <c r="I140" s="688" t="s">
        <v>220</v>
      </c>
      <c r="J140" s="312" t="s">
        <v>222</v>
      </c>
      <c r="K140" s="293"/>
      <c r="L140" s="293"/>
      <c r="M140" s="321"/>
      <c r="N140" s="909"/>
      <c r="O140" s="909"/>
      <c r="P140" s="909"/>
      <c r="Q140" s="909"/>
      <c r="R140" s="293"/>
      <c r="S140" s="293"/>
      <c r="T140" s="293"/>
      <c r="U140" s="909"/>
      <c r="V140" s="909"/>
      <c r="W140" s="909"/>
      <c r="X140" s="909"/>
      <c r="Y140" s="909"/>
      <c r="Z140" s="909"/>
      <c r="AA140" s="909"/>
      <c r="AB140" s="909"/>
      <c r="AC140" s="909"/>
      <c r="AD140" s="909"/>
      <c r="AE140" s="909"/>
      <c r="AF140" s="909"/>
      <c r="AG140" s="909"/>
    </row>
    <row r="141" spans="1:33" s="649" customFormat="1" ht="17.25" customHeight="1" outlineLevel="2">
      <c r="A141" s="909"/>
      <c r="B141" s="293"/>
      <c r="C141" s="24" t="str">
        <f>Product_01</f>
        <v>Desktops</v>
      </c>
      <c r="D141" s="305"/>
      <c r="E141" s="304"/>
      <c r="F141" s="271">
        <v>0.6</v>
      </c>
      <c r="G141" s="271">
        <v>0.3</v>
      </c>
      <c r="H141" s="271">
        <v>0.1</v>
      </c>
      <c r="I141" s="271"/>
      <c r="J141" s="643">
        <f>IF(SUM(F141:I141)=1,0,1)</f>
        <v>0</v>
      </c>
      <c r="K141" s="293"/>
      <c r="L141" s="293"/>
      <c r="M141" s="321"/>
      <c r="N141" s="909"/>
      <c r="O141" s="909"/>
      <c r="P141" s="909"/>
      <c r="Q141" s="909"/>
      <c r="R141" s="293"/>
      <c r="S141" s="293"/>
      <c r="T141" s="293"/>
      <c r="U141" s="909"/>
      <c r="V141" s="909"/>
      <c r="W141" s="909"/>
      <c r="X141" s="909"/>
      <c r="Y141" s="909"/>
      <c r="Z141" s="909"/>
      <c r="AA141" s="909"/>
      <c r="AB141" s="909"/>
      <c r="AC141" s="909"/>
      <c r="AD141" s="909"/>
      <c r="AE141" s="909"/>
      <c r="AF141" s="909"/>
      <c r="AG141" s="909"/>
    </row>
    <row r="142" spans="1:33" s="649" customFormat="1" ht="17.25" customHeight="1" outlineLevel="2">
      <c r="A142" s="909"/>
      <c r="B142" s="293"/>
      <c r="C142" s="24" t="str">
        <f>Product_02</f>
        <v>Workstations</v>
      </c>
      <c r="D142" s="305"/>
      <c r="E142" s="304"/>
      <c r="F142" s="271">
        <v>0.5</v>
      </c>
      <c r="G142" s="271">
        <v>0.5</v>
      </c>
      <c r="H142" s="271">
        <v>0</v>
      </c>
      <c r="I142" s="271">
        <v>0</v>
      </c>
      <c r="J142" s="643">
        <f>IF(SUM(F142:I142)=1,0,1)</f>
        <v>0</v>
      </c>
      <c r="K142" s="293"/>
      <c r="L142" s="293"/>
      <c r="M142" s="321"/>
      <c r="N142" s="909"/>
      <c r="O142" s="909"/>
      <c r="P142" s="909"/>
      <c r="Q142" s="909"/>
      <c r="R142" s="293"/>
      <c r="S142" s="293"/>
      <c r="T142" s="293"/>
      <c r="U142" s="909"/>
      <c r="V142" s="909"/>
      <c r="W142" s="909"/>
      <c r="X142" s="909"/>
      <c r="Y142" s="909"/>
      <c r="Z142" s="909"/>
      <c r="AA142" s="909"/>
      <c r="AB142" s="909"/>
      <c r="AC142" s="909"/>
      <c r="AD142" s="909"/>
      <c r="AE142" s="909"/>
      <c r="AF142" s="909"/>
      <c r="AG142" s="909"/>
    </row>
    <row r="143" spans="1:33" s="649" customFormat="1" ht="17.25" customHeight="1" outlineLevel="2">
      <c r="A143" s="909"/>
      <c r="B143" s="293"/>
      <c r="C143" s="24" t="str">
        <f>Product_03</f>
        <v>Notebooks</v>
      </c>
      <c r="D143" s="305"/>
      <c r="E143" s="304"/>
      <c r="F143" s="271">
        <v>0.8</v>
      </c>
      <c r="G143" s="271">
        <v>0.2</v>
      </c>
      <c r="H143" s="271">
        <v>0</v>
      </c>
      <c r="I143" s="271">
        <v>0</v>
      </c>
      <c r="J143" s="643">
        <f>IF(SUM(F143:I143)=1,0,1)</f>
        <v>0</v>
      </c>
      <c r="K143" s="293"/>
      <c r="L143" s="293"/>
      <c r="M143" s="321"/>
      <c r="N143" s="293"/>
      <c r="O143" s="293"/>
      <c r="P143" s="293"/>
      <c r="Q143" s="293"/>
      <c r="R143" s="293"/>
      <c r="S143" s="293"/>
      <c r="T143" s="293"/>
      <c r="U143" s="909"/>
      <c r="V143" s="909"/>
      <c r="W143" s="909"/>
      <c r="X143" s="909"/>
      <c r="Y143" s="909"/>
      <c r="Z143" s="909"/>
      <c r="AA143" s="909"/>
      <c r="AB143" s="909"/>
      <c r="AC143" s="909"/>
      <c r="AD143" s="909"/>
      <c r="AE143" s="909"/>
      <c r="AF143" s="909"/>
      <c r="AG143" s="909"/>
    </row>
    <row r="144" spans="1:33" s="649" customFormat="1" ht="17.25" customHeight="1" outlineLevel="2">
      <c r="A144" s="909"/>
      <c r="B144" s="293"/>
      <c r="C144" s="24" t="str">
        <f>Product_04</f>
        <v>Software Products</v>
      </c>
      <c r="D144" s="305"/>
      <c r="E144" s="304"/>
      <c r="F144" s="271">
        <v>0.7</v>
      </c>
      <c r="G144" s="271">
        <v>0.2</v>
      </c>
      <c r="H144" s="271">
        <v>0.1</v>
      </c>
      <c r="I144" s="271">
        <v>0</v>
      </c>
      <c r="J144" s="643">
        <f t="shared" ref="J144:J150" si="11">IF(SUM(F144:I144)=1,0,1)</f>
        <v>0</v>
      </c>
      <c r="K144" s="293"/>
      <c r="L144" s="293"/>
      <c r="M144" s="321"/>
      <c r="N144" s="293"/>
      <c r="O144" s="293"/>
      <c r="P144" s="293"/>
      <c r="Q144" s="293"/>
      <c r="R144" s="293"/>
      <c r="S144" s="293"/>
      <c r="T144" s="293"/>
      <c r="U144" s="909"/>
      <c r="V144" s="909"/>
      <c r="W144" s="909"/>
      <c r="X144" s="909"/>
      <c r="Y144" s="909"/>
      <c r="Z144" s="909"/>
      <c r="AA144" s="909"/>
      <c r="AB144" s="909"/>
      <c r="AC144" s="909"/>
      <c r="AD144" s="909"/>
      <c r="AE144" s="909"/>
      <c r="AF144" s="909"/>
      <c r="AG144" s="909"/>
    </row>
    <row r="145" spans="1:33" s="649" customFormat="1" ht="17.25" customHeight="1" outlineLevel="2">
      <c r="A145" s="909"/>
      <c r="B145" s="293"/>
      <c r="C145" s="24" t="str">
        <f>Product_05</f>
        <v>Net work infrastructure solutions</v>
      </c>
      <c r="D145" s="305"/>
      <c r="E145" s="304"/>
      <c r="F145" s="271">
        <v>1</v>
      </c>
      <c r="G145" s="271"/>
      <c r="H145" s="271"/>
      <c r="I145" s="271">
        <v>0</v>
      </c>
      <c r="J145" s="643">
        <f t="shared" si="11"/>
        <v>0</v>
      </c>
      <c r="K145" s="293"/>
      <c r="L145" s="293"/>
      <c r="M145" s="321"/>
      <c r="N145" s="293"/>
      <c r="O145" s="293"/>
      <c r="P145" s="293"/>
      <c r="Q145" s="293"/>
      <c r="R145" s="293"/>
      <c r="S145" s="293"/>
      <c r="T145" s="293"/>
      <c r="U145" s="909"/>
      <c r="V145" s="909"/>
      <c r="W145" s="909"/>
      <c r="X145" s="909"/>
      <c r="Y145" s="909"/>
      <c r="Z145" s="909"/>
      <c r="AA145" s="909"/>
      <c r="AB145" s="909"/>
      <c r="AC145" s="909"/>
      <c r="AD145" s="909"/>
      <c r="AE145" s="909"/>
      <c r="AF145" s="909"/>
      <c r="AG145" s="909"/>
    </row>
    <row r="146" spans="1:33" s="649" customFormat="1" ht="17.25" customHeight="1" outlineLevel="2">
      <c r="A146" s="909"/>
      <c r="B146" s="293"/>
      <c r="C146" s="24" t="str">
        <f>Product_06</f>
        <v>Repair Services</v>
      </c>
      <c r="D146" s="305"/>
      <c r="E146" s="304"/>
      <c r="F146" s="271">
        <v>1</v>
      </c>
      <c r="G146" s="271"/>
      <c r="H146" s="271">
        <v>0</v>
      </c>
      <c r="I146" s="271">
        <v>0</v>
      </c>
      <c r="J146" s="643">
        <f t="shared" si="11"/>
        <v>0</v>
      </c>
      <c r="K146" s="293"/>
      <c r="L146" s="293"/>
      <c r="M146" s="321"/>
      <c r="N146" s="293"/>
      <c r="O146" s="293"/>
      <c r="P146" s="293"/>
      <c r="Q146" s="293"/>
      <c r="R146" s="293"/>
      <c r="S146" s="293"/>
      <c r="T146" s="293"/>
      <c r="U146" s="909"/>
      <c r="V146" s="909"/>
      <c r="W146" s="909"/>
      <c r="X146" s="909"/>
      <c r="Y146" s="909"/>
      <c r="Z146" s="909"/>
      <c r="AA146" s="909"/>
      <c r="AB146" s="909"/>
      <c r="AC146" s="909"/>
      <c r="AD146" s="909"/>
      <c r="AE146" s="909"/>
      <c r="AF146" s="909"/>
      <c r="AG146" s="909"/>
    </row>
    <row r="147" spans="1:33" s="649" customFormat="1" ht="17.25" customHeight="1" outlineLevel="2">
      <c r="A147" s="909"/>
      <c r="B147" s="293"/>
      <c r="C147" s="24" t="str">
        <f>Product_07</f>
        <v>Integration Services</v>
      </c>
      <c r="D147" s="305"/>
      <c r="E147" s="304"/>
      <c r="F147" s="271">
        <v>1</v>
      </c>
      <c r="G147" s="271"/>
      <c r="H147" s="271">
        <v>0</v>
      </c>
      <c r="I147" s="271">
        <v>0</v>
      </c>
      <c r="J147" s="643">
        <f t="shared" si="11"/>
        <v>0</v>
      </c>
      <c r="K147" s="293"/>
      <c r="L147" s="293"/>
      <c r="M147" s="321"/>
      <c r="N147" s="293"/>
      <c r="O147" s="293"/>
      <c r="P147" s="293"/>
      <c r="Q147" s="293"/>
      <c r="R147" s="293"/>
      <c r="S147" s="293"/>
      <c r="T147" s="293"/>
      <c r="U147" s="909"/>
      <c r="V147" s="909"/>
      <c r="W147" s="909"/>
      <c r="X147" s="909"/>
      <c r="Y147" s="909"/>
      <c r="Z147" s="909"/>
      <c r="AA147" s="909"/>
      <c r="AB147" s="909"/>
      <c r="AC147" s="909"/>
      <c r="AD147" s="909"/>
      <c r="AE147" s="909"/>
      <c r="AF147" s="909"/>
      <c r="AG147" s="909"/>
    </row>
    <row r="148" spans="1:33" s="649" customFormat="1" ht="17.25" customHeight="1" outlineLevel="2">
      <c r="A148" s="909"/>
      <c r="B148" s="293"/>
      <c r="C148" s="24" t="str">
        <f>Product_08</f>
        <v>Consulting Services</v>
      </c>
      <c r="D148" s="305"/>
      <c r="E148" s="304"/>
      <c r="F148" s="271">
        <v>1</v>
      </c>
      <c r="G148" s="271"/>
      <c r="H148" s="271">
        <v>0</v>
      </c>
      <c r="I148" s="271">
        <v>0</v>
      </c>
      <c r="J148" s="643">
        <f t="shared" si="11"/>
        <v>0</v>
      </c>
      <c r="K148" s="293"/>
      <c r="L148" s="293"/>
      <c r="M148" s="321"/>
      <c r="N148" s="293"/>
      <c r="O148" s="293"/>
      <c r="P148" s="293"/>
      <c r="Q148" s="293"/>
      <c r="R148" s="293"/>
      <c r="S148" s="293"/>
      <c r="T148" s="293"/>
      <c r="U148" s="909"/>
      <c r="V148" s="909"/>
      <c r="W148" s="909"/>
      <c r="X148" s="909"/>
      <c r="Y148" s="909"/>
      <c r="Z148" s="909"/>
      <c r="AA148" s="909"/>
      <c r="AB148" s="909"/>
      <c r="AC148" s="909"/>
      <c r="AD148" s="909"/>
      <c r="AE148" s="909"/>
      <c r="AF148" s="909"/>
      <c r="AG148" s="909"/>
    </row>
    <row r="149" spans="1:33" s="649" customFormat="1" ht="17.25" customHeight="1" outlineLevel="2">
      <c r="A149" s="909"/>
      <c r="B149" s="293"/>
      <c r="C149" s="24" t="str">
        <f>Product_09</f>
        <v>Spare Parts</v>
      </c>
      <c r="D149" s="305"/>
      <c r="E149" s="304"/>
      <c r="F149" s="271">
        <v>1</v>
      </c>
      <c r="G149" s="271"/>
      <c r="H149" s="271">
        <v>0</v>
      </c>
      <c r="I149" s="271">
        <v>0</v>
      </c>
      <c r="J149" s="643">
        <f t="shared" si="11"/>
        <v>0</v>
      </c>
      <c r="K149" s="293"/>
      <c r="L149" s="293"/>
      <c r="M149" s="321"/>
      <c r="N149" s="293"/>
      <c r="O149" s="293"/>
      <c r="P149" s="293"/>
      <c r="Q149" s="293"/>
      <c r="R149" s="293"/>
      <c r="S149" s="293"/>
      <c r="T149" s="293"/>
      <c r="U149" s="909"/>
      <c r="V149" s="909"/>
      <c r="W149" s="909"/>
      <c r="X149" s="909"/>
      <c r="Y149" s="909"/>
      <c r="Z149" s="909"/>
      <c r="AA149" s="909"/>
      <c r="AB149" s="909"/>
      <c r="AC149" s="909"/>
      <c r="AD149" s="909"/>
      <c r="AE149" s="909"/>
      <c r="AF149" s="909"/>
      <c r="AG149" s="909"/>
    </row>
    <row r="150" spans="1:33" s="649" customFormat="1" ht="17.25" customHeight="1" outlineLevel="2">
      <c r="A150" s="909"/>
      <c r="B150" s="293"/>
      <c r="C150" s="24" t="str">
        <f>Product_10</f>
        <v>License Fees</v>
      </c>
      <c r="D150" s="305"/>
      <c r="E150" s="304"/>
      <c r="F150" s="271">
        <v>1</v>
      </c>
      <c r="G150" s="271"/>
      <c r="H150" s="271">
        <v>0</v>
      </c>
      <c r="I150" s="271">
        <v>0</v>
      </c>
      <c r="J150" s="643">
        <f t="shared" si="11"/>
        <v>0</v>
      </c>
      <c r="K150" s="293"/>
      <c r="L150" s="293"/>
      <c r="M150" s="321"/>
      <c r="N150" s="293"/>
      <c r="O150" s="293"/>
      <c r="P150" s="293"/>
      <c r="Q150" s="293"/>
      <c r="R150" s="293"/>
      <c r="S150" s="293"/>
      <c r="T150" s="293"/>
      <c r="U150" s="909"/>
      <c r="V150" s="909"/>
      <c r="W150" s="909"/>
      <c r="X150" s="909"/>
      <c r="Y150" s="909"/>
      <c r="Z150" s="909"/>
      <c r="AA150" s="909"/>
      <c r="AB150" s="909"/>
      <c r="AC150" s="909"/>
      <c r="AD150" s="909"/>
      <c r="AE150" s="909"/>
      <c r="AF150" s="909"/>
      <c r="AG150" s="909"/>
    </row>
    <row r="151" spans="1:33" s="649" customFormat="1" ht="17.25" customHeight="1" outlineLevel="2">
      <c r="A151" s="909"/>
      <c r="B151" s="293"/>
      <c r="C151" s="298"/>
      <c r="D151" s="305"/>
      <c r="E151" s="304"/>
      <c r="F151" s="383"/>
      <c r="G151" s="293"/>
      <c r="H151" s="293"/>
      <c r="I151" s="635" t="s">
        <v>216</v>
      </c>
      <c r="J151" s="643">
        <f>SUM(J141:J150)</f>
        <v>0</v>
      </c>
      <c r="K151" s="293"/>
      <c r="L151" s="293"/>
      <c r="M151" s="321"/>
      <c r="N151" s="293"/>
      <c r="O151" s="293"/>
      <c r="P151" s="293"/>
      <c r="Q151" s="293"/>
      <c r="R151" s="293"/>
      <c r="S151" s="293"/>
      <c r="T151" s="293"/>
      <c r="U151" s="909"/>
      <c r="V151" s="909"/>
      <c r="W151" s="909"/>
      <c r="X151" s="909"/>
      <c r="Y151" s="909"/>
      <c r="Z151" s="909"/>
      <c r="AA151" s="909"/>
      <c r="AB151" s="909"/>
      <c r="AC151" s="909"/>
      <c r="AD151" s="909"/>
      <c r="AE151" s="909"/>
      <c r="AF151" s="909"/>
      <c r="AG151" s="909"/>
    </row>
    <row r="152" spans="1:33" s="649" customFormat="1" ht="17.25" customHeight="1" outlineLevel="1">
      <c r="A152" s="909"/>
      <c r="B152" s="293"/>
      <c r="C152" s="298"/>
      <c r="D152" s="305"/>
      <c r="E152" s="304"/>
      <c r="F152" s="383"/>
      <c r="G152" s="293"/>
      <c r="H152" s="293"/>
      <c r="I152" s="293"/>
      <c r="J152" s="293"/>
      <c r="K152" s="293"/>
      <c r="L152" s="293"/>
      <c r="M152" s="321"/>
      <c r="N152" s="293"/>
      <c r="O152" s="293"/>
      <c r="P152" s="293"/>
      <c r="Q152" s="293"/>
      <c r="R152" s="293"/>
      <c r="S152" s="293"/>
      <c r="T152" s="293"/>
      <c r="U152" s="909"/>
      <c r="V152" s="909"/>
      <c r="W152" s="909"/>
      <c r="X152" s="909"/>
      <c r="Y152" s="909"/>
      <c r="Z152" s="909"/>
      <c r="AA152" s="909"/>
      <c r="AB152" s="909"/>
      <c r="AC152" s="909"/>
      <c r="AD152" s="909"/>
      <c r="AE152" s="909"/>
      <c r="AF152" s="909"/>
      <c r="AG152" s="909"/>
    </row>
    <row r="153" spans="1:33" s="649" customFormat="1" ht="17.25" customHeight="1" outlineLevel="1">
      <c r="A153" s="909"/>
      <c r="B153" s="293"/>
      <c r="C153" s="291" t="str">
        <f>CHOOSE(language,"Payment Profile: Creditors (material/packaging &amp; goods)","Payment Profile: Payables (material/packaging &amp; goods)")</f>
        <v>Payment Profile: Payables (material/packaging &amp; goods)</v>
      </c>
      <c r="D153" s="305"/>
      <c r="E153" s="304"/>
      <c r="F153" s="698" t="s">
        <v>243</v>
      </c>
      <c r="G153" s="699"/>
      <c r="H153" s="699"/>
      <c r="I153" s="700"/>
      <c r="J153" s="293"/>
      <c r="K153" s="293"/>
      <c r="L153" s="293"/>
      <c r="M153" s="321"/>
      <c r="N153" s="293"/>
      <c r="O153" s="293"/>
      <c r="P153" s="293"/>
      <c r="Q153" s="293"/>
      <c r="R153" s="293"/>
      <c r="S153" s="293"/>
      <c r="T153" s="293"/>
      <c r="U153" s="909"/>
      <c r="V153" s="909"/>
      <c r="W153" s="909"/>
      <c r="X153" s="909"/>
      <c r="Y153" s="909"/>
      <c r="Z153" s="909"/>
      <c r="AA153" s="909"/>
      <c r="AB153" s="909"/>
      <c r="AC153" s="909"/>
      <c r="AD153" s="909"/>
      <c r="AE153" s="909"/>
      <c r="AF153" s="909"/>
      <c r="AG153" s="909"/>
    </row>
    <row r="154" spans="1:33" s="649" customFormat="1" ht="17.25" customHeight="1" outlineLevel="2">
      <c r="A154" s="909"/>
      <c r="B154" s="293"/>
      <c r="C154" s="701" t="s">
        <v>242</v>
      </c>
      <c r="D154" s="305"/>
      <c r="E154" s="697"/>
      <c r="F154" s="691" t="s">
        <v>217</v>
      </c>
      <c r="G154" s="688" t="s">
        <v>218</v>
      </c>
      <c r="H154" s="688" t="s">
        <v>219</v>
      </c>
      <c r="I154" s="688" t="s">
        <v>220</v>
      </c>
      <c r="J154" s="312" t="s">
        <v>222</v>
      </c>
      <c r="K154" s="293"/>
      <c r="L154" s="293"/>
      <c r="M154" s="321"/>
      <c r="N154" s="909"/>
      <c r="O154" s="909"/>
      <c r="P154" s="909"/>
      <c r="Q154" s="909"/>
      <c r="R154" s="293"/>
      <c r="S154" s="293"/>
      <c r="T154" s="293"/>
      <c r="U154" s="909"/>
      <c r="V154" s="909"/>
      <c r="W154" s="909"/>
      <c r="X154" s="909"/>
      <c r="Y154" s="909"/>
      <c r="Z154" s="909"/>
      <c r="AA154" s="909"/>
      <c r="AB154" s="909"/>
      <c r="AC154" s="909"/>
      <c r="AD154" s="909"/>
      <c r="AE154" s="909"/>
      <c r="AF154" s="909"/>
      <c r="AG154" s="909"/>
    </row>
    <row r="155" spans="1:33" s="649" customFormat="1" ht="17.25" customHeight="1" outlineLevel="2">
      <c r="A155" s="909"/>
      <c r="B155" s="293"/>
      <c r="C155" s="24" t="str">
        <f>Product_01</f>
        <v>Desktops</v>
      </c>
      <c r="D155" s="305"/>
      <c r="E155" s="304"/>
      <c r="F155" s="271">
        <v>0.25</v>
      </c>
      <c r="G155" s="271">
        <v>0.75</v>
      </c>
      <c r="H155" s="271"/>
      <c r="I155" s="271"/>
      <c r="J155" s="643">
        <f>IF(SUM(F155:I155)=1,0,1)</f>
        <v>0</v>
      </c>
      <c r="K155" s="293"/>
      <c r="L155" s="293"/>
      <c r="M155" s="321"/>
      <c r="N155" s="909"/>
      <c r="O155" s="909"/>
      <c r="P155" s="909"/>
      <c r="Q155" s="909"/>
      <c r="R155" s="293"/>
      <c r="S155" s="293"/>
      <c r="T155" s="293"/>
      <c r="U155" s="909"/>
      <c r="V155" s="909"/>
      <c r="W155" s="909"/>
      <c r="X155" s="909"/>
      <c r="Y155" s="909"/>
      <c r="Z155" s="909"/>
      <c r="AA155" s="909"/>
      <c r="AB155" s="909"/>
      <c r="AC155" s="909"/>
      <c r="AD155" s="909"/>
      <c r="AE155" s="909"/>
      <c r="AF155" s="909"/>
      <c r="AG155" s="909"/>
    </row>
    <row r="156" spans="1:33" s="649" customFormat="1" ht="17.25" customHeight="1" outlineLevel="2">
      <c r="A156" s="909"/>
      <c r="B156" s="293"/>
      <c r="C156" s="24" t="str">
        <f>Product_02</f>
        <v>Workstations</v>
      </c>
      <c r="D156" s="305"/>
      <c r="E156" s="304"/>
      <c r="F156" s="271">
        <v>0.5</v>
      </c>
      <c r="G156" s="271">
        <v>0.5</v>
      </c>
      <c r="H156" s="271">
        <v>0</v>
      </c>
      <c r="I156" s="271"/>
      <c r="J156" s="643">
        <f>IF(SUM(F156:I156)=1,0,1)</f>
        <v>0</v>
      </c>
      <c r="K156" s="293"/>
      <c r="L156" s="293"/>
      <c r="M156" s="321"/>
      <c r="N156" s="909"/>
      <c r="O156" s="909"/>
      <c r="P156" s="909"/>
      <c r="Q156" s="909"/>
      <c r="R156" s="293"/>
      <c r="S156" s="293"/>
      <c r="T156" s="293"/>
      <c r="U156" s="909"/>
      <c r="V156" s="909"/>
      <c r="W156" s="909"/>
      <c r="X156" s="909"/>
      <c r="Y156" s="909"/>
      <c r="Z156" s="909"/>
      <c r="AA156" s="909"/>
      <c r="AB156" s="909"/>
      <c r="AC156" s="909"/>
      <c r="AD156" s="909"/>
      <c r="AE156" s="909"/>
      <c r="AF156" s="909"/>
      <c r="AG156" s="909"/>
    </row>
    <row r="157" spans="1:33" s="649" customFormat="1" ht="17.25" customHeight="1" outlineLevel="2">
      <c r="A157" s="909"/>
      <c r="B157" s="293"/>
      <c r="C157" s="24" t="str">
        <f>Product_03</f>
        <v>Notebooks</v>
      </c>
      <c r="D157" s="305"/>
      <c r="E157" s="304"/>
      <c r="F157" s="271">
        <v>0.6</v>
      </c>
      <c r="G157" s="271">
        <v>0.4</v>
      </c>
      <c r="H157" s="271">
        <v>0</v>
      </c>
      <c r="I157" s="271"/>
      <c r="J157" s="643">
        <f>IF(SUM(F157:I157)=1,0,1)</f>
        <v>0</v>
      </c>
      <c r="K157" s="293"/>
      <c r="L157" s="293"/>
      <c r="M157" s="321"/>
      <c r="N157" s="909"/>
      <c r="O157" s="909"/>
      <c r="P157" s="909"/>
      <c r="Q157" s="909"/>
      <c r="R157" s="293"/>
      <c r="S157" s="293"/>
      <c r="T157" s="293"/>
      <c r="U157" s="909"/>
      <c r="V157" s="909"/>
      <c r="W157" s="909"/>
      <c r="X157" s="909"/>
      <c r="Y157" s="909"/>
      <c r="Z157" s="909"/>
      <c r="AA157" s="909"/>
      <c r="AB157" s="909"/>
      <c r="AC157" s="909"/>
      <c r="AD157" s="909"/>
      <c r="AE157" s="909"/>
      <c r="AF157" s="909"/>
      <c r="AG157" s="909"/>
    </row>
    <row r="158" spans="1:33" s="649" customFormat="1" ht="17.25" customHeight="1" outlineLevel="2">
      <c r="A158" s="909"/>
      <c r="B158" s="293"/>
      <c r="C158" s="24" t="str">
        <f>Product_04</f>
        <v>Software Products</v>
      </c>
      <c r="D158" s="305"/>
      <c r="E158" s="304"/>
      <c r="F158" s="271">
        <v>0</v>
      </c>
      <c r="G158" s="271">
        <v>0.7</v>
      </c>
      <c r="H158" s="271">
        <v>0.2</v>
      </c>
      <c r="I158" s="271">
        <v>0.1</v>
      </c>
      <c r="J158" s="643">
        <f t="shared" ref="J158:J164" si="12">IF(SUM(F158:I158)=1,0,1)</f>
        <v>0</v>
      </c>
      <c r="K158" s="293"/>
      <c r="L158" s="293"/>
      <c r="M158" s="321"/>
      <c r="N158" s="293"/>
      <c r="O158" s="293"/>
      <c r="P158" s="293"/>
      <c r="Q158" s="293"/>
      <c r="R158" s="293"/>
      <c r="S158" s="293"/>
      <c r="T158" s="293"/>
      <c r="U158" s="909"/>
      <c r="V158" s="909"/>
      <c r="W158" s="909"/>
      <c r="X158" s="909"/>
      <c r="Y158" s="909"/>
      <c r="Z158" s="909"/>
      <c r="AA158" s="909"/>
      <c r="AB158" s="909"/>
      <c r="AC158" s="909"/>
      <c r="AD158" s="909"/>
      <c r="AE158" s="909"/>
      <c r="AF158" s="909"/>
      <c r="AG158" s="909"/>
    </row>
    <row r="159" spans="1:33" s="649" customFormat="1" ht="17.25" customHeight="1" outlineLevel="2">
      <c r="A159" s="909"/>
      <c r="B159" s="293"/>
      <c r="C159" s="24" t="str">
        <f>Product_05</f>
        <v>Net work infrastructure solutions</v>
      </c>
      <c r="D159" s="305"/>
      <c r="E159" s="304"/>
      <c r="F159" s="271">
        <v>1</v>
      </c>
      <c r="G159" s="271"/>
      <c r="H159" s="271">
        <v>0</v>
      </c>
      <c r="I159" s="271">
        <v>0</v>
      </c>
      <c r="J159" s="643">
        <f t="shared" si="12"/>
        <v>0</v>
      </c>
      <c r="K159" s="293"/>
      <c r="L159" s="293"/>
      <c r="M159" s="321"/>
      <c r="N159" s="293"/>
      <c r="O159" s="293"/>
      <c r="P159" s="293"/>
      <c r="Q159" s="293"/>
      <c r="R159" s="293"/>
      <c r="S159" s="293"/>
      <c r="T159" s="293"/>
      <c r="U159" s="909"/>
      <c r="V159" s="909"/>
      <c r="W159" s="909"/>
      <c r="X159" s="909"/>
      <c r="Y159" s="909"/>
      <c r="Z159" s="909"/>
      <c r="AA159" s="909"/>
      <c r="AB159" s="909"/>
      <c r="AC159" s="909"/>
      <c r="AD159" s="909"/>
      <c r="AE159" s="909"/>
      <c r="AF159" s="909"/>
      <c r="AG159" s="909"/>
    </row>
    <row r="160" spans="1:33" s="649" customFormat="1" ht="17.25" customHeight="1" outlineLevel="2">
      <c r="A160" s="909"/>
      <c r="B160" s="293"/>
      <c r="C160" s="24" t="str">
        <f>Product_06</f>
        <v>Repair Services</v>
      </c>
      <c r="D160" s="305"/>
      <c r="E160" s="304"/>
      <c r="F160" s="271">
        <v>0.8</v>
      </c>
      <c r="G160" s="271">
        <v>0.2</v>
      </c>
      <c r="H160" s="271">
        <v>0</v>
      </c>
      <c r="I160" s="271">
        <v>0</v>
      </c>
      <c r="J160" s="643">
        <f t="shared" si="12"/>
        <v>0</v>
      </c>
      <c r="K160" s="293"/>
      <c r="L160" s="293"/>
      <c r="M160" s="321"/>
      <c r="N160" s="293"/>
      <c r="O160" s="293"/>
      <c r="P160" s="293"/>
      <c r="Q160" s="293"/>
      <c r="R160" s="293"/>
      <c r="S160" s="293"/>
      <c r="T160" s="293"/>
      <c r="U160" s="909"/>
      <c r="V160" s="909"/>
      <c r="W160" s="909"/>
      <c r="X160" s="909"/>
      <c r="Y160" s="909"/>
      <c r="Z160" s="909"/>
      <c r="AA160" s="909"/>
      <c r="AB160" s="909"/>
      <c r="AC160" s="909"/>
      <c r="AD160" s="909"/>
      <c r="AE160" s="909"/>
      <c r="AF160" s="909"/>
      <c r="AG160" s="909"/>
    </row>
    <row r="161" spans="1:33" s="649" customFormat="1" ht="17.25" customHeight="1" outlineLevel="2">
      <c r="A161" s="909"/>
      <c r="B161" s="293"/>
      <c r="C161" s="24" t="str">
        <f>Product_07</f>
        <v>Integration Services</v>
      </c>
      <c r="D161" s="305"/>
      <c r="E161" s="304"/>
      <c r="F161" s="271">
        <v>0.25</v>
      </c>
      <c r="G161" s="271">
        <v>0.75</v>
      </c>
      <c r="H161" s="271">
        <v>0</v>
      </c>
      <c r="I161" s="271">
        <v>0</v>
      </c>
      <c r="J161" s="643">
        <f t="shared" si="12"/>
        <v>0</v>
      </c>
      <c r="K161" s="293"/>
      <c r="L161" s="293"/>
      <c r="M161" s="321"/>
      <c r="N161" s="293"/>
      <c r="O161" s="293"/>
      <c r="P161" s="293"/>
      <c r="Q161" s="293"/>
      <c r="R161" s="293"/>
      <c r="S161" s="293"/>
      <c r="T161" s="293"/>
      <c r="U161" s="909"/>
      <c r="V161" s="909"/>
      <c r="W161" s="909"/>
      <c r="X161" s="909"/>
      <c r="Y161" s="909"/>
      <c r="Z161" s="909"/>
      <c r="AA161" s="909"/>
      <c r="AB161" s="909"/>
      <c r="AC161" s="909"/>
      <c r="AD161" s="909"/>
      <c r="AE161" s="909"/>
      <c r="AF161" s="909"/>
      <c r="AG161" s="909"/>
    </row>
    <row r="162" spans="1:33" s="649" customFormat="1" ht="17.25" customHeight="1" outlineLevel="2">
      <c r="A162" s="909"/>
      <c r="B162" s="293"/>
      <c r="C162" s="24" t="str">
        <f>Product_08</f>
        <v>Consulting Services</v>
      </c>
      <c r="D162" s="305"/>
      <c r="E162" s="304"/>
      <c r="F162" s="271">
        <v>0.25</v>
      </c>
      <c r="G162" s="271">
        <v>0.75</v>
      </c>
      <c r="H162" s="271">
        <v>0</v>
      </c>
      <c r="I162" s="271">
        <v>0</v>
      </c>
      <c r="J162" s="643">
        <f t="shared" si="12"/>
        <v>0</v>
      </c>
      <c r="K162" s="293"/>
      <c r="L162" s="293"/>
      <c r="M162" s="321"/>
      <c r="N162" s="293"/>
      <c r="O162" s="293"/>
      <c r="P162" s="293"/>
      <c r="Q162" s="293"/>
      <c r="R162" s="293"/>
      <c r="S162" s="293"/>
      <c r="T162" s="293"/>
      <c r="U162" s="909"/>
      <c r="V162" s="909"/>
      <c r="W162" s="909"/>
      <c r="X162" s="909"/>
      <c r="Y162" s="909"/>
      <c r="Z162" s="909"/>
      <c r="AA162" s="909"/>
      <c r="AB162" s="909"/>
      <c r="AC162" s="909"/>
      <c r="AD162" s="909"/>
      <c r="AE162" s="909"/>
      <c r="AF162" s="909"/>
      <c r="AG162" s="909"/>
    </row>
    <row r="163" spans="1:33" s="649" customFormat="1" ht="17.25" customHeight="1" outlineLevel="2">
      <c r="A163" s="909"/>
      <c r="B163" s="293"/>
      <c r="C163" s="24" t="str">
        <f>Product_09</f>
        <v>Spare Parts</v>
      </c>
      <c r="D163" s="305"/>
      <c r="E163" s="304"/>
      <c r="F163" s="271">
        <v>0.9</v>
      </c>
      <c r="G163" s="271">
        <v>0.1</v>
      </c>
      <c r="H163" s="271">
        <v>0</v>
      </c>
      <c r="I163" s="271">
        <v>0</v>
      </c>
      <c r="J163" s="643">
        <f t="shared" si="12"/>
        <v>0</v>
      </c>
      <c r="K163" s="293"/>
      <c r="L163" s="293"/>
      <c r="M163" s="321"/>
      <c r="N163" s="293"/>
      <c r="O163" s="293"/>
      <c r="P163" s="293"/>
      <c r="Q163" s="293"/>
      <c r="R163" s="293"/>
      <c r="S163" s="293"/>
      <c r="T163" s="293"/>
      <c r="U163" s="909"/>
      <c r="V163" s="909"/>
      <c r="W163" s="909"/>
      <c r="X163" s="909"/>
      <c r="Y163" s="909"/>
      <c r="Z163" s="909"/>
      <c r="AA163" s="909"/>
      <c r="AB163" s="909"/>
      <c r="AC163" s="909"/>
      <c r="AD163" s="909"/>
      <c r="AE163" s="909"/>
      <c r="AF163" s="909"/>
      <c r="AG163" s="909"/>
    </row>
    <row r="164" spans="1:33" s="649" customFormat="1" ht="17.25" customHeight="1" outlineLevel="2">
      <c r="A164" s="909"/>
      <c r="B164" s="293"/>
      <c r="C164" s="24" t="str">
        <f>Product_10</f>
        <v>License Fees</v>
      </c>
      <c r="D164" s="305"/>
      <c r="E164" s="304"/>
      <c r="F164" s="271">
        <v>1</v>
      </c>
      <c r="G164" s="271"/>
      <c r="H164" s="271">
        <v>0</v>
      </c>
      <c r="I164" s="271">
        <v>0</v>
      </c>
      <c r="J164" s="643">
        <f t="shared" si="12"/>
        <v>0</v>
      </c>
      <c r="K164" s="293"/>
      <c r="L164" s="293"/>
      <c r="M164" s="321"/>
      <c r="N164" s="293"/>
      <c r="O164" s="293"/>
      <c r="P164" s="293"/>
      <c r="Q164" s="293"/>
      <c r="R164" s="293"/>
      <c r="S164" s="293"/>
      <c r="T164" s="293"/>
      <c r="U164" s="909"/>
      <c r="V164" s="909"/>
      <c r="W164" s="909"/>
      <c r="X164" s="909"/>
      <c r="Y164" s="909"/>
      <c r="Z164" s="909"/>
      <c r="AA164" s="909"/>
      <c r="AB164" s="909"/>
      <c r="AC164" s="909"/>
      <c r="AD164" s="909"/>
      <c r="AE164" s="909"/>
      <c r="AF164" s="909"/>
      <c r="AG164" s="909"/>
    </row>
    <row r="165" spans="1:33" s="649" customFormat="1" ht="17.25" customHeight="1" outlineLevel="2">
      <c r="A165" s="909"/>
      <c r="B165" s="293"/>
      <c r="C165" s="298"/>
      <c r="D165" s="305"/>
      <c r="E165" s="304"/>
      <c r="F165" s="383"/>
      <c r="G165" s="293"/>
      <c r="H165" s="293"/>
      <c r="I165" s="635" t="s">
        <v>216</v>
      </c>
      <c r="J165" s="643">
        <f>SUM(J155:J164)</f>
        <v>0</v>
      </c>
      <c r="K165" s="293"/>
      <c r="L165" s="293"/>
      <c r="M165" s="321"/>
      <c r="N165" s="293"/>
      <c r="O165" s="293"/>
      <c r="P165" s="293"/>
      <c r="Q165" s="293"/>
      <c r="R165" s="293"/>
      <c r="S165" s="293"/>
      <c r="T165" s="293"/>
      <c r="U165" s="909"/>
      <c r="V165" s="909"/>
      <c r="W165" s="909"/>
      <c r="X165" s="909"/>
      <c r="Y165" s="909"/>
      <c r="Z165" s="909"/>
      <c r="AA165" s="909"/>
      <c r="AB165" s="909"/>
      <c r="AC165" s="909"/>
      <c r="AD165" s="909"/>
      <c r="AE165" s="909"/>
      <c r="AF165" s="909"/>
      <c r="AG165" s="909"/>
    </row>
    <row r="166" spans="1:33" s="117" customFormat="1" ht="12.75" customHeight="1" outlineLevel="1">
      <c r="A166" s="909"/>
      <c r="B166" s="184"/>
      <c r="C166" s="290"/>
      <c r="D166" s="305"/>
      <c r="E166" s="184"/>
      <c r="F166" s="304"/>
      <c r="G166" s="184"/>
      <c r="H166" s="184"/>
      <c r="I166" s="184"/>
      <c r="J166" s="184"/>
      <c r="K166" s="184"/>
      <c r="L166" s="184"/>
      <c r="M166" s="184"/>
      <c r="N166" s="184"/>
      <c r="O166" s="184"/>
      <c r="P166" s="184"/>
      <c r="Q166" s="184"/>
      <c r="R166" s="184"/>
      <c r="S166" s="184"/>
      <c r="T166" s="184"/>
      <c r="U166" s="909"/>
      <c r="V166" s="909"/>
      <c r="W166" s="909"/>
      <c r="X166" s="909"/>
      <c r="Y166" s="909"/>
      <c r="Z166" s="909"/>
      <c r="AA166" s="909"/>
      <c r="AB166" s="909"/>
      <c r="AC166" s="909"/>
      <c r="AD166" s="909"/>
      <c r="AE166" s="909"/>
      <c r="AF166" s="909"/>
      <c r="AG166" s="909"/>
    </row>
    <row r="167" spans="1:33" s="117" customFormat="1" ht="20.25" outlineLevel="1">
      <c r="A167" s="909"/>
      <c r="B167" s="184"/>
      <c r="C167" s="298" t="s">
        <v>374</v>
      </c>
      <c r="D167" s="305"/>
      <c r="E167" s="304"/>
      <c r="F167" s="184"/>
      <c r="G167" s="184"/>
      <c r="H167" s="184"/>
      <c r="I167" s="184"/>
      <c r="J167" s="184"/>
      <c r="K167" s="184"/>
      <c r="L167" s="184"/>
      <c r="M167" s="184"/>
      <c r="N167" s="184"/>
      <c r="O167" s="184"/>
      <c r="P167" s="184"/>
      <c r="Q167" s="184"/>
      <c r="R167" s="184"/>
      <c r="S167" s="184"/>
      <c r="T167" s="184"/>
      <c r="U167" s="909"/>
      <c r="V167" s="909"/>
      <c r="W167" s="909"/>
      <c r="X167" s="909"/>
      <c r="Y167" s="909"/>
      <c r="Z167" s="909"/>
      <c r="AA167" s="909"/>
      <c r="AB167" s="909"/>
      <c r="AC167" s="909"/>
      <c r="AD167" s="909"/>
      <c r="AE167" s="909"/>
      <c r="AF167" s="909"/>
      <c r="AG167" s="909"/>
    </row>
    <row r="168" spans="1:33" s="203" customFormat="1" ht="15" outlineLevel="2">
      <c r="A168" s="909"/>
      <c r="B168" s="308" t="s">
        <v>33</v>
      </c>
      <c r="C168" s="291" t="str">
        <f>CHOOSE(language,"Taxes on Profit","Taxes on Income")</f>
        <v>Taxes on Income</v>
      </c>
      <c r="D168" s="305"/>
      <c r="E168" s="184"/>
      <c r="F168" s="184"/>
      <c r="G168" s="293"/>
      <c r="H168" s="293"/>
      <c r="I168" s="293"/>
      <c r="J168" s="293"/>
      <c r="K168" s="293"/>
      <c r="L168" s="293"/>
      <c r="M168" s="293"/>
      <c r="N168" s="293"/>
      <c r="O168" s="184"/>
      <c r="P168" s="184"/>
      <c r="Q168" s="184"/>
      <c r="R168" s="184"/>
      <c r="S168" s="184"/>
      <c r="T168" s="184"/>
      <c r="U168" s="909"/>
      <c r="V168" s="909"/>
      <c r="W168" s="909"/>
      <c r="X168" s="909"/>
      <c r="Y168" s="909"/>
      <c r="Z168" s="909"/>
      <c r="AA168" s="909"/>
      <c r="AB168" s="909"/>
      <c r="AC168" s="909"/>
      <c r="AD168" s="909"/>
      <c r="AE168" s="909"/>
      <c r="AF168" s="909"/>
      <c r="AG168" s="909"/>
    </row>
    <row r="169" spans="1:33" s="203" customFormat="1" ht="17.25" customHeight="1" outlineLevel="2">
      <c r="A169" s="909"/>
      <c r="B169" s="567"/>
      <c r="C169" s="763" t="s">
        <v>525</v>
      </c>
      <c r="D169" s="781"/>
      <c r="E169" s="436" t="s">
        <v>26</v>
      </c>
      <c r="F169" s="782">
        <v>0.3</v>
      </c>
      <c r="G169" s="910"/>
      <c r="H169" s="910"/>
      <c r="I169" s="910"/>
      <c r="J169" s="910"/>
      <c r="K169" s="910"/>
      <c r="L169" s="567"/>
      <c r="M169" s="293"/>
      <c r="N169" s="293"/>
      <c r="O169" s="184"/>
      <c r="P169" s="184"/>
      <c r="Q169" s="184"/>
      <c r="R169" s="184"/>
      <c r="S169" s="184"/>
      <c r="T169" s="184"/>
      <c r="U169" s="909"/>
      <c r="V169" s="909"/>
      <c r="W169" s="909"/>
      <c r="X169" s="909"/>
      <c r="Y169" s="909"/>
      <c r="Z169" s="909"/>
      <c r="AA169" s="909"/>
      <c r="AB169" s="909"/>
      <c r="AC169" s="909"/>
      <c r="AD169" s="909"/>
      <c r="AE169" s="909"/>
      <c r="AF169" s="909"/>
      <c r="AG169" s="909"/>
    </row>
    <row r="170" spans="1:33" s="203" customFormat="1" ht="17.25" customHeight="1" outlineLevel="2">
      <c r="A170" s="909"/>
      <c r="B170" s="567"/>
      <c r="C170" s="763" t="s">
        <v>526</v>
      </c>
      <c r="D170" s="567"/>
      <c r="E170" s="436" t="str">
        <f>Currency_Label</f>
        <v>USD</v>
      </c>
      <c r="F170" s="451">
        <v>0</v>
      </c>
      <c r="G170" s="910"/>
      <c r="H170" s="910"/>
      <c r="I170" s="910"/>
      <c r="J170" s="910"/>
      <c r="K170" s="910"/>
      <c r="L170" s="567"/>
      <c r="M170" s="293"/>
      <c r="N170" s="293"/>
      <c r="O170" s="184"/>
      <c r="P170" s="184"/>
      <c r="Q170" s="184"/>
      <c r="R170" s="184"/>
      <c r="S170" s="184"/>
      <c r="T170" s="184"/>
      <c r="U170" s="909"/>
      <c r="V170" s="909"/>
      <c r="W170" s="909"/>
      <c r="X170" s="909"/>
      <c r="Y170" s="909"/>
      <c r="Z170" s="909"/>
      <c r="AA170" s="909"/>
      <c r="AB170" s="909"/>
      <c r="AC170" s="909"/>
      <c r="AD170" s="909"/>
      <c r="AE170" s="909"/>
      <c r="AF170" s="909"/>
      <c r="AG170" s="909"/>
    </row>
    <row r="171" spans="1:33" s="203" customFormat="1" ht="17.25" customHeight="1" outlineLevel="2">
      <c r="A171" s="909"/>
      <c r="B171" s="567"/>
      <c r="C171" s="190"/>
      <c r="D171" s="781"/>
      <c r="E171" s="910"/>
      <c r="F171" s="910"/>
      <c r="G171" s="910"/>
      <c r="H171" s="910"/>
      <c r="I171" s="910"/>
      <c r="J171" s="910"/>
      <c r="K171" s="910"/>
      <c r="L171" s="567"/>
      <c r="M171" s="184"/>
      <c r="N171" s="184"/>
      <c r="O171" s="184"/>
      <c r="P171" s="184"/>
      <c r="Q171" s="184"/>
      <c r="R171" s="184"/>
      <c r="S171" s="184"/>
      <c r="T171" s="184"/>
      <c r="U171" s="909"/>
      <c r="V171" s="909"/>
      <c r="W171" s="909"/>
      <c r="X171" s="909"/>
      <c r="Y171" s="909"/>
      <c r="Z171" s="909"/>
      <c r="AA171" s="909"/>
      <c r="AB171" s="909"/>
      <c r="AC171" s="909"/>
      <c r="AD171" s="909"/>
      <c r="AE171" s="909"/>
      <c r="AF171" s="909"/>
      <c r="AG171" s="909"/>
    </row>
    <row r="172" spans="1:33" s="203" customFormat="1" ht="17.25" customHeight="1" outlineLevel="2">
      <c r="A172" s="909"/>
      <c r="B172" s="567"/>
      <c r="C172" s="783" t="s">
        <v>531</v>
      </c>
      <c r="D172" s="567"/>
      <c r="E172" s="436" t="s">
        <v>815</v>
      </c>
      <c r="F172" s="958">
        <f>YEAR(Startdatum)</f>
        <v>2019</v>
      </c>
      <c r="G172" s="958">
        <f>F172+1</f>
        <v>2020</v>
      </c>
      <c r="H172" s="910"/>
      <c r="I172" s="910"/>
      <c r="J172" s="910"/>
      <c r="K172" s="910"/>
      <c r="L172" s="567"/>
      <c r="M172" s="184"/>
      <c r="N172" s="184"/>
      <c r="O172" s="184"/>
      <c r="P172" s="184"/>
      <c r="Q172" s="184"/>
      <c r="R172" s="184"/>
      <c r="S172" s="184"/>
      <c r="T172" s="184"/>
      <c r="U172" s="909"/>
      <c r="V172" s="909"/>
      <c r="W172" s="909"/>
      <c r="X172" s="909"/>
      <c r="Y172" s="909"/>
      <c r="Z172" s="909"/>
      <c r="AA172" s="909"/>
      <c r="AB172" s="909"/>
      <c r="AC172" s="909"/>
      <c r="AD172" s="909"/>
      <c r="AE172" s="909"/>
      <c r="AF172" s="909"/>
      <c r="AG172" s="909"/>
    </row>
    <row r="173" spans="1:33" s="203" customFormat="1" ht="17.25" customHeight="1" outlineLevel="2">
      <c r="A173" s="909"/>
      <c r="B173" s="567"/>
      <c r="C173" s="763" t="s">
        <v>529</v>
      </c>
      <c r="D173" s="567"/>
      <c r="E173" s="436" t="str">
        <f>Currency_Label &amp;" p.a."</f>
        <v>USD p.a.</v>
      </c>
      <c r="F173" s="451">
        <v>80000</v>
      </c>
      <c r="G173" s="451">
        <v>100000</v>
      </c>
      <c r="H173" s="910"/>
      <c r="I173" s="910"/>
      <c r="J173" s="910"/>
      <c r="K173" s="910"/>
      <c r="L173" s="567"/>
      <c r="M173" s="184"/>
      <c r="N173" s="184"/>
      <c r="O173" s="184"/>
      <c r="P173" s="184"/>
      <c r="Q173" s="184"/>
      <c r="R173" s="184"/>
      <c r="S173" s="184"/>
      <c r="T173" s="184"/>
      <c r="U173" s="909"/>
      <c r="V173" s="909"/>
      <c r="W173" s="909"/>
      <c r="X173" s="909"/>
      <c r="Y173" s="909"/>
      <c r="Z173" s="909"/>
      <c r="AA173" s="909"/>
      <c r="AB173" s="909"/>
      <c r="AC173" s="909"/>
      <c r="AD173" s="909"/>
      <c r="AE173" s="909"/>
      <c r="AF173" s="909"/>
      <c r="AG173" s="909"/>
    </row>
    <row r="174" spans="1:33" s="203" customFormat="1" ht="17.25" customHeight="1" outlineLevel="2">
      <c r="A174" s="909"/>
      <c r="B174" s="567"/>
      <c r="C174" s="510" t="s">
        <v>530</v>
      </c>
      <c r="D174" s="567"/>
      <c r="E174" s="436" t="str">
        <f>Currency_Label &amp;" p.a."</f>
        <v>USD p.a.</v>
      </c>
      <c r="F174" s="511">
        <f ca="1">Taxes!J45</f>
        <v>88863.801818194697</v>
      </c>
      <c r="G174" s="511">
        <f ca="1">Taxes!K45</f>
        <v>108345.98779931097</v>
      </c>
      <c r="H174" s="910"/>
      <c r="I174" s="910"/>
      <c r="J174" s="910"/>
      <c r="K174" s="910"/>
      <c r="L174" s="567"/>
      <c r="M174" s="184"/>
      <c r="N174" s="184"/>
      <c r="O174" s="184"/>
      <c r="P174" s="184"/>
      <c r="Q174" s="184"/>
      <c r="R174" s="184"/>
      <c r="S174" s="184"/>
      <c r="T174" s="184"/>
      <c r="U174" s="909"/>
      <c r="V174" s="909"/>
      <c r="W174" s="909"/>
      <c r="X174" s="909"/>
      <c r="Y174" s="909"/>
      <c r="Z174" s="909"/>
      <c r="AA174" s="909"/>
      <c r="AB174" s="909"/>
      <c r="AC174" s="909"/>
      <c r="AD174" s="909"/>
      <c r="AE174" s="909"/>
      <c r="AF174" s="909"/>
      <c r="AG174" s="909"/>
    </row>
    <row r="175" spans="1:33" s="203" customFormat="1" ht="17.25" customHeight="1" outlineLevel="2">
      <c r="A175" s="909"/>
      <c r="B175" s="567"/>
      <c r="C175" s="190"/>
      <c r="D175" s="781"/>
      <c r="E175" s="910"/>
      <c r="F175" s="910"/>
      <c r="G175" s="910"/>
      <c r="H175" s="910"/>
      <c r="I175" s="910"/>
      <c r="J175" s="910"/>
      <c r="K175" s="910"/>
      <c r="L175" s="567"/>
      <c r="M175" s="184"/>
      <c r="N175" s="184"/>
      <c r="O175" s="184"/>
      <c r="P175" s="184"/>
      <c r="Q175" s="184"/>
      <c r="R175" s="184"/>
      <c r="S175" s="184"/>
      <c r="T175" s="184"/>
      <c r="U175" s="909"/>
      <c r="V175" s="909"/>
      <c r="W175" s="909"/>
      <c r="X175" s="909"/>
      <c r="Y175" s="909"/>
      <c r="Z175" s="909"/>
      <c r="AA175" s="909"/>
      <c r="AB175" s="909"/>
      <c r="AC175" s="909"/>
      <c r="AD175" s="909"/>
      <c r="AE175" s="909"/>
      <c r="AF175" s="909"/>
      <c r="AG175" s="909"/>
    </row>
    <row r="176" spans="1:33" s="203" customFormat="1" ht="17.25" customHeight="1" outlineLevel="2">
      <c r="A176" s="909"/>
      <c r="B176" s="567"/>
      <c r="C176" s="763" t="s">
        <v>528</v>
      </c>
      <c r="D176" s="567"/>
      <c r="E176" s="436" t="s">
        <v>816</v>
      </c>
      <c r="F176" s="935">
        <v>3</v>
      </c>
      <c r="G176" s="784">
        <f>F176+mths_quarter</f>
        <v>6</v>
      </c>
      <c r="H176" s="784">
        <f>G176+mths_quarter</f>
        <v>9</v>
      </c>
      <c r="I176" s="784">
        <f>H176+mths_quarter</f>
        <v>12</v>
      </c>
      <c r="J176" s="910"/>
      <c r="K176" s="910"/>
      <c r="L176" s="567"/>
      <c r="M176" s="184"/>
      <c r="N176" s="184"/>
      <c r="O176" s="184"/>
      <c r="P176" s="184"/>
      <c r="Q176" s="184"/>
      <c r="R176" s="184"/>
      <c r="S176" s="184"/>
      <c r="T176" s="184"/>
      <c r="U176" s="909"/>
      <c r="V176" s="909"/>
      <c r="W176" s="909"/>
      <c r="X176" s="909"/>
      <c r="Y176" s="909"/>
      <c r="Z176" s="909"/>
      <c r="AA176" s="909"/>
      <c r="AB176" s="909"/>
      <c r="AC176" s="909"/>
      <c r="AD176" s="909"/>
      <c r="AE176" s="909"/>
      <c r="AF176" s="909"/>
      <c r="AG176" s="909"/>
    </row>
    <row r="177" spans="1:33" s="203" customFormat="1" ht="17.25" customHeight="1" outlineLevel="2">
      <c r="A177" s="909"/>
      <c r="B177" s="567"/>
      <c r="C177" s="510" t="s">
        <v>527</v>
      </c>
      <c r="D177" s="781"/>
      <c r="E177" s="436" t="s">
        <v>816</v>
      </c>
      <c r="F177" s="935">
        <v>4</v>
      </c>
      <c r="G177" s="910" t="s">
        <v>817</v>
      </c>
      <c r="H177" s="910"/>
      <c r="I177" s="910"/>
      <c r="J177" s="910"/>
      <c r="K177" s="910"/>
      <c r="L177" s="567"/>
      <c r="M177" s="184"/>
      <c r="N177" s="184"/>
      <c r="O177" s="184"/>
      <c r="P177" s="184"/>
      <c r="Q177" s="184"/>
      <c r="R177" s="184"/>
      <c r="S177" s="184"/>
      <c r="T177" s="184"/>
      <c r="U177" s="909"/>
      <c r="V177" s="909"/>
      <c r="W177" s="909"/>
      <c r="X177" s="909"/>
      <c r="Y177" s="909"/>
      <c r="Z177" s="909"/>
      <c r="AA177" s="909"/>
      <c r="AB177" s="909"/>
      <c r="AC177" s="909"/>
      <c r="AD177" s="909"/>
      <c r="AE177" s="909"/>
      <c r="AF177" s="909"/>
      <c r="AG177" s="909"/>
    </row>
    <row r="178" spans="1:33" s="203" customFormat="1" ht="17.25" customHeight="1" outlineLevel="2">
      <c r="A178" s="909"/>
      <c r="B178" s="567"/>
      <c r="C178" s="190"/>
      <c r="D178" s="781"/>
      <c r="E178" s="910"/>
      <c r="F178" s="910"/>
      <c r="G178" s="910"/>
      <c r="H178" s="910"/>
      <c r="I178" s="910"/>
      <c r="J178" s="910"/>
      <c r="K178" s="910"/>
      <c r="L178" s="567"/>
      <c r="M178" s="184"/>
      <c r="N178" s="184"/>
      <c r="O178" s="184"/>
      <c r="P178" s="184"/>
      <c r="Q178" s="184"/>
      <c r="R178" s="184"/>
      <c r="S178" s="184"/>
      <c r="T178" s="184"/>
      <c r="U178" s="909"/>
      <c r="V178" s="909"/>
      <c r="W178" s="909"/>
      <c r="X178" s="909"/>
      <c r="Y178" s="909"/>
      <c r="Z178" s="909"/>
      <c r="AA178" s="909"/>
      <c r="AB178" s="909"/>
      <c r="AC178" s="909"/>
      <c r="AD178" s="909"/>
      <c r="AE178" s="909"/>
      <c r="AF178" s="909"/>
      <c r="AG178" s="909"/>
    </row>
    <row r="179" spans="1:33" s="117" customFormat="1" ht="15" outlineLevel="2">
      <c r="A179" s="909"/>
      <c r="B179" s="308" t="s">
        <v>34</v>
      </c>
      <c r="C179" s="291" t="s">
        <v>127</v>
      </c>
      <c r="D179" s="305"/>
      <c r="E179" s="910"/>
      <c r="F179" s="910"/>
      <c r="G179" s="910"/>
      <c r="H179" s="910"/>
      <c r="I179" s="910"/>
      <c r="J179" s="910"/>
      <c r="K179" s="910"/>
      <c r="L179" s="184"/>
      <c r="M179" s="184"/>
      <c r="N179" s="184"/>
      <c r="O179" s="184"/>
      <c r="P179" s="184"/>
      <c r="Q179" s="184"/>
      <c r="R179" s="184"/>
      <c r="S179" s="184"/>
      <c r="T179" s="184"/>
      <c r="U179" s="909"/>
      <c r="V179" s="909"/>
      <c r="W179" s="909"/>
      <c r="X179" s="909"/>
      <c r="Y179" s="909"/>
      <c r="Z179" s="909"/>
      <c r="AA179" s="909"/>
      <c r="AB179" s="909"/>
      <c r="AC179" s="909"/>
      <c r="AD179" s="909"/>
      <c r="AE179" s="909"/>
      <c r="AF179" s="909"/>
      <c r="AG179" s="909"/>
    </row>
    <row r="180" spans="1:33" s="117" customFormat="1" ht="18" customHeight="1" outlineLevel="2">
      <c r="A180" s="909"/>
      <c r="B180" s="184"/>
      <c r="C180" s="40" t="s">
        <v>124</v>
      </c>
      <c r="D180" s="305"/>
      <c r="E180" s="436" t="s">
        <v>133</v>
      </c>
      <c r="F180" s="934" t="s">
        <v>125</v>
      </c>
      <c r="G180" s="910" t="s">
        <v>134</v>
      </c>
      <c r="H180" s="910"/>
      <c r="I180" s="910"/>
      <c r="J180" s="910"/>
      <c r="K180" s="910"/>
      <c r="L180" s="184"/>
      <c r="M180" s="184"/>
      <c r="N180" s="184"/>
      <c r="O180" s="184"/>
      <c r="P180" s="184"/>
      <c r="Q180" s="184"/>
      <c r="R180" s="184"/>
      <c r="S180" s="184"/>
      <c r="T180" s="184"/>
      <c r="U180" s="909"/>
      <c r="V180" s="909"/>
      <c r="W180" s="909"/>
      <c r="X180" s="909"/>
      <c r="Y180" s="909"/>
      <c r="Z180" s="909"/>
      <c r="AA180" s="909"/>
      <c r="AB180" s="909"/>
      <c r="AC180" s="909"/>
      <c r="AD180" s="909"/>
      <c r="AE180" s="909"/>
      <c r="AF180" s="909"/>
      <c r="AG180" s="909"/>
    </row>
    <row r="181" spans="1:33" s="203" customFormat="1" ht="18" customHeight="1" outlineLevel="2">
      <c r="A181" s="909"/>
      <c r="B181" s="293"/>
      <c r="C181" s="318" t="str">
        <f>Name_VAT &amp; " - Rates"</f>
        <v>VAT - Rates</v>
      </c>
      <c r="D181" s="305"/>
      <c r="E181" s="293"/>
      <c r="F181" s="293" t="s">
        <v>145</v>
      </c>
      <c r="G181" s="299"/>
      <c r="H181" s="299"/>
      <c r="I181" s="299"/>
      <c r="J181" s="299"/>
      <c r="K181" s="293"/>
      <c r="L181" s="293"/>
      <c r="M181" s="293"/>
      <c r="N181" s="293"/>
      <c r="O181" s="293"/>
      <c r="P181" s="293"/>
      <c r="Q181" s="293"/>
      <c r="R181" s="293"/>
      <c r="S181" s="293"/>
      <c r="T181" s="293"/>
      <c r="U181" s="909"/>
      <c r="V181" s="909"/>
      <c r="W181" s="909"/>
      <c r="X181" s="909"/>
      <c r="Y181" s="909"/>
      <c r="Z181" s="909"/>
      <c r="AA181" s="909"/>
      <c r="AB181" s="909"/>
      <c r="AC181" s="909"/>
      <c r="AD181" s="909"/>
      <c r="AE181" s="909"/>
      <c r="AF181" s="909"/>
      <c r="AG181" s="909"/>
    </row>
    <row r="182" spans="1:33" s="117" customFormat="1" ht="18" customHeight="1" outlineLevel="2">
      <c r="A182" s="909"/>
      <c r="B182" s="184"/>
      <c r="C182" s="40" t="s">
        <v>378</v>
      </c>
      <c r="D182" s="305"/>
      <c r="E182" s="8" t="s">
        <v>26</v>
      </c>
      <c r="F182" s="247">
        <v>0</v>
      </c>
      <c r="G182" s="299"/>
      <c r="H182" s="306"/>
      <c r="I182" s="306"/>
      <c r="J182" s="293"/>
      <c r="K182" s="293"/>
      <c r="L182" s="293"/>
      <c r="M182" s="293"/>
      <c r="N182" s="184"/>
      <c r="O182" s="184"/>
      <c r="P182" s="184"/>
      <c r="Q182" s="184"/>
      <c r="R182" s="184"/>
      <c r="S182" s="184"/>
      <c r="T182" s="184"/>
      <c r="U182" s="909"/>
      <c r="V182" s="909"/>
      <c r="W182" s="909"/>
      <c r="X182" s="909"/>
      <c r="Y182" s="909"/>
      <c r="Z182" s="909"/>
      <c r="AA182" s="909"/>
      <c r="AB182" s="909"/>
      <c r="AC182" s="909"/>
      <c r="AD182" s="909"/>
      <c r="AE182" s="909"/>
      <c r="AF182" s="909"/>
      <c r="AG182" s="909"/>
    </row>
    <row r="183" spans="1:33" s="117" customFormat="1" ht="18" customHeight="1" outlineLevel="2">
      <c r="A183" s="909"/>
      <c r="B183" s="184"/>
      <c r="C183" s="40" t="s">
        <v>130</v>
      </c>
      <c r="D183" s="305"/>
      <c r="E183" s="8" t="s">
        <v>26</v>
      </c>
      <c r="F183" s="1028">
        <v>0.2</v>
      </c>
      <c r="G183" s="299"/>
      <c r="H183" s="306"/>
      <c r="I183" s="306"/>
      <c r="J183" s="293"/>
      <c r="K183" s="909"/>
      <c r="L183" s="909"/>
      <c r="M183" s="909"/>
      <c r="N183" s="909"/>
      <c r="O183" s="184"/>
      <c r="P183" s="184"/>
      <c r="Q183" s="184"/>
      <c r="R183" s="184"/>
      <c r="S183" s="184"/>
      <c r="T183" s="184"/>
      <c r="U183" s="909"/>
      <c r="V183" s="909"/>
      <c r="W183" s="909"/>
      <c r="X183" s="909"/>
      <c r="Y183" s="909"/>
      <c r="Z183" s="909"/>
      <c r="AA183" s="909"/>
      <c r="AB183" s="909"/>
      <c r="AC183" s="909"/>
      <c r="AD183" s="909"/>
      <c r="AE183" s="909"/>
      <c r="AF183" s="909"/>
      <c r="AG183" s="909"/>
    </row>
    <row r="184" spans="1:33" s="83" customFormat="1" ht="18" customHeight="1" outlineLevel="2">
      <c r="A184" s="909"/>
      <c r="B184" s="184"/>
      <c r="C184" s="40" t="s">
        <v>131</v>
      </c>
      <c r="D184" s="305"/>
      <c r="E184" s="8" t="s">
        <v>26</v>
      </c>
      <c r="F184" s="1028">
        <v>0.1</v>
      </c>
      <c r="G184" s="299"/>
      <c r="H184" s="306"/>
      <c r="I184" s="306"/>
      <c r="J184" s="184"/>
      <c r="K184" s="909"/>
      <c r="L184" s="909"/>
      <c r="M184" s="909"/>
      <c r="N184" s="909"/>
      <c r="O184" s="184"/>
      <c r="P184" s="184"/>
      <c r="Q184" s="184"/>
      <c r="R184" s="184"/>
      <c r="S184" s="184"/>
      <c r="T184" s="184"/>
      <c r="U184" s="909"/>
      <c r="V184" s="909"/>
      <c r="W184" s="909"/>
      <c r="X184" s="909"/>
      <c r="Y184" s="909"/>
      <c r="Z184" s="909"/>
      <c r="AA184" s="909"/>
      <c r="AB184" s="909"/>
      <c r="AC184" s="909"/>
      <c r="AD184" s="909"/>
      <c r="AE184" s="909"/>
      <c r="AF184" s="909"/>
      <c r="AG184" s="909"/>
    </row>
    <row r="185" spans="1:33" s="117" customFormat="1" ht="18" customHeight="1" outlineLevel="2">
      <c r="A185" s="909"/>
      <c r="B185" s="184"/>
      <c r="C185" s="40" t="s">
        <v>132</v>
      </c>
      <c r="D185" s="305"/>
      <c r="E185" s="8" t="s">
        <v>26</v>
      </c>
      <c r="F185" s="1028">
        <v>0.08</v>
      </c>
      <c r="G185" s="299"/>
      <c r="H185" s="306"/>
      <c r="I185" s="306"/>
      <c r="J185" s="184"/>
      <c r="K185" s="909"/>
      <c r="L185" s="909"/>
      <c r="M185" s="909"/>
      <c r="N185" s="909"/>
      <c r="O185" s="184"/>
      <c r="P185" s="184"/>
      <c r="Q185" s="184"/>
      <c r="R185" s="184"/>
      <c r="S185" s="184"/>
      <c r="T185" s="184"/>
      <c r="U185" s="909"/>
      <c r="V185" s="909"/>
      <c r="W185" s="909"/>
      <c r="X185" s="909"/>
      <c r="Y185" s="909"/>
      <c r="Z185" s="909"/>
      <c r="AA185" s="909"/>
      <c r="AB185" s="909"/>
      <c r="AC185" s="909"/>
      <c r="AD185" s="909"/>
      <c r="AE185" s="909"/>
      <c r="AF185" s="909"/>
      <c r="AG185" s="909"/>
    </row>
    <row r="186" spans="1:33" s="203" customFormat="1" ht="18" customHeight="1" outlineLevel="2">
      <c r="A186" s="909"/>
      <c r="B186" s="293"/>
      <c r="C186" s="318" t="str">
        <f>Name_VAT &amp; " - Payment Dates"</f>
        <v>VAT - Payment Dates</v>
      </c>
      <c r="D186" s="293"/>
      <c r="E186" s="304"/>
      <c r="F186" s="293"/>
      <c r="G186" s="293"/>
      <c r="H186" s="293"/>
      <c r="I186" s="306"/>
      <c r="J186" s="293"/>
      <c r="K186" s="306"/>
      <c r="L186" s="306"/>
      <c r="M186" s="293"/>
      <c r="N186" s="293"/>
      <c r="O186" s="293"/>
      <c r="P186" s="293"/>
      <c r="Q186" s="293"/>
      <c r="R186" s="293"/>
      <c r="S186" s="293"/>
      <c r="T186" s="293"/>
      <c r="U186" s="909"/>
      <c r="V186" s="909"/>
      <c r="W186" s="909"/>
      <c r="X186" s="909"/>
      <c r="Y186" s="909"/>
      <c r="Z186" s="909"/>
      <c r="AA186" s="909"/>
      <c r="AB186" s="909"/>
      <c r="AC186" s="909"/>
      <c r="AD186" s="909"/>
      <c r="AE186" s="909"/>
      <c r="AF186" s="909"/>
      <c r="AG186" s="909"/>
    </row>
    <row r="187" spans="1:33" s="203" customFormat="1" ht="18" customHeight="1" outlineLevel="2">
      <c r="A187" s="909"/>
      <c r="B187" s="293"/>
      <c r="C187" s="306" t="str">
        <f>"Intervall when "&amp;Name_VAT&amp;" is paid to or refunded by state/tax authority"</f>
        <v>Intervall when VAT is paid to or refunded by state/tax authority</v>
      </c>
      <c r="D187" s="293"/>
      <c r="E187" s="515" t="s">
        <v>133</v>
      </c>
      <c r="F187" s="934" t="s">
        <v>195</v>
      </c>
      <c r="G187" s="453">
        <f>VLOOKUP(F187,Formats!$J$77:$K$80,2,FALSE)</f>
        <v>3</v>
      </c>
      <c r="H187" s="293"/>
      <c r="I187" s="306"/>
      <c r="J187" s="293"/>
      <c r="K187" s="306"/>
      <c r="L187" s="306"/>
      <c r="M187" s="293"/>
      <c r="N187" s="293"/>
      <c r="O187" s="293"/>
      <c r="P187" s="293"/>
      <c r="Q187" s="293"/>
      <c r="R187" s="293"/>
      <c r="S187" s="293"/>
      <c r="T187" s="293"/>
      <c r="U187" s="909"/>
      <c r="V187" s="909"/>
      <c r="W187" s="909"/>
      <c r="X187" s="909"/>
      <c r="Y187" s="909"/>
      <c r="Z187" s="909"/>
      <c r="AA187" s="909"/>
      <c r="AB187" s="909"/>
      <c r="AC187" s="909"/>
      <c r="AD187" s="909"/>
      <c r="AE187" s="909"/>
      <c r="AF187" s="909"/>
      <c r="AG187" s="909"/>
    </row>
    <row r="188" spans="1:33" s="130" customFormat="1" ht="18" customHeight="1" outlineLevel="2">
      <c r="A188" s="909"/>
      <c r="B188" s="184"/>
      <c r="C188" s="318" t="str">
        <f>"Percentage subject to " &amp;Name_VAT &amp;" and rates applied"</f>
        <v>Percentage subject to VAT and rates applied</v>
      </c>
      <c r="D188" s="184"/>
      <c r="E188" s="304"/>
      <c r="F188" s="184"/>
      <c r="G188" s="184"/>
      <c r="H188" s="184"/>
      <c r="I188" s="306"/>
      <c r="J188" s="184"/>
      <c r="K188" s="306"/>
      <c r="L188" s="306"/>
      <c r="M188" s="184"/>
      <c r="N188" s="184"/>
      <c r="O188" s="184"/>
      <c r="P188" s="184"/>
      <c r="Q188" s="184"/>
      <c r="R188" s="184"/>
      <c r="S188" s="184"/>
      <c r="T188" s="184"/>
      <c r="U188" s="909"/>
      <c r="V188" s="909"/>
      <c r="W188" s="909"/>
      <c r="X188" s="909"/>
      <c r="Y188" s="909"/>
      <c r="Z188" s="909"/>
      <c r="AA188" s="909"/>
      <c r="AB188" s="909"/>
      <c r="AC188" s="909"/>
      <c r="AD188" s="909"/>
      <c r="AE188" s="909"/>
      <c r="AF188" s="909"/>
      <c r="AG188" s="909"/>
    </row>
    <row r="189" spans="1:33" s="117" customFormat="1" ht="18" customHeight="1" outlineLevel="2">
      <c r="A189" s="909"/>
      <c r="B189" s="184"/>
      <c r="C189" s="306" t="str">
        <f>"Output tax on Product/Service Sales =&gt; individual assumptions in row " &amp;ROW($G$28) &amp;" ff."</f>
        <v>Output tax on Product/Service Sales =&gt; individual assumptions in row 28 ff.</v>
      </c>
      <c r="D189" s="306"/>
      <c r="E189" s="304" t="s">
        <v>135</v>
      </c>
      <c r="F189" s="11" t="s">
        <v>137</v>
      </c>
      <c r="G189" s="184"/>
      <c r="H189" s="11" t="s">
        <v>136</v>
      </c>
      <c r="I189" s="306"/>
      <c r="J189" s="306"/>
      <c r="K189" s="306"/>
      <c r="L189" s="306"/>
      <c r="M189" s="293"/>
      <c r="N189" s="184"/>
      <c r="O189" s="184"/>
      <c r="P189" s="184"/>
      <c r="Q189" s="184"/>
      <c r="R189" s="184"/>
      <c r="S189" s="184"/>
      <c r="T189" s="184"/>
      <c r="U189" s="909"/>
      <c r="V189" s="909"/>
      <c r="W189" s="909"/>
      <c r="X189" s="909"/>
      <c r="Y189" s="909"/>
      <c r="Z189" s="909"/>
      <c r="AA189" s="909"/>
      <c r="AB189" s="909"/>
      <c r="AC189" s="909"/>
      <c r="AD189" s="909"/>
      <c r="AE189" s="909"/>
      <c r="AF189" s="909"/>
      <c r="AG189" s="909"/>
    </row>
    <row r="190" spans="1:33" s="117" customFormat="1" ht="18" customHeight="1" outlineLevel="2">
      <c r="A190" s="909"/>
      <c r="B190" s="184"/>
      <c r="C190" s="24" t="s">
        <v>248</v>
      </c>
      <c r="D190" s="184"/>
      <c r="E190" s="8" t="s">
        <v>26</v>
      </c>
      <c r="F190" s="1030">
        <v>0.8</v>
      </c>
      <c r="G190" s="315" t="s">
        <v>144</v>
      </c>
      <c r="H190" s="641" t="s">
        <v>130</v>
      </c>
      <c r="I190" s="85">
        <f>VLOOKUP(H190,Inputs!$C$182:$F$185,4,FALSE)</f>
        <v>0.2</v>
      </c>
      <c r="J190" s="184"/>
      <c r="K190" s="306"/>
      <c r="L190" s="306"/>
      <c r="M190" s="293"/>
      <c r="N190" s="293"/>
      <c r="O190" s="293"/>
      <c r="P190" s="293"/>
      <c r="Q190" s="184"/>
      <c r="R190" s="184"/>
      <c r="S190" s="184"/>
      <c r="T190" s="184"/>
      <c r="U190" s="909"/>
      <c r="V190" s="909"/>
      <c r="W190" s="909"/>
      <c r="X190" s="909"/>
      <c r="Y190" s="909"/>
      <c r="Z190" s="909"/>
      <c r="AA190" s="909"/>
      <c r="AB190" s="909"/>
      <c r="AC190" s="909"/>
      <c r="AD190" s="909"/>
      <c r="AE190" s="909"/>
      <c r="AF190" s="909"/>
      <c r="AG190" s="909"/>
    </row>
    <row r="191" spans="1:33" s="117" customFormat="1" ht="18" customHeight="1" outlineLevel="2">
      <c r="A191" s="909"/>
      <c r="B191" s="184"/>
      <c r="C191" s="24" t="s">
        <v>371</v>
      </c>
      <c r="D191" s="305"/>
      <c r="E191" s="8" t="s">
        <v>26</v>
      </c>
      <c r="F191" s="1030">
        <v>0.7</v>
      </c>
      <c r="G191" s="315" t="s">
        <v>144</v>
      </c>
      <c r="H191" s="641" t="s">
        <v>130</v>
      </c>
      <c r="I191" s="85">
        <f>VLOOKUP(H191,Inputs!$C$182:$F$185,4,FALSE)</f>
        <v>0.2</v>
      </c>
      <c r="J191" s="306"/>
      <c r="K191" s="306"/>
      <c r="L191" s="306"/>
      <c r="M191" s="184"/>
      <c r="N191" s="293"/>
      <c r="O191" s="293"/>
      <c r="P191" s="293"/>
      <c r="Q191" s="184"/>
      <c r="R191" s="184"/>
      <c r="S191" s="184"/>
      <c r="T191" s="184"/>
      <c r="U191" s="909"/>
      <c r="V191" s="909"/>
      <c r="W191" s="909"/>
      <c r="X191" s="909"/>
      <c r="Y191" s="909"/>
      <c r="Z191" s="909"/>
      <c r="AA191" s="909"/>
      <c r="AB191" s="909"/>
      <c r="AC191" s="909"/>
      <c r="AD191" s="909"/>
      <c r="AE191" s="909"/>
      <c r="AF191" s="909"/>
      <c r="AG191" s="909"/>
    </row>
    <row r="192" spans="1:33" s="117" customFormat="1" ht="18" customHeight="1" outlineLevel="2">
      <c r="A192" s="909"/>
      <c r="B192" s="184"/>
      <c r="C192" s="306" t="s">
        <v>247</v>
      </c>
      <c r="D192" s="305"/>
      <c r="E192" s="304" t="s">
        <v>135</v>
      </c>
      <c r="F192" s="184"/>
      <c r="G192" s="315"/>
      <c r="H192" s="184"/>
      <c r="I192" s="306"/>
      <c r="J192" s="306"/>
      <c r="K192" s="306"/>
      <c r="L192" s="306"/>
      <c r="M192" s="293"/>
      <c r="N192" s="293"/>
      <c r="O192" s="293"/>
      <c r="P192" s="293"/>
      <c r="Q192" s="184"/>
      <c r="R192" s="184"/>
      <c r="S192" s="184"/>
      <c r="T192" s="184"/>
      <c r="U192" s="909"/>
      <c r="V192" s="909"/>
      <c r="W192" s="909"/>
      <c r="X192" s="909"/>
      <c r="Y192" s="909"/>
      <c r="Z192" s="909"/>
      <c r="AA192" s="909"/>
      <c r="AB192" s="909"/>
      <c r="AC192" s="909"/>
      <c r="AD192" s="909"/>
      <c r="AE192" s="909"/>
      <c r="AF192" s="909"/>
      <c r="AG192" s="909"/>
    </row>
    <row r="193" spans="1:33" s="830" customFormat="1" ht="18" customHeight="1" outlineLevel="2">
      <c r="A193" s="909"/>
      <c r="B193" s="293"/>
      <c r="C193" s="290"/>
      <c r="D193" s="305"/>
      <c r="E193" s="293"/>
      <c r="F193" s="293"/>
      <c r="G193" s="293"/>
      <c r="H193" s="293"/>
      <c r="I193" s="306"/>
      <c r="J193" s="293"/>
      <c r="K193" s="306"/>
      <c r="L193" s="306"/>
      <c r="M193" s="293"/>
      <c r="N193" s="293"/>
      <c r="O193" s="293"/>
      <c r="P193" s="293"/>
      <c r="Q193" s="293"/>
      <c r="R193" s="293"/>
      <c r="S193" s="293"/>
      <c r="T193" s="293"/>
      <c r="U193" s="909"/>
      <c r="V193" s="909"/>
      <c r="W193" s="909"/>
      <c r="X193" s="909"/>
      <c r="Y193" s="909"/>
      <c r="Z193" s="909"/>
      <c r="AA193" s="909"/>
      <c r="AB193" s="909"/>
      <c r="AC193" s="909"/>
      <c r="AD193" s="909"/>
      <c r="AE193" s="909"/>
      <c r="AF193" s="909"/>
      <c r="AG193" s="909"/>
    </row>
    <row r="194" spans="1:33" s="830" customFormat="1" ht="18" customHeight="1" outlineLevel="1">
      <c r="A194" s="909"/>
      <c r="B194" s="567"/>
      <c r="C194" s="392" t="s">
        <v>746</v>
      </c>
      <c r="D194" s="781"/>
      <c r="E194" s="665"/>
      <c r="F194" s="906"/>
      <c r="G194" s="567"/>
      <c r="H194" s="567"/>
      <c r="I194" s="567"/>
      <c r="J194" s="567"/>
      <c r="K194" s="306"/>
      <c r="L194" s="306"/>
      <c r="M194" s="293"/>
      <c r="N194" s="293"/>
      <c r="O194" s="293"/>
      <c r="P194" s="293"/>
      <c r="Q194" s="293"/>
      <c r="R194" s="293"/>
      <c r="S194" s="293"/>
      <c r="T194" s="293"/>
      <c r="U194" s="909"/>
      <c r="V194" s="909"/>
      <c r="W194" s="909"/>
      <c r="X194" s="909"/>
      <c r="Y194" s="909"/>
      <c r="Z194" s="909"/>
      <c r="AA194" s="909"/>
      <c r="AB194" s="909"/>
      <c r="AC194" s="909"/>
      <c r="AD194" s="909"/>
      <c r="AE194" s="909"/>
      <c r="AF194" s="909"/>
      <c r="AG194" s="909"/>
    </row>
    <row r="195" spans="1:33" s="830" customFormat="1" ht="18" customHeight="1" outlineLevel="2">
      <c r="A195" s="910"/>
      <c r="B195" s="567"/>
      <c r="C195" s="790" t="s">
        <v>259</v>
      </c>
      <c r="D195" s="567"/>
      <c r="E195" s="567"/>
      <c r="F195" s="567"/>
      <c r="G195" s="567"/>
      <c r="H195" s="567"/>
      <c r="I195" s="567"/>
      <c r="J195" s="567"/>
      <c r="K195" s="306"/>
      <c r="L195" s="306"/>
      <c r="M195" s="293"/>
      <c r="N195" s="293"/>
      <c r="O195" s="293"/>
      <c r="P195" s="293"/>
      <c r="Q195" s="293"/>
      <c r="R195" s="293"/>
      <c r="S195" s="293"/>
      <c r="T195" s="293"/>
      <c r="U195" s="909"/>
      <c r="V195" s="909"/>
      <c r="W195" s="909"/>
      <c r="X195" s="909"/>
      <c r="Y195" s="909"/>
      <c r="Z195" s="909"/>
      <c r="AA195" s="909"/>
      <c r="AB195" s="909"/>
      <c r="AC195" s="909"/>
      <c r="AD195" s="909"/>
      <c r="AE195" s="909"/>
      <c r="AF195" s="909"/>
      <c r="AG195" s="909"/>
    </row>
    <row r="196" spans="1:33" s="830" customFormat="1" ht="18" customHeight="1" outlineLevel="2">
      <c r="A196" s="910"/>
      <c r="B196" s="567"/>
      <c r="C196" s="435" t="s">
        <v>257</v>
      </c>
      <c r="D196" s="567"/>
      <c r="E196" s="436" t="s">
        <v>27</v>
      </c>
      <c r="F196" s="520">
        <v>1.4999999999999999E-2</v>
      </c>
      <c r="G196" s="907" t="s">
        <v>258</v>
      </c>
      <c r="H196" s="746">
        <f>F196/months_yr</f>
        <v>1.25E-3</v>
      </c>
      <c r="I196" s="567"/>
      <c r="J196" s="567"/>
      <c r="K196" s="306"/>
      <c r="L196" s="306"/>
      <c r="M196" s="293"/>
      <c r="N196" s="293"/>
      <c r="O196" s="293"/>
      <c r="P196" s="293"/>
      <c r="Q196" s="293"/>
      <c r="R196" s="293"/>
      <c r="S196" s="293"/>
      <c r="T196" s="293"/>
      <c r="U196" s="909"/>
      <c r="V196" s="909"/>
      <c r="W196" s="909"/>
      <c r="X196" s="909"/>
      <c r="Y196" s="909"/>
      <c r="Z196" s="909"/>
      <c r="AA196" s="909"/>
      <c r="AB196" s="909"/>
      <c r="AC196" s="909"/>
      <c r="AD196" s="909"/>
      <c r="AE196" s="909"/>
      <c r="AF196" s="909"/>
      <c r="AG196" s="909"/>
    </row>
    <row r="197" spans="1:33" s="830" customFormat="1" ht="18" customHeight="1" outlineLevel="2">
      <c r="A197" s="910"/>
      <c r="B197" s="567"/>
      <c r="C197" s="908"/>
      <c r="D197" s="567"/>
      <c r="E197" s="665"/>
      <c r="F197" s="567"/>
      <c r="G197" s="567"/>
      <c r="H197" s="567"/>
      <c r="I197" s="567"/>
      <c r="J197" s="567"/>
      <c r="K197" s="306"/>
      <c r="L197" s="306"/>
      <c r="M197" s="293"/>
      <c r="N197" s="293"/>
      <c r="O197" s="293"/>
      <c r="P197" s="293"/>
      <c r="Q197" s="293"/>
      <c r="R197" s="293"/>
      <c r="S197" s="293"/>
      <c r="T197" s="293"/>
      <c r="U197" s="909"/>
      <c r="V197" s="909"/>
      <c r="W197" s="909"/>
      <c r="X197" s="909"/>
      <c r="Y197" s="909"/>
      <c r="Z197" s="909"/>
      <c r="AA197" s="909"/>
      <c r="AB197" s="909"/>
      <c r="AC197" s="909"/>
      <c r="AD197" s="909"/>
      <c r="AE197" s="909"/>
      <c r="AF197" s="909"/>
      <c r="AG197" s="909"/>
    </row>
    <row r="198" spans="1:33" s="830" customFormat="1" ht="18" customHeight="1" outlineLevel="2">
      <c r="A198" s="910"/>
      <c r="B198" s="567"/>
      <c r="C198" s="790" t="s">
        <v>254</v>
      </c>
      <c r="D198" s="567"/>
      <c r="E198" s="665"/>
      <c r="F198" s="567"/>
      <c r="G198" s="567"/>
      <c r="H198" s="567"/>
      <c r="I198" s="567"/>
      <c r="J198" s="567"/>
      <c r="K198" s="306"/>
      <c r="L198" s="306"/>
      <c r="M198" s="293"/>
      <c r="N198" s="293"/>
      <c r="O198" s="293"/>
      <c r="P198" s="293"/>
      <c r="Q198" s="293"/>
      <c r="R198" s="293"/>
      <c r="S198" s="293"/>
      <c r="T198" s="293"/>
      <c r="U198" s="909"/>
      <c r="V198" s="909"/>
      <c r="W198" s="909"/>
      <c r="X198" s="909"/>
      <c r="Y198" s="909"/>
      <c r="Z198" s="909"/>
      <c r="AA198" s="909"/>
      <c r="AB198" s="909"/>
      <c r="AC198" s="909"/>
      <c r="AD198" s="909"/>
      <c r="AE198" s="909"/>
      <c r="AF198" s="909"/>
      <c r="AG198" s="909"/>
    </row>
    <row r="199" spans="1:33" s="830" customFormat="1" ht="18" customHeight="1" outlineLevel="2">
      <c r="A199" s="910"/>
      <c r="B199" s="567"/>
      <c r="C199" s="435" t="s">
        <v>774</v>
      </c>
      <c r="D199" s="567"/>
      <c r="E199" s="631" t="s">
        <v>133</v>
      </c>
      <c r="F199" s="1035">
        <v>1</v>
      </c>
      <c r="G199" s="567"/>
      <c r="H199" s="567"/>
      <c r="I199" s="567"/>
      <c r="J199" s="567"/>
      <c r="K199" s="306"/>
      <c r="L199" s="306"/>
      <c r="M199" s="293"/>
      <c r="N199" s="293"/>
      <c r="O199" s="293"/>
      <c r="P199" s="293"/>
      <c r="Q199" s="293"/>
      <c r="R199" s="293"/>
      <c r="S199" s="293"/>
      <c r="T199" s="293"/>
      <c r="U199" s="909"/>
      <c r="V199" s="909"/>
      <c r="W199" s="909"/>
      <c r="X199" s="909"/>
      <c r="Y199" s="909"/>
      <c r="Z199" s="909"/>
      <c r="AA199" s="909"/>
      <c r="AB199" s="909"/>
      <c r="AC199" s="909"/>
      <c r="AD199" s="909"/>
      <c r="AE199" s="909"/>
      <c r="AF199" s="909"/>
      <c r="AG199" s="909"/>
    </row>
    <row r="200" spans="1:33" s="830" customFormat="1" ht="18" customHeight="1" outlineLevel="2">
      <c r="A200" s="910"/>
      <c r="B200" s="910"/>
      <c r="C200" s="190"/>
      <c r="D200" s="781"/>
      <c r="E200" s="910"/>
      <c r="F200" s="910"/>
      <c r="G200" s="910"/>
      <c r="H200" s="910"/>
      <c r="I200" s="908"/>
      <c r="J200" s="910"/>
      <c r="K200" s="908"/>
      <c r="L200" s="908"/>
      <c r="M200" s="910"/>
      <c r="N200" s="910"/>
      <c r="O200" s="910"/>
      <c r="P200" s="293"/>
      <c r="Q200" s="293"/>
      <c r="R200" s="293"/>
      <c r="S200" s="293"/>
      <c r="T200" s="293"/>
      <c r="U200" s="909"/>
      <c r="V200" s="909"/>
      <c r="W200" s="909"/>
      <c r="X200" s="909"/>
      <c r="Y200" s="909"/>
      <c r="Z200" s="909"/>
      <c r="AA200" s="909"/>
      <c r="AB200" s="909"/>
      <c r="AC200" s="909"/>
      <c r="AD200" s="909"/>
      <c r="AE200" s="909"/>
      <c r="AF200" s="909"/>
      <c r="AG200" s="909"/>
    </row>
    <row r="201" spans="1:33" s="830" customFormat="1" ht="20.25" customHeight="1" outlineLevel="2">
      <c r="A201" s="910"/>
      <c r="B201" s="910"/>
      <c r="C201" s="790" t="s">
        <v>749</v>
      </c>
      <c r="D201" s="927"/>
      <c r="E201" s="910"/>
      <c r="F201" s="927" t="s">
        <v>947</v>
      </c>
      <c r="G201" s="910"/>
      <c r="H201" s="908"/>
      <c r="I201" s="908"/>
      <c r="J201" s="908"/>
      <c r="K201" s="908"/>
      <c r="L201" s="908"/>
      <c r="M201" s="910"/>
      <c r="N201" s="910"/>
      <c r="O201" s="910"/>
      <c r="P201" s="293"/>
      <c r="Q201" s="293"/>
      <c r="R201" s="293"/>
      <c r="S201" s="293"/>
      <c r="T201" s="293"/>
      <c r="U201" s="909"/>
      <c r="V201" s="909"/>
      <c r="W201" s="909"/>
      <c r="X201" s="909"/>
      <c r="Y201" s="909"/>
      <c r="Z201" s="909"/>
      <c r="AA201" s="909"/>
      <c r="AB201" s="909"/>
      <c r="AC201" s="909"/>
      <c r="AD201" s="909"/>
      <c r="AE201" s="909"/>
      <c r="AF201" s="909"/>
      <c r="AG201" s="909"/>
    </row>
    <row r="202" spans="1:33" s="830" customFormat="1" ht="18" customHeight="1" outlineLevel="2">
      <c r="A202" s="910"/>
      <c r="B202" s="910"/>
      <c r="C202" s="913" t="str">
        <f>CHOOSE(language,"P&amp;L Items","Income Statement Items")</f>
        <v>Income Statement Items</v>
      </c>
      <c r="D202" s="781"/>
      <c r="E202" s="910"/>
      <c r="F202" s="427">
        <f>YEAR(Startdatum)</f>
        <v>2019</v>
      </c>
      <c r="G202" s="440">
        <f>F202+1</f>
        <v>2020</v>
      </c>
      <c r="H202" s="908"/>
      <c r="I202" s="908"/>
      <c r="J202" s="908"/>
      <c r="K202" s="908"/>
      <c r="L202" s="908"/>
      <c r="M202" s="910"/>
      <c r="N202" s="910"/>
      <c r="O202" s="910"/>
      <c r="P202" s="293"/>
      <c r="Q202" s="293"/>
      <c r="R202" s="293"/>
      <c r="S202" s="293"/>
      <c r="T202" s="293"/>
      <c r="U202" s="909"/>
      <c r="V202" s="909"/>
      <c r="W202" s="909"/>
      <c r="X202" s="909"/>
      <c r="Y202" s="909"/>
      <c r="Z202" s="909"/>
      <c r="AA202" s="909"/>
      <c r="AB202" s="909"/>
      <c r="AC202" s="909"/>
      <c r="AD202" s="909"/>
      <c r="AE202" s="909"/>
      <c r="AF202" s="909"/>
      <c r="AG202" s="909"/>
    </row>
    <row r="203" spans="1:33" s="911" customFormat="1" ht="18" customHeight="1" outlineLevel="2">
      <c r="A203" s="910"/>
      <c r="B203" s="910"/>
      <c r="C203" s="435" t="s">
        <v>362</v>
      </c>
      <c r="D203" s="910"/>
      <c r="E203" s="436" t="str">
        <f>Currency_Label</f>
        <v>USD</v>
      </c>
      <c r="F203" s="912">
        <f>SUMIF(Timing!$J$10:$AG$10,F$202,$J302:$AG302)</f>
        <v>4500</v>
      </c>
      <c r="G203" s="912">
        <f>SUMIF(Timing!$J$10:$AG$10,G$202,$J302:$AG302)</f>
        <v>7250</v>
      </c>
      <c r="H203" s="914" t="str">
        <f>" =&gt; detailed input on this sheet (row " &amp;ROW(Inputs!G302) &amp;")"</f>
        <v xml:space="preserve"> =&gt; detailed input on this sheet (row 302)</v>
      </c>
      <c r="I203" s="908"/>
      <c r="J203" s="908"/>
      <c r="K203" s="908"/>
      <c r="L203" s="908"/>
      <c r="M203" s="910"/>
      <c r="N203" s="910"/>
      <c r="O203" s="910"/>
      <c r="P203" s="909"/>
      <c r="Q203" s="909"/>
      <c r="R203" s="909"/>
      <c r="S203" s="909"/>
      <c r="T203" s="909"/>
      <c r="U203" s="909"/>
      <c r="V203" s="909"/>
      <c r="W203" s="909"/>
      <c r="X203" s="909"/>
      <c r="Y203" s="909"/>
      <c r="Z203" s="909"/>
      <c r="AA203" s="909"/>
      <c r="AB203" s="909"/>
      <c r="AC203" s="909"/>
      <c r="AD203" s="909"/>
      <c r="AE203" s="909"/>
      <c r="AF203" s="909"/>
      <c r="AG203" s="909"/>
    </row>
    <row r="204" spans="1:33" s="911" customFormat="1" ht="18" customHeight="1" outlineLevel="2">
      <c r="A204" s="910"/>
      <c r="B204" s="910"/>
      <c r="C204" s="435" t="s">
        <v>364</v>
      </c>
      <c r="D204" s="910"/>
      <c r="E204" s="436" t="str">
        <f>Currency_Label</f>
        <v>USD</v>
      </c>
      <c r="F204" s="912">
        <f>SUMIF(Timing!$J$10:$AG$10,F$202,$J303:$AG303)</f>
        <v>0</v>
      </c>
      <c r="G204" s="912">
        <f>SUMIF(Timing!$J$10:$AG$10,G$202,$J303:$AG303)</f>
        <v>1750</v>
      </c>
      <c r="H204" s="914" t="str">
        <f>" =&gt; detailed input on this sheet (row " &amp;ROW(Inputs!G303) &amp;")"</f>
        <v xml:space="preserve"> =&gt; detailed input on this sheet (row 303)</v>
      </c>
      <c r="I204" s="908"/>
      <c r="J204" s="908"/>
      <c r="K204" s="908"/>
      <c r="L204" s="908"/>
      <c r="M204" s="910"/>
      <c r="N204" s="910"/>
      <c r="O204" s="910"/>
      <c r="P204" s="909"/>
      <c r="Q204" s="909"/>
      <c r="R204" s="909"/>
      <c r="S204" s="909"/>
      <c r="T204" s="909"/>
      <c r="U204" s="909"/>
      <c r="V204" s="909"/>
      <c r="W204" s="909"/>
      <c r="X204" s="909"/>
      <c r="Y204" s="909"/>
      <c r="Z204" s="909"/>
      <c r="AA204" s="909"/>
      <c r="AB204" s="909"/>
      <c r="AC204" s="909"/>
      <c r="AD204" s="909"/>
      <c r="AE204" s="909"/>
      <c r="AF204" s="909"/>
      <c r="AG204" s="909"/>
    </row>
    <row r="205" spans="1:33" s="911" customFormat="1" ht="18" customHeight="1" outlineLevel="2">
      <c r="A205" s="910"/>
      <c r="B205" s="910"/>
      <c r="C205" s="435" t="s">
        <v>365</v>
      </c>
      <c r="D205" s="910"/>
      <c r="E205" s="436" t="str">
        <f>Currency_Label</f>
        <v>USD</v>
      </c>
      <c r="F205" s="912">
        <f>SUMIF(Timing!$J$10:$AG$10,F$202,$J304:$AG304)</f>
        <v>6500</v>
      </c>
      <c r="G205" s="912">
        <f>SUMIF(Timing!$J$10:$AG$10,G$202,$J304:$AG304)</f>
        <v>0</v>
      </c>
      <c r="H205" s="914" t="str">
        <f>" =&gt; detailed input on this sheet (row " &amp;ROW(Inputs!G304) &amp;")"</f>
        <v xml:space="preserve"> =&gt; detailed input on this sheet (row 304)</v>
      </c>
      <c r="I205" s="908"/>
      <c r="J205" s="908"/>
      <c r="K205" s="908"/>
      <c r="L205" s="908"/>
      <c r="M205" s="910"/>
      <c r="N205" s="910"/>
      <c r="O205" s="910"/>
      <c r="P205" s="909"/>
      <c r="Q205" s="909"/>
      <c r="R205" s="909"/>
      <c r="S205" s="909"/>
      <c r="T205" s="909"/>
      <c r="U205" s="909"/>
      <c r="V205" s="909"/>
      <c r="W205" s="909"/>
      <c r="X205" s="909"/>
      <c r="Y205" s="909"/>
      <c r="Z205" s="909"/>
      <c r="AA205" s="909"/>
      <c r="AB205" s="909"/>
      <c r="AC205" s="909"/>
      <c r="AD205" s="909"/>
      <c r="AE205" s="909"/>
      <c r="AF205" s="909"/>
      <c r="AG205" s="909"/>
    </row>
    <row r="206" spans="1:33" s="911" customFormat="1" ht="14.25" customHeight="1" outlineLevel="2">
      <c r="A206" s="910"/>
      <c r="B206" s="910"/>
      <c r="C206" s="910"/>
      <c r="D206" s="910"/>
      <c r="E206" s="781"/>
      <c r="F206" s="910"/>
      <c r="G206" s="910"/>
      <c r="H206" s="908"/>
      <c r="I206" s="908"/>
      <c r="J206" s="908"/>
      <c r="K206" s="908"/>
      <c r="L206" s="908"/>
      <c r="M206" s="910"/>
      <c r="N206" s="910"/>
      <c r="O206" s="910"/>
      <c r="P206" s="909"/>
      <c r="Q206" s="909"/>
      <c r="R206" s="909"/>
      <c r="S206" s="909"/>
      <c r="T206" s="909"/>
      <c r="U206" s="909"/>
      <c r="V206" s="909"/>
      <c r="W206" s="909"/>
      <c r="X206" s="909"/>
      <c r="Y206" s="909"/>
      <c r="Z206" s="909"/>
      <c r="AA206" s="909"/>
      <c r="AB206" s="909"/>
      <c r="AC206" s="909"/>
      <c r="AD206" s="909"/>
      <c r="AE206" s="909"/>
      <c r="AF206" s="909"/>
      <c r="AG206" s="909"/>
    </row>
    <row r="207" spans="1:33" s="911" customFormat="1" ht="18" customHeight="1" outlineLevel="2">
      <c r="A207" s="910"/>
      <c r="B207" s="910"/>
      <c r="C207" s="913" t="s">
        <v>422</v>
      </c>
      <c r="D207" s="910"/>
      <c r="E207" s="781"/>
      <c r="F207" s="910"/>
      <c r="G207" s="910"/>
      <c r="H207" s="908"/>
      <c r="I207" s="908"/>
      <c r="J207" s="908"/>
      <c r="K207" s="908"/>
      <c r="L207" s="908"/>
      <c r="M207" s="910"/>
      <c r="N207" s="910"/>
      <c r="O207" s="910"/>
      <c r="P207" s="909"/>
      <c r="Q207" s="909"/>
      <c r="R207" s="909"/>
      <c r="S207" s="909"/>
      <c r="T207" s="909"/>
      <c r="U207" s="909"/>
      <c r="V207" s="909"/>
      <c r="W207" s="909"/>
      <c r="X207" s="909"/>
      <c r="Y207" s="909"/>
      <c r="Z207" s="909"/>
      <c r="AA207" s="909"/>
      <c r="AB207" s="909"/>
      <c r="AC207" s="909"/>
      <c r="AD207" s="909"/>
      <c r="AE207" s="909"/>
      <c r="AF207" s="909"/>
      <c r="AG207" s="909"/>
    </row>
    <row r="208" spans="1:33" s="911" customFormat="1" ht="18" customHeight="1" outlineLevel="2">
      <c r="A208" s="910"/>
      <c r="B208" s="910"/>
      <c r="C208" s="790" t="s">
        <v>425</v>
      </c>
      <c r="D208" s="910"/>
      <c r="E208" s="781"/>
      <c r="F208" s="427">
        <f>YEAR(Startdatum)</f>
        <v>2019</v>
      </c>
      <c r="G208" s="440">
        <f>F208+1</f>
        <v>2020</v>
      </c>
      <c r="H208" s="908"/>
      <c r="I208" s="908"/>
      <c r="J208" s="908"/>
      <c r="K208" s="908"/>
      <c r="L208" s="908"/>
      <c r="M208" s="910"/>
      <c r="N208" s="910"/>
      <c r="O208" s="910"/>
      <c r="P208" s="909"/>
      <c r="Q208" s="909"/>
      <c r="R208" s="909"/>
      <c r="S208" s="909"/>
      <c r="T208" s="909"/>
      <c r="U208" s="909"/>
      <c r="V208" s="909"/>
      <c r="W208" s="909"/>
      <c r="X208" s="909"/>
      <c r="Y208" s="909"/>
      <c r="Z208" s="909"/>
      <c r="AA208" s="909"/>
      <c r="AB208" s="909"/>
      <c r="AC208" s="909"/>
      <c r="AD208" s="909"/>
      <c r="AE208" s="909"/>
      <c r="AF208" s="909"/>
      <c r="AG208" s="909"/>
    </row>
    <row r="209" spans="1:33" s="911" customFormat="1" ht="18" customHeight="1" outlineLevel="2">
      <c r="A209" s="910"/>
      <c r="B209" s="910"/>
      <c r="C209" s="435" t="s">
        <v>430</v>
      </c>
      <c r="D209" s="910"/>
      <c r="E209" s="436" t="str">
        <f>Currency_Label</f>
        <v>USD</v>
      </c>
      <c r="F209" s="912">
        <f>SUMIF(Timing!$J$10:$AG$10,F$202,$J309:$AG309)</f>
        <v>1000</v>
      </c>
      <c r="G209" s="912">
        <f>SUMIF(Timing!$J$10:$AG$10,G$202,$J309:$AG309)</f>
        <v>0</v>
      </c>
      <c r="H209" s="914" t="str">
        <f>" =&gt; detailed input on this sheet (row " &amp;ROW(Inputs!G309) &amp;")"</f>
        <v xml:space="preserve"> =&gt; detailed input on this sheet (row 309)</v>
      </c>
      <c r="I209" s="908"/>
      <c r="J209" s="908"/>
      <c r="K209" s="908"/>
      <c r="L209" s="908"/>
      <c r="M209" s="910"/>
      <c r="N209" s="910"/>
      <c r="O209" s="910"/>
      <c r="P209" s="909"/>
      <c r="Q209" s="909"/>
      <c r="R209" s="909"/>
      <c r="S209" s="909"/>
      <c r="T209" s="909"/>
      <c r="U209" s="909"/>
      <c r="V209" s="909"/>
      <c r="W209" s="909"/>
      <c r="X209" s="909"/>
      <c r="Y209" s="909"/>
      <c r="Z209" s="909"/>
      <c r="AA209" s="909"/>
      <c r="AB209" s="909"/>
      <c r="AC209" s="909"/>
      <c r="AD209" s="909"/>
      <c r="AE209" s="909"/>
      <c r="AF209" s="909"/>
      <c r="AG209" s="909"/>
    </row>
    <row r="210" spans="1:33" s="911" customFormat="1" ht="18" customHeight="1" outlineLevel="2">
      <c r="A210" s="910"/>
      <c r="B210" s="910"/>
      <c r="C210" s="435" t="s">
        <v>938</v>
      </c>
      <c r="D210" s="910"/>
      <c r="E210" s="436" t="str">
        <f>Currency_Label</f>
        <v>USD</v>
      </c>
      <c r="F210" s="912">
        <f>SUMIF(Timing!$J$10:$AG$10,F$202,$J310:$AG310)</f>
        <v>-2500</v>
      </c>
      <c r="G210" s="912">
        <f>SUMIF(Timing!$J$10:$AG$10,G$202,$J310:$AG310)</f>
        <v>0</v>
      </c>
      <c r="H210" s="914" t="str">
        <f>" =&gt; detailed input on this sheet (row " &amp;ROW(Inputs!G310) &amp;")"</f>
        <v xml:space="preserve"> =&gt; detailed input on this sheet (row 310)</v>
      </c>
      <c r="I210" s="908"/>
      <c r="J210" s="908"/>
      <c r="K210" s="908"/>
      <c r="L210" s="908"/>
      <c r="M210" s="910"/>
      <c r="N210" s="910"/>
      <c r="O210" s="910"/>
      <c r="P210" s="909"/>
      <c r="Q210" s="909"/>
      <c r="R210" s="909"/>
      <c r="S210" s="909"/>
      <c r="T210" s="909"/>
      <c r="U210" s="909"/>
      <c r="V210" s="909"/>
      <c r="W210" s="909"/>
      <c r="X210" s="909"/>
      <c r="Y210" s="909"/>
      <c r="Z210" s="909"/>
      <c r="AA210" s="909"/>
      <c r="AB210" s="909"/>
      <c r="AC210" s="909"/>
      <c r="AD210" s="909"/>
      <c r="AE210" s="909"/>
      <c r="AF210" s="909"/>
      <c r="AG210" s="909"/>
    </row>
    <row r="211" spans="1:33" s="830" customFormat="1" ht="18" customHeight="1" outlineLevel="2">
      <c r="A211" s="910"/>
      <c r="B211" s="910"/>
      <c r="C211" s="790" t="s">
        <v>428</v>
      </c>
      <c r="D211" s="910"/>
      <c r="E211" s="781"/>
      <c r="F211" s="910"/>
      <c r="G211" s="910"/>
      <c r="H211" s="908"/>
      <c r="I211" s="908"/>
      <c r="J211" s="908"/>
      <c r="K211" s="908"/>
      <c r="L211" s="908"/>
      <c r="M211" s="910"/>
      <c r="N211" s="910"/>
      <c r="O211" s="910"/>
      <c r="P211" s="293"/>
      <c r="Q211" s="293"/>
      <c r="R211" s="293"/>
      <c r="S211" s="293"/>
      <c r="T211" s="293"/>
      <c r="U211" s="909"/>
      <c r="V211" s="909"/>
      <c r="W211" s="909"/>
      <c r="X211" s="909"/>
      <c r="Y211" s="909"/>
      <c r="Z211" s="909"/>
      <c r="AA211" s="909"/>
      <c r="AB211" s="909"/>
      <c r="AC211" s="909"/>
      <c r="AD211" s="909"/>
      <c r="AE211" s="909"/>
      <c r="AF211" s="909"/>
      <c r="AG211" s="909"/>
    </row>
    <row r="212" spans="1:33" s="911" customFormat="1" ht="18" customHeight="1" outlineLevel="2">
      <c r="A212" s="910"/>
      <c r="B212" s="910"/>
      <c r="C212" s="435" t="s">
        <v>430</v>
      </c>
      <c r="D212" s="910"/>
      <c r="E212" s="436" t="str">
        <f>Currency_Label</f>
        <v>USD</v>
      </c>
      <c r="F212" s="912">
        <f>SUMIF(Timing!$J$10:$AG$10,F$202,$J315:$AG315)</f>
        <v>5000</v>
      </c>
      <c r="G212" s="912">
        <f>SUMIF(Timing!$J$10:$AG$10,G$202,$J315:$AG315)</f>
        <v>0</v>
      </c>
      <c r="H212" s="914" t="str">
        <f>" =&gt; detailed input on this sheet (row " &amp;ROW(Inputs!G315) &amp;")"</f>
        <v xml:space="preserve"> =&gt; detailed input on this sheet (row 315)</v>
      </c>
      <c r="I212" s="908"/>
      <c r="J212" s="908"/>
      <c r="K212" s="908"/>
      <c r="L212" s="908"/>
      <c r="M212" s="910"/>
      <c r="N212" s="910"/>
      <c r="O212" s="910"/>
      <c r="P212" s="909"/>
      <c r="Q212" s="909"/>
      <c r="R212" s="909"/>
      <c r="S212" s="909"/>
      <c r="T212" s="909"/>
      <c r="U212" s="909"/>
      <c r="V212" s="909"/>
      <c r="W212" s="909"/>
      <c r="X212" s="909"/>
      <c r="Y212" s="909"/>
      <c r="Z212" s="909"/>
      <c r="AA212" s="909"/>
      <c r="AB212" s="909"/>
      <c r="AC212" s="909"/>
      <c r="AD212" s="909"/>
      <c r="AE212" s="909"/>
      <c r="AF212" s="909"/>
      <c r="AG212" s="909"/>
    </row>
    <row r="213" spans="1:33" s="911" customFormat="1" ht="18" customHeight="1" outlineLevel="2">
      <c r="A213" s="910"/>
      <c r="B213" s="910"/>
      <c r="C213" s="435" t="s">
        <v>431</v>
      </c>
      <c r="D213" s="910"/>
      <c r="E213" s="436" t="str">
        <f>Currency_Label</f>
        <v>USD</v>
      </c>
      <c r="F213" s="912">
        <f>SUMIF(Timing!$J$10:$AG$10,F$202,$J316:$AG316)</f>
        <v>0</v>
      </c>
      <c r="G213" s="912">
        <f>SUMIF(Timing!$J$10:$AG$10,G$202,$J316:$AG316)</f>
        <v>-5000</v>
      </c>
      <c r="H213" s="914" t="str">
        <f>" =&gt; detailed input on this sheet (row " &amp;ROW(Inputs!G316) &amp;")"</f>
        <v xml:space="preserve"> =&gt; detailed input on this sheet (row 316)</v>
      </c>
      <c r="I213" s="908"/>
      <c r="J213" s="908"/>
      <c r="K213" s="908"/>
      <c r="L213" s="908"/>
      <c r="M213" s="910"/>
      <c r="N213" s="910"/>
      <c r="O213" s="910"/>
      <c r="P213" s="909"/>
      <c r="Q213" s="909"/>
      <c r="R213" s="909"/>
      <c r="S213" s="909"/>
      <c r="T213" s="909"/>
      <c r="U213" s="909"/>
      <c r="V213" s="909"/>
      <c r="W213" s="909"/>
      <c r="X213" s="909"/>
      <c r="Y213" s="909"/>
      <c r="Z213" s="909"/>
      <c r="AA213" s="909"/>
      <c r="AB213" s="909"/>
      <c r="AC213" s="909"/>
      <c r="AD213" s="909"/>
      <c r="AE213" s="909"/>
      <c r="AF213" s="909"/>
      <c r="AG213" s="909"/>
    </row>
    <row r="214" spans="1:33" s="911" customFormat="1" ht="18" customHeight="1" outlineLevel="2">
      <c r="A214" s="910"/>
      <c r="B214" s="910"/>
      <c r="C214" s="790" t="s">
        <v>429</v>
      </c>
      <c r="D214" s="910"/>
      <c r="E214" s="781"/>
      <c r="F214" s="910"/>
      <c r="G214" s="910"/>
      <c r="H214" s="908"/>
      <c r="I214" s="908"/>
      <c r="J214" s="908"/>
      <c r="K214" s="908"/>
      <c r="L214" s="908"/>
      <c r="M214" s="910"/>
      <c r="N214" s="910"/>
      <c r="O214" s="910"/>
      <c r="P214" s="909"/>
      <c r="Q214" s="909"/>
      <c r="R214" s="909"/>
      <c r="S214" s="909"/>
      <c r="T214" s="909"/>
      <c r="U214" s="909"/>
      <c r="V214" s="909"/>
      <c r="W214" s="909"/>
      <c r="X214" s="909"/>
      <c r="Y214" s="909"/>
      <c r="Z214" s="909"/>
      <c r="AA214" s="909"/>
      <c r="AB214" s="909"/>
      <c r="AC214" s="909"/>
      <c r="AD214" s="909"/>
      <c r="AE214" s="909"/>
      <c r="AF214" s="909"/>
      <c r="AG214" s="909"/>
    </row>
    <row r="215" spans="1:33" s="911" customFormat="1" ht="18" customHeight="1" outlineLevel="2">
      <c r="A215" s="910"/>
      <c r="B215" s="910"/>
      <c r="C215" s="435" t="s">
        <v>430</v>
      </c>
      <c r="D215" s="910"/>
      <c r="E215" s="436" t="str">
        <f>Currency_Label</f>
        <v>USD</v>
      </c>
      <c r="F215" s="912">
        <f>SUMIF(Timing!$J$10:$AG$10,F$202,$J321:$AG321)</f>
        <v>10000</v>
      </c>
      <c r="G215" s="912">
        <f>SUMIF(Timing!$J$10:$AG$10,G$202,$J321:$AG321)</f>
        <v>0</v>
      </c>
      <c r="H215" s="914" t="str">
        <f>" =&gt; detailed input on this sheet (row " &amp;ROW(Inputs!G321) &amp;")"</f>
        <v xml:space="preserve"> =&gt; detailed input on this sheet (row 321)</v>
      </c>
      <c r="I215" s="908"/>
      <c r="J215" s="908"/>
      <c r="K215" s="908"/>
      <c r="L215" s="908"/>
      <c r="M215" s="910"/>
      <c r="N215" s="910"/>
      <c r="O215" s="910"/>
      <c r="P215" s="909"/>
      <c r="Q215" s="909"/>
      <c r="R215" s="909"/>
      <c r="S215" s="909"/>
      <c r="T215" s="909"/>
      <c r="U215" s="909"/>
      <c r="V215" s="909"/>
      <c r="W215" s="909"/>
      <c r="X215" s="909"/>
      <c r="Y215" s="909"/>
      <c r="Z215" s="909"/>
      <c r="AA215" s="909"/>
      <c r="AB215" s="909"/>
      <c r="AC215" s="909"/>
      <c r="AD215" s="909"/>
      <c r="AE215" s="909"/>
      <c r="AF215" s="909"/>
      <c r="AG215" s="909"/>
    </row>
    <row r="216" spans="1:33" s="911" customFormat="1" ht="18" customHeight="1" outlineLevel="2">
      <c r="A216" s="910"/>
      <c r="B216" s="910"/>
      <c r="C216" s="435" t="s">
        <v>431</v>
      </c>
      <c r="D216" s="910"/>
      <c r="E216" s="436" t="str">
        <f>Currency_Label</f>
        <v>USD</v>
      </c>
      <c r="F216" s="912">
        <f>SUMIF(Timing!$J$10:$AG$10,F$202,$J322:$AG322)</f>
        <v>0</v>
      </c>
      <c r="G216" s="912">
        <f>SUMIF(Timing!$J$10:$AG$10,G$202,$J322:$AG322)</f>
        <v>-5000</v>
      </c>
      <c r="H216" s="914" t="str">
        <f>" =&gt; detailed input on this sheet (row " &amp;ROW(Inputs!G322) &amp;")"</f>
        <v xml:space="preserve"> =&gt; detailed input on this sheet (row 322)</v>
      </c>
      <c r="I216" s="908"/>
      <c r="J216" s="908"/>
      <c r="K216" s="908"/>
      <c r="L216" s="908"/>
      <c r="M216" s="910"/>
      <c r="N216" s="910"/>
      <c r="O216" s="910"/>
      <c r="P216" s="909"/>
      <c r="Q216" s="909"/>
      <c r="R216" s="909"/>
      <c r="S216" s="909"/>
      <c r="T216" s="909"/>
      <c r="U216" s="909"/>
      <c r="V216" s="909"/>
      <c r="W216" s="909"/>
      <c r="X216" s="909"/>
      <c r="Y216" s="909"/>
      <c r="Z216" s="909"/>
      <c r="AA216" s="909"/>
      <c r="AB216" s="909"/>
      <c r="AC216" s="909"/>
      <c r="AD216" s="909"/>
      <c r="AE216" s="909"/>
      <c r="AF216" s="909"/>
      <c r="AG216" s="909"/>
    </row>
    <row r="217" spans="1:33" s="911" customFormat="1" ht="18" customHeight="1" outlineLevel="2">
      <c r="A217" s="910"/>
      <c r="B217" s="910"/>
      <c r="C217" s="790" t="s">
        <v>417</v>
      </c>
      <c r="D217" s="910"/>
      <c r="E217" s="781"/>
      <c r="F217" s="910"/>
      <c r="G217" s="910"/>
      <c r="H217" s="908"/>
      <c r="I217" s="908"/>
      <c r="J217" s="908"/>
      <c r="K217" s="908"/>
      <c r="L217" s="908"/>
      <c r="M217" s="910"/>
      <c r="N217" s="910"/>
      <c r="O217" s="910"/>
      <c r="P217" s="909"/>
      <c r="Q217" s="909"/>
      <c r="R217" s="909"/>
      <c r="S217" s="909"/>
      <c r="T217" s="909"/>
      <c r="U217" s="909"/>
      <c r="V217" s="909"/>
      <c r="W217" s="909"/>
      <c r="X217" s="909"/>
      <c r="Y217" s="909"/>
      <c r="Z217" s="909"/>
      <c r="AA217" s="909"/>
      <c r="AB217" s="909"/>
      <c r="AC217" s="909"/>
      <c r="AD217" s="909"/>
      <c r="AE217" s="909"/>
      <c r="AF217" s="909"/>
      <c r="AG217" s="909"/>
    </row>
    <row r="218" spans="1:33" s="911" customFormat="1" ht="18" customHeight="1" outlineLevel="2">
      <c r="A218" s="910"/>
      <c r="B218" s="910"/>
      <c r="C218" s="435" t="str">
        <f>C327</f>
        <v>Payroll withholdings owed</v>
      </c>
      <c r="D218" s="910"/>
      <c r="E218" s="436" t="str">
        <f>Currency_Label</f>
        <v>USD</v>
      </c>
      <c r="F218" s="912">
        <f>SUMIF(Timing!$J$10:$AG$10,F$202,$J327:$AG327)</f>
        <v>-4500</v>
      </c>
      <c r="G218" s="912">
        <f>SUMIF(Timing!$J$10:$AG$10,G$202,$J327:$AG327)</f>
        <v>0</v>
      </c>
      <c r="H218" s="914" t="str">
        <f>" =&gt; detailed input on this sheet (row " &amp;ROW(Inputs!G327) &amp;")"</f>
        <v xml:space="preserve"> =&gt; detailed input on this sheet (row 327)</v>
      </c>
      <c r="I218" s="908"/>
      <c r="J218" s="908"/>
      <c r="K218" s="908"/>
      <c r="L218" s="908"/>
      <c r="M218" s="910"/>
      <c r="N218" s="910"/>
      <c r="O218" s="910"/>
      <c r="P218" s="909"/>
      <c r="Q218" s="909"/>
      <c r="R218" s="909"/>
      <c r="S218" s="909"/>
      <c r="T218" s="909"/>
      <c r="U218" s="909"/>
      <c r="V218" s="909"/>
      <c r="W218" s="909"/>
      <c r="X218" s="909"/>
      <c r="Y218" s="909"/>
      <c r="Z218" s="909"/>
      <c r="AA218" s="909"/>
      <c r="AB218" s="909"/>
      <c r="AC218" s="909"/>
      <c r="AD218" s="909"/>
      <c r="AE218" s="909"/>
      <c r="AF218" s="909"/>
      <c r="AG218" s="909"/>
    </row>
    <row r="219" spans="1:33" s="830" customFormat="1" ht="18" customHeight="1" outlineLevel="2">
      <c r="A219" s="910"/>
      <c r="B219" s="910"/>
      <c r="C219" s="190"/>
      <c r="D219" s="781"/>
      <c r="E219" s="910"/>
      <c r="F219" s="910"/>
      <c r="G219" s="910"/>
      <c r="H219" s="908"/>
      <c r="I219" s="908"/>
      <c r="J219" s="908"/>
      <c r="K219" s="908"/>
      <c r="L219" s="908"/>
      <c r="M219" s="910"/>
      <c r="N219" s="910"/>
      <c r="O219" s="910"/>
      <c r="P219" s="293"/>
      <c r="Q219" s="293"/>
      <c r="R219" s="293"/>
      <c r="S219" s="293"/>
      <c r="T219" s="293"/>
      <c r="U219" s="909"/>
      <c r="V219" s="909"/>
      <c r="W219" s="909"/>
      <c r="X219" s="909"/>
      <c r="Y219" s="909"/>
      <c r="Z219" s="909"/>
      <c r="AA219" s="909"/>
      <c r="AB219" s="909"/>
      <c r="AC219" s="909"/>
      <c r="AD219" s="909"/>
      <c r="AE219" s="909"/>
      <c r="AF219" s="909"/>
      <c r="AG219" s="909"/>
    </row>
    <row r="220" spans="1:33" s="203" customFormat="1" ht="20.25" outlineLevel="1">
      <c r="A220" s="910"/>
      <c r="B220" s="910"/>
      <c r="C220" s="392" t="s">
        <v>438</v>
      </c>
      <c r="D220" s="915"/>
      <c r="E220" s="910"/>
      <c r="F220" s="910"/>
      <c r="G220" s="916"/>
      <c r="H220" s="908"/>
      <c r="I220" s="908"/>
      <c r="J220" s="908"/>
      <c r="K220" s="908"/>
      <c r="L220" s="908"/>
      <c r="M220" s="910"/>
      <c r="N220" s="910"/>
      <c r="O220" s="910"/>
      <c r="P220" s="184"/>
      <c r="Q220" s="184"/>
      <c r="R220" s="184"/>
      <c r="S220" s="184"/>
      <c r="T220" s="184"/>
      <c r="U220" s="909"/>
      <c r="V220" s="909"/>
      <c r="W220" s="909"/>
      <c r="X220" s="909"/>
      <c r="Y220" s="909"/>
      <c r="Z220" s="909"/>
      <c r="AA220" s="909"/>
      <c r="AB220" s="909"/>
      <c r="AC220" s="909"/>
      <c r="AD220" s="909"/>
      <c r="AE220" s="909"/>
      <c r="AF220" s="909"/>
      <c r="AG220" s="909"/>
    </row>
    <row r="221" spans="1:33" s="203" customFormat="1" outlineLevel="2">
      <c r="A221" s="909"/>
      <c r="B221" s="184"/>
      <c r="C221" s="307"/>
      <c r="D221" s="184"/>
      <c r="E221" s="304" t="s">
        <v>747</v>
      </c>
      <c r="F221" s="751">
        <f>Startdatum-1</f>
        <v>43524</v>
      </c>
      <c r="G221" s="916"/>
      <c r="H221" s="910"/>
      <c r="I221" s="908"/>
      <c r="J221" s="910"/>
      <c r="K221" s="306"/>
      <c r="L221" s="293"/>
      <c r="M221" s="293"/>
      <c r="N221" s="293"/>
      <c r="O221" s="293"/>
      <c r="P221" s="293"/>
      <c r="Q221" s="184"/>
      <c r="R221" s="184"/>
      <c r="S221" s="184"/>
      <c r="T221" s="184"/>
      <c r="U221" s="909"/>
      <c r="V221" s="909"/>
      <c r="W221" s="909"/>
      <c r="X221" s="909"/>
      <c r="Y221" s="909"/>
      <c r="Z221" s="909"/>
      <c r="AA221" s="909"/>
      <c r="AB221" s="909"/>
      <c r="AC221" s="909"/>
      <c r="AD221" s="909"/>
      <c r="AE221" s="909"/>
      <c r="AF221" s="909"/>
      <c r="AG221" s="909"/>
    </row>
    <row r="222" spans="1:33" s="203" customFormat="1" ht="16.5" customHeight="1" outlineLevel="2">
      <c r="A222" s="909"/>
      <c r="B222" s="184"/>
      <c r="C222" s="291" t="s">
        <v>928</v>
      </c>
      <c r="D222" s="184"/>
      <c r="E222" s="304"/>
      <c r="F222" s="755">
        <f>F223+F224+F228</f>
        <v>257000</v>
      </c>
      <c r="G222" s="917" t="s">
        <v>481</v>
      </c>
      <c r="H222" s="910"/>
      <c r="I222" s="910"/>
      <c r="J222" s="910"/>
      <c r="K222" s="306"/>
      <c r="L222" s="293"/>
      <c r="M222" s="293"/>
      <c r="N222" s="293"/>
      <c r="O222" s="293"/>
      <c r="P222" s="293"/>
      <c r="Q222" s="184"/>
      <c r="R222" s="293"/>
      <c r="S222" s="293"/>
      <c r="T222" s="909"/>
      <c r="U222" s="909"/>
      <c r="V222" s="909"/>
      <c r="W222" s="909"/>
      <c r="X222" s="909"/>
      <c r="Y222" s="909"/>
      <c r="Z222" s="909"/>
      <c r="AA222" s="909"/>
      <c r="AB222" s="909"/>
      <c r="AC222" s="909"/>
      <c r="AD222" s="909"/>
      <c r="AE222" s="909"/>
      <c r="AF222" s="909"/>
      <c r="AG222" s="909"/>
    </row>
    <row r="223" spans="1:33" s="203" customFormat="1" ht="16.5" customHeight="1" outlineLevel="2">
      <c r="A223" s="909"/>
      <c r="B223" s="184"/>
      <c r="C223" s="24" t="s">
        <v>401</v>
      </c>
      <c r="D223" s="184"/>
      <c r="E223" s="8" t="str">
        <f>Currency_Label</f>
        <v>USD</v>
      </c>
      <c r="F223" s="929">
        <v>2000</v>
      </c>
      <c r="G223" s="914" t="str">
        <f>" =&gt; Amortisation can be defined on sheet Capex (row " &amp;ROW(Capex!E19) &amp;")"</f>
        <v xml:space="preserve"> =&gt; Amortisation can be defined on sheet Capex (row 19)</v>
      </c>
      <c r="H223" s="910"/>
      <c r="I223" s="910"/>
      <c r="J223" s="910"/>
      <c r="K223" s="909"/>
      <c r="L223" s="293"/>
      <c r="M223" s="293"/>
      <c r="N223" s="293"/>
      <c r="O223" s="293"/>
      <c r="P223" s="293"/>
      <c r="Q223" s="184"/>
      <c r="R223" s="293"/>
      <c r="S223" s="293"/>
      <c r="T223" s="909"/>
      <c r="U223" s="909"/>
      <c r="V223" s="909"/>
      <c r="W223" s="909"/>
      <c r="X223" s="909"/>
      <c r="Y223" s="909"/>
      <c r="Z223" s="909"/>
      <c r="AA223" s="909"/>
      <c r="AB223" s="909"/>
      <c r="AC223" s="909"/>
      <c r="AD223" s="909"/>
      <c r="AE223" s="909"/>
      <c r="AF223" s="909"/>
      <c r="AG223" s="909"/>
    </row>
    <row r="224" spans="1:33" s="203" customFormat="1" ht="16.5" customHeight="1" outlineLevel="2">
      <c r="A224" s="909"/>
      <c r="B224" s="184"/>
      <c r="C224" s="24" t="s">
        <v>402</v>
      </c>
      <c r="D224" s="184"/>
      <c r="E224" s="304"/>
      <c r="F224" s="755">
        <f>SUM(F225:F227)</f>
        <v>255000</v>
      </c>
      <c r="G224" s="918" t="s">
        <v>480</v>
      </c>
      <c r="H224" s="910"/>
      <c r="I224" s="910"/>
      <c r="J224" s="910"/>
      <c r="K224" s="909"/>
      <c r="L224" s="184"/>
      <c r="M224" s="184"/>
      <c r="N224" s="293"/>
      <c r="O224" s="184"/>
      <c r="P224" s="293"/>
      <c r="Q224" s="184"/>
      <c r="R224" s="293"/>
      <c r="S224" s="293"/>
      <c r="T224" s="909"/>
      <c r="U224" s="909"/>
      <c r="V224" s="909"/>
      <c r="W224" s="909"/>
      <c r="X224" s="909"/>
      <c r="Y224" s="909"/>
      <c r="Z224" s="909"/>
      <c r="AA224" s="909"/>
      <c r="AB224" s="909"/>
      <c r="AC224" s="909"/>
      <c r="AD224" s="909"/>
      <c r="AE224" s="909"/>
      <c r="AF224" s="909"/>
      <c r="AG224" s="909"/>
    </row>
    <row r="225" spans="1:33" s="649" customFormat="1" ht="16.5" customHeight="1" outlineLevel="2">
      <c r="A225" s="909"/>
      <c r="B225" s="293"/>
      <c r="C225" s="24" t="str">
        <f>"  - "&amp;Capex!$C$42</f>
        <v xml:space="preserve">  - Land and Buildings</v>
      </c>
      <c r="D225" s="293"/>
      <c r="E225" s="8" t="str">
        <f>Currency_Label</f>
        <v>USD</v>
      </c>
      <c r="F225" s="269">
        <v>100000</v>
      </c>
      <c r="G225" s="914" t="str">
        <f>" =&gt; Depreciation can be defined on sheet Capex (row " &amp;ROW(Capex!E52) &amp;")"</f>
        <v xml:space="preserve"> =&gt; Depreciation can be defined on sheet Capex (row 52)</v>
      </c>
      <c r="H225" s="910"/>
      <c r="I225" s="910"/>
      <c r="J225" s="910"/>
      <c r="K225" s="909"/>
      <c r="L225" s="293"/>
      <c r="M225" s="293"/>
      <c r="N225" s="293"/>
      <c r="O225" s="293"/>
      <c r="P225" s="293"/>
      <c r="Q225" s="293"/>
      <c r="R225" s="909"/>
      <c r="S225" s="293"/>
      <c r="T225" s="909"/>
      <c r="U225" s="909"/>
      <c r="V225" s="909"/>
      <c r="W225" s="909"/>
      <c r="X225" s="909"/>
      <c r="Y225" s="909"/>
      <c r="Z225" s="909"/>
      <c r="AA225" s="909"/>
      <c r="AB225" s="909"/>
      <c r="AC225" s="909"/>
      <c r="AD225" s="909"/>
      <c r="AE225" s="909"/>
      <c r="AF225" s="909"/>
      <c r="AG225" s="909"/>
    </row>
    <row r="226" spans="1:33" s="649" customFormat="1" ht="16.5" customHeight="1" outlineLevel="2">
      <c r="A226" s="909"/>
      <c r="B226" s="293"/>
      <c r="C226" s="24" t="str">
        <f>"  - "&amp;Capex!$C$68</f>
        <v xml:space="preserve">  - Plant &amp; Machinery</v>
      </c>
      <c r="D226" s="293"/>
      <c r="E226" s="8" t="str">
        <f>Currency_Label</f>
        <v>USD</v>
      </c>
      <c r="F226" s="269">
        <v>130000</v>
      </c>
      <c r="G226" s="914" t="str">
        <f>" =&gt; Depreciation can be defined on sheet Capex (row " &amp;ROW(Capex!E78) &amp;")"</f>
        <v xml:space="preserve"> =&gt; Depreciation can be defined on sheet Capex (row 78)</v>
      </c>
      <c r="H226" s="910"/>
      <c r="I226" s="910"/>
      <c r="J226" s="910"/>
      <c r="K226" s="909"/>
      <c r="L226" s="293"/>
      <c r="M226" s="293"/>
      <c r="N226" s="293"/>
      <c r="O226" s="293"/>
      <c r="P226" s="293"/>
      <c r="Q226" s="293"/>
      <c r="R226" s="909"/>
      <c r="S226" s="293"/>
      <c r="T226" s="909"/>
      <c r="U226" s="909"/>
      <c r="V226" s="909"/>
      <c r="W226" s="909"/>
      <c r="X226" s="909"/>
      <c r="Y226" s="909"/>
      <c r="Z226" s="909"/>
      <c r="AA226" s="909"/>
      <c r="AB226" s="909"/>
      <c r="AC226" s="909"/>
      <c r="AD226" s="909"/>
      <c r="AE226" s="909"/>
      <c r="AF226" s="909"/>
      <c r="AG226" s="909"/>
    </row>
    <row r="227" spans="1:33" s="649" customFormat="1" ht="16.5" customHeight="1" outlineLevel="2">
      <c r="A227" s="909"/>
      <c r="B227" s="293"/>
      <c r="C227" s="24" t="str">
        <f>"  - "&amp;Capex!$C$94</f>
        <v xml:space="preserve">  - Vehicles</v>
      </c>
      <c r="D227" s="293"/>
      <c r="E227" s="8" t="str">
        <f>Currency_Label</f>
        <v>USD</v>
      </c>
      <c r="F227" s="269">
        <v>25000</v>
      </c>
      <c r="G227" s="914" t="str">
        <f>" =&gt; Depreciation can be defined on sheet Capex (row " &amp;ROW(Capex!E104) &amp;")"</f>
        <v xml:space="preserve"> =&gt; Depreciation can be defined on sheet Capex (row 104)</v>
      </c>
      <c r="H227" s="910"/>
      <c r="I227" s="910"/>
      <c r="J227" s="910"/>
      <c r="K227" s="909"/>
      <c r="L227" s="293"/>
      <c r="M227" s="293"/>
      <c r="N227" s="293"/>
      <c r="O227" s="293"/>
      <c r="P227" s="293"/>
      <c r="Q227" s="293"/>
      <c r="R227" s="909"/>
      <c r="S227" s="293"/>
      <c r="T227" s="909"/>
      <c r="U227" s="909"/>
      <c r="V227" s="909"/>
      <c r="W227" s="909"/>
      <c r="X227" s="909"/>
      <c r="Y227" s="909"/>
      <c r="Z227" s="909"/>
      <c r="AA227" s="909"/>
      <c r="AB227" s="909"/>
      <c r="AC227" s="909"/>
      <c r="AD227" s="909"/>
      <c r="AE227" s="909"/>
      <c r="AF227" s="909"/>
      <c r="AG227" s="909"/>
    </row>
    <row r="228" spans="1:33" s="203" customFormat="1" ht="16.5" customHeight="1" outlineLevel="2">
      <c r="A228" s="909"/>
      <c r="B228" s="184"/>
      <c r="C228" s="24" t="s">
        <v>926</v>
      </c>
      <c r="D228" s="184"/>
      <c r="E228" s="8" t="str">
        <f>Currency_Label</f>
        <v>USD</v>
      </c>
      <c r="F228" s="269">
        <v>0</v>
      </c>
      <c r="G228" s="914" t="str">
        <f>" =&gt; Depreciation can be defined on sheet Capex (row " &amp;ROW(Capex!E136) &amp;")"</f>
        <v xml:space="preserve"> =&gt; Depreciation can be defined on sheet Capex (row 136)</v>
      </c>
      <c r="H228" s="910"/>
      <c r="I228" s="910"/>
      <c r="J228" s="910"/>
      <c r="K228" s="909"/>
      <c r="L228" s="184"/>
      <c r="M228" s="184"/>
      <c r="N228" s="293"/>
      <c r="O228" s="184"/>
      <c r="P228" s="184"/>
      <c r="Q228" s="184"/>
      <c r="R228" s="909"/>
      <c r="S228" s="293"/>
      <c r="T228" s="909"/>
      <c r="U228" s="909"/>
      <c r="V228" s="909"/>
      <c r="W228" s="909"/>
      <c r="X228" s="909"/>
      <c r="Y228" s="909"/>
      <c r="Z228" s="909"/>
      <c r="AA228" s="909"/>
      <c r="AB228" s="909"/>
      <c r="AC228" s="909"/>
      <c r="AD228" s="909"/>
      <c r="AE228" s="909"/>
      <c r="AF228" s="909"/>
      <c r="AG228" s="909"/>
    </row>
    <row r="229" spans="1:33" s="704" customFormat="1" ht="16.5" customHeight="1" outlineLevel="2">
      <c r="A229" s="909"/>
      <c r="B229" s="293"/>
      <c r="C229" s="290"/>
      <c r="D229" s="293"/>
      <c r="E229" s="320"/>
      <c r="F229" s="290"/>
      <c r="G229" s="916"/>
      <c r="H229" s="910"/>
      <c r="I229" s="910"/>
      <c r="J229" s="910"/>
      <c r="K229" s="293"/>
      <c r="L229" s="293"/>
      <c r="M229" s="293"/>
      <c r="N229" s="293"/>
      <c r="O229" s="293"/>
      <c r="P229" s="909"/>
      <c r="Q229" s="909"/>
      <c r="R229" s="909"/>
      <c r="S229" s="293"/>
      <c r="T229" s="909"/>
      <c r="U229" s="909"/>
      <c r="V229" s="909"/>
      <c r="W229" s="909"/>
      <c r="X229" s="909"/>
      <c r="Y229" s="909"/>
      <c r="Z229" s="909"/>
      <c r="AA229" s="909"/>
      <c r="AB229" s="909"/>
      <c r="AC229" s="909"/>
      <c r="AD229" s="909"/>
      <c r="AE229" s="909"/>
      <c r="AF229" s="909"/>
      <c r="AG229" s="909"/>
    </row>
    <row r="230" spans="1:33" s="203" customFormat="1" ht="16.5" customHeight="1" outlineLevel="2">
      <c r="A230" s="909"/>
      <c r="B230" s="184"/>
      <c r="C230" s="291" t="s">
        <v>479</v>
      </c>
      <c r="D230" s="184"/>
      <c r="E230" s="304"/>
      <c r="F230" s="755">
        <f>SUM(F231:F233)</f>
        <v>29500</v>
      </c>
      <c r="G230" s="916"/>
      <c r="H230" s="910"/>
      <c r="I230" s="910"/>
      <c r="J230" s="910"/>
      <c r="K230" s="184"/>
      <c r="L230" s="293"/>
      <c r="M230" s="635"/>
      <c r="N230" s="389"/>
      <c r="O230" s="909"/>
      <c r="P230" s="909"/>
      <c r="Q230" s="184"/>
      <c r="R230" s="909"/>
      <c r="S230" s="293"/>
      <c r="T230" s="909"/>
      <c r="U230" s="909"/>
      <c r="V230" s="909"/>
      <c r="W230" s="909"/>
      <c r="X230" s="909"/>
      <c r="Y230" s="909"/>
      <c r="Z230" s="909"/>
      <c r="AA230" s="909"/>
      <c r="AB230" s="909"/>
      <c r="AC230" s="909"/>
      <c r="AD230" s="909"/>
      <c r="AE230" s="909"/>
      <c r="AF230" s="909"/>
      <c r="AG230" s="909"/>
    </row>
    <row r="231" spans="1:33" s="203" customFormat="1" ht="16.5" customHeight="1" outlineLevel="2">
      <c r="A231" s="909"/>
      <c r="B231" s="184"/>
      <c r="C231" s="36" t="str">
        <f>CHOOSE(language,"Stocks","Inventory")</f>
        <v>Inventory</v>
      </c>
      <c r="D231" s="184"/>
      <c r="E231" s="8" t="str">
        <f>Currency_Label</f>
        <v>USD</v>
      </c>
      <c r="F231" s="754">
        <f>N242</f>
        <v>12000</v>
      </c>
      <c r="G231" s="916" t="s">
        <v>484</v>
      </c>
      <c r="H231" s="910"/>
      <c r="I231" s="910"/>
      <c r="J231" s="910"/>
      <c r="K231" s="306"/>
      <c r="L231" s="293"/>
      <c r="M231" s="635"/>
      <c r="N231" s="389" t="str">
        <f>CHOOSE(language,"Stocks: Opening values by product/service","Inventory: Opening values by product/service")</f>
        <v>Inventory: Opening values by product/service</v>
      </c>
      <c r="O231" s="909"/>
      <c r="P231" s="909"/>
      <c r="Q231" s="293"/>
      <c r="R231" s="909"/>
      <c r="S231" s="293"/>
      <c r="T231" s="909"/>
      <c r="U231" s="909"/>
      <c r="V231" s="909"/>
      <c r="W231" s="909"/>
      <c r="X231" s="909"/>
      <c r="Y231" s="909"/>
      <c r="Z231" s="909"/>
      <c r="AA231" s="909"/>
      <c r="AB231" s="909"/>
      <c r="AC231" s="909"/>
      <c r="AD231" s="909"/>
      <c r="AE231" s="909"/>
      <c r="AF231" s="909"/>
      <c r="AG231" s="909"/>
    </row>
    <row r="232" spans="1:33" s="203" customFormat="1" ht="16.5" customHeight="1" outlineLevel="2">
      <c r="A232" s="909"/>
      <c r="B232" s="184"/>
      <c r="C232" s="36" t="str">
        <f>CHOOSE(language,"Trade debtors","Accounts receivables")</f>
        <v>Accounts receivables</v>
      </c>
      <c r="D232" s="184"/>
      <c r="E232" s="8" t="str">
        <f>Currency_Label</f>
        <v>USD</v>
      </c>
      <c r="F232" s="269">
        <v>12500</v>
      </c>
      <c r="G232" s="916" t="s">
        <v>748</v>
      </c>
      <c r="H232" s="910"/>
      <c r="I232" s="910"/>
      <c r="J232" s="936">
        <v>4</v>
      </c>
      <c r="K232" s="909"/>
      <c r="L232" s="293"/>
      <c r="M232" s="752" t="str">
        <f t="shared" ref="M232:M241" si="13">C28</f>
        <v>Desktops</v>
      </c>
      <c r="N232" s="269">
        <v>6000</v>
      </c>
      <c r="O232" s="909"/>
      <c r="P232" s="909"/>
      <c r="Q232" s="184"/>
      <c r="R232" s="909"/>
      <c r="S232" s="293"/>
      <c r="T232" s="909"/>
      <c r="U232" s="909"/>
      <c r="V232" s="909"/>
      <c r="W232" s="909"/>
      <c r="X232" s="909"/>
      <c r="Y232" s="909"/>
      <c r="Z232" s="909"/>
      <c r="AA232" s="909"/>
      <c r="AB232" s="909"/>
      <c r="AC232" s="909"/>
      <c r="AD232" s="909"/>
      <c r="AE232" s="909"/>
      <c r="AF232" s="909"/>
      <c r="AG232" s="909"/>
    </row>
    <row r="233" spans="1:33" s="203" customFormat="1" ht="16.5" customHeight="1" outlineLevel="2">
      <c r="A233" s="909"/>
      <c r="B233" s="184"/>
      <c r="C233" s="40" t="s">
        <v>400</v>
      </c>
      <c r="D233" s="184"/>
      <c r="E233" s="8" t="str">
        <f>Currency_Label</f>
        <v>USD</v>
      </c>
      <c r="F233" s="269">
        <v>5000</v>
      </c>
      <c r="G233" s="916"/>
      <c r="H233" s="910"/>
      <c r="I233" s="910"/>
      <c r="J233" s="910"/>
      <c r="K233" s="909"/>
      <c r="L233" s="293"/>
      <c r="M233" s="752" t="str">
        <f t="shared" si="13"/>
        <v>Workstations</v>
      </c>
      <c r="N233" s="269">
        <v>750</v>
      </c>
      <c r="O233" s="909"/>
      <c r="P233" s="909"/>
      <c r="Q233" s="184"/>
      <c r="R233" s="909"/>
      <c r="S233" s="293"/>
      <c r="T233" s="909"/>
      <c r="U233" s="909"/>
      <c r="V233" s="909"/>
      <c r="W233" s="909"/>
      <c r="X233" s="909"/>
      <c r="Y233" s="909"/>
      <c r="Z233" s="909"/>
      <c r="AA233" s="909"/>
      <c r="AB233" s="909"/>
      <c r="AC233" s="909"/>
      <c r="AD233" s="909"/>
      <c r="AE233" s="909"/>
      <c r="AF233" s="909"/>
      <c r="AG233" s="909"/>
    </row>
    <row r="234" spans="1:33" s="203" customFormat="1" ht="16.5" customHeight="1" outlineLevel="2">
      <c r="A234" s="909"/>
      <c r="B234" s="184"/>
      <c r="C234" s="290"/>
      <c r="D234" s="184"/>
      <c r="E234" s="320"/>
      <c r="F234" s="290"/>
      <c r="G234" s="916"/>
      <c r="H234" s="910"/>
      <c r="I234" s="910"/>
      <c r="J234" s="910"/>
      <c r="K234" s="306"/>
      <c r="L234" s="293"/>
      <c r="M234" s="752" t="str">
        <f t="shared" si="13"/>
        <v>Notebooks</v>
      </c>
      <c r="N234" s="269">
        <v>4500</v>
      </c>
      <c r="O234" s="909"/>
      <c r="P234" s="909"/>
      <c r="Q234" s="184"/>
      <c r="R234" s="909"/>
      <c r="S234" s="293"/>
      <c r="T234" s="909"/>
      <c r="U234" s="909"/>
      <c r="V234" s="909"/>
      <c r="W234" s="909"/>
      <c r="X234" s="909"/>
      <c r="Y234" s="909"/>
      <c r="Z234" s="909"/>
      <c r="AA234" s="909"/>
      <c r="AB234" s="909"/>
      <c r="AC234" s="909"/>
      <c r="AD234" s="909"/>
      <c r="AE234" s="909"/>
      <c r="AF234" s="909"/>
      <c r="AG234" s="909"/>
    </row>
    <row r="235" spans="1:33" s="704" customFormat="1" ht="16.5" customHeight="1" outlineLevel="2">
      <c r="A235" s="909"/>
      <c r="B235" s="293"/>
      <c r="C235" s="291" t="s">
        <v>485</v>
      </c>
      <c r="D235" s="293"/>
      <c r="E235" s="304"/>
      <c r="F235" s="753">
        <f>SUM(F236:F239)</f>
        <v>28000</v>
      </c>
      <c r="G235" s="916"/>
      <c r="H235" s="910"/>
      <c r="I235" s="910"/>
      <c r="J235" s="910"/>
      <c r="K235" s="306"/>
      <c r="L235" s="293"/>
      <c r="M235" s="752" t="str">
        <f t="shared" si="13"/>
        <v>Software Products</v>
      </c>
      <c r="N235" s="269">
        <v>750</v>
      </c>
      <c r="O235" s="909"/>
      <c r="P235" s="909"/>
      <c r="Q235" s="184"/>
      <c r="R235" s="909"/>
      <c r="S235" s="293"/>
      <c r="T235" s="909"/>
      <c r="U235" s="909"/>
      <c r="V235" s="909"/>
      <c r="W235" s="909"/>
      <c r="X235" s="909"/>
      <c r="Y235" s="909"/>
      <c r="Z235" s="909"/>
      <c r="AA235" s="909"/>
      <c r="AB235" s="909"/>
      <c r="AC235" s="909"/>
      <c r="AD235" s="909"/>
      <c r="AE235" s="909"/>
      <c r="AF235" s="909"/>
      <c r="AG235" s="909"/>
    </row>
    <row r="236" spans="1:33" s="704" customFormat="1" ht="16.5" customHeight="1" outlineLevel="2">
      <c r="A236" s="909"/>
      <c r="B236" s="293"/>
      <c r="C236" s="40" t="s">
        <v>403</v>
      </c>
      <c r="D236" s="184"/>
      <c r="E236" s="8" t="str">
        <f>Currency_Label</f>
        <v>USD</v>
      </c>
      <c r="F236" s="269">
        <v>3500</v>
      </c>
      <c r="G236" s="916"/>
      <c r="H236" s="910"/>
      <c r="I236" s="910"/>
      <c r="J236" s="910"/>
      <c r="K236" s="909"/>
      <c r="L236" s="293"/>
      <c r="M236" s="752" t="str">
        <f t="shared" si="13"/>
        <v>Net work infrastructure solutions</v>
      </c>
      <c r="N236" s="269"/>
      <c r="O236" s="909"/>
      <c r="P236" s="909"/>
      <c r="Q236" s="184"/>
      <c r="R236" s="909"/>
      <c r="S236" s="293"/>
      <c r="T236" s="909"/>
      <c r="U236" s="909"/>
      <c r="V236" s="909"/>
      <c r="W236" s="909"/>
      <c r="X236" s="909"/>
      <c r="Y236" s="909"/>
      <c r="Z236" s="909"/>
      <c r="AA236" s="909"/>
      <c r="AB236" s="909"/>
      <c r="AC236" s="909"/>
      <c r="AD236" s="909"/>
      <c r="AE236" s="909"/>
      <c r="AF236" s="909"/>
      <c r="AG236" s="909"/>
    </row>
    <row r="237" spans="1:33" s="704" customFormat="1" ht="16.5" customHeight="1" outlineLevel="2">
      <c r="A237" s="909"/>
      <c r="B237" s="293"/>
      <c r="C237" s="40" t="str">
        <f>CHOOSE(language,"Trade creditors","Accounts payables")</f>
        <v>Accounts payables</v>
      </c>
      <c r="D237" s="184"/>
      <c r="E237" s="8" t="str">
        <f>Currency_Label</f>
        <v>USD</v>
      </c>
      <c r="F237" s="269">
        <v>10000</v>
      </c>
      <c r="G237" s="916" t="s">
        <v>748</v>
      </c>
      <c r="H237" s="910"/>
      <c r="I237" s="910"/>
      <c r="J237" s="936">
        <v>2</v>
      </c>
      <c r="K237" s="909"/>
      <c r="L237" s="293"/>
      <c r="M237" s="752" t="str">
        <f t="shared" si="13"/>
        <v>Repair Services</v>
      </c>
      <c r="N237" s="269"/>
      <c r="O237" s="909"/>
      <c r="P237" s="909"/>
      <c r="Q237" s="184"/>
      <c r="R237" s="909"/>
      <c r="S237" s="293"/>
      <c r="T237" s="909"/>
      <c r="U237" s="909"/>
      <c r="V237" s="909"/>
      <c r="W237" s="909"/>
      <c r="X237" s="909"/>
      <c r="Y237" s="909"/>
      <c r="Z237" s="909"/>
      <c r="AA237" s="909"/>
      <c r="AB237" s="909"/>
      <c r="AC237" s="909"/>
      <c r="AD237" s="909"/>
      <c r="AE237" s="909"/>
      <c r="AF237" s="909"/>
      <c r="AG237" s="909"/>
    </row>
    <row r="238" spans="1:33" s="704" customFormat="1" ht="16.5" customHeight="1" outlineLevel="2">
      <c r="A238" s="909"/>
      <c r="B238" s="293"/>
      <c r="C238" s="40" t="s">
        <v>425</v>
      </c>
      <c r="D238" s="184"/>
      <c r="E238" s="8" t="str">
        <f>Currency_Label</f>
        <v>USD</v>
      </c>
      <c r="F238" s="269">
        <v>10000</v>
      </c>
      <c r="G238" s="914" t="str">
        <f>" =&gt; detailed input on this sheet (row " &amp;ROW(Inputs!C307) &amp;" ff.)"</f>
        <v xml:space="preserve"> =&gt; detailed input on this sheet (row 307 ff.)</v>
      </c>
      <c r="H238" s="910"/>
      <c r="I238" s="910"/>
      <c r="J238" s="910"/>
      <c r="K238" s="909"/>
      <c r="L238" s="293"/>
      <c r="M238" s="752" t="str">
        <f t="shared" si="13"/>
        <v>Integration Services</v>
      </c>
      <c r="N238" s="269"/>
      <c r="O238" s="909"/>
      <c r="P238" s="909"/>
      <c r="Q238" s="184"/>
      <c r="R238" s="909"/>
      <c r="S238" s="293"/>
      <c r="T238" s="909"/>
      <c r="U238" s="909"/>
      <c r="V238" s="909"/>
      <c r="W238" s="909"/>
      <c r="X238" s="909"/>
      <c r="Y238" s="909"/>
      <c r="Z238" s="909"/>
      <c r="AA238" s="909"/>
      <c r="AB238" s="909"/>
      <c r="AC238" s="909"/>
      <c r="AD238" s="909"/>
      <c r="AE238" s="909"/>
      <c r="AF238" s="909"/>
      <c r="AG238" s="909"/>
    </row>
    <row r="239" spans="1:33" s="704" customFormat="1" ht="16.5" customHeight="1" outlineLevel="2">
      <c r="A239" s="909"/>
      <c r="B239" s="293"/>
      <c r="C239" s="40" t="str">
        <f>CHOOSE(language,"PAYE owed","Payroll withholdings owed")</f>
        <v>Payroll withholdings owed</v>
      </c>
      <c r="D239" s="293"/>
      <c r="E239" s="8" t="str">
        <f>Currency_Label</f>
        <v>USD</v>
      </c>
      <c r="F239" s="269">
        <v>4500</v>
      </c>
      <c r="G239" s="914" t="str">
        <f>" =&gt; detailed input on this sheet (row " &amp;ROW(Inputs!C327) &amp;")"</f>
        <v xml:space="preserve"> =&gt; detailed input on this sheet (row 327)</v>
      </c>
      <c r="H239" s="910"/>
      <c r="I239" s="910"/>
      <c r="J239" s="910"/>
      <c r="K239" s="909"/>
      <c r="L239" s="293"/>
      <c r="M239" s="752" t="str">
        <f t="shared" si="13"/>
        <v>Consulting Services</v>
      </c>
      <c r="N239" s="269"/>
      <c r="O239" s="909"/>
      <c r="P239" s="909"/>
      <c r="Q239" s="184"/>
      <c r="R239" s="909"/>
      <c r="S239" s="293"/>
      <c r="T239" s="909"/>
      <c r="U239" s="909"/>
      <c r="V239" s="909"/>
      <c r="W239" s="909"/>
      <c r="X239" s="909"/>
      <c r="Y239" s="909"/>
      <c r="Z239" s="909"/>
      <c r="AA239" s="909"/>
      <c r="AB239" s="909"/>
      <c r="AC239" s="909"/>
      <c r="AD239" s="909"/>
      <c r="AE239" s="909"/>
      <c r="AF239" s="909"/>
      <c r="AG239" s="909"/>
    </row>
    <row r="240" spans="1:33" s="704" customFormat="1" ht="16.5" customHeight="1" outlineLevel="2">
      <c r="A240" s="909"/>
      <c r="B240" s="293"/>
      <c r="C240" s="290"/>
      <c r="D240" s="293"/>
      <c r="E240" s="320"/>
      <c r="F240" s="290"/>
      <c r="G240" s="916"/>
      <c r="H240" s="910"/>
      <c r="I240" s="910"/>
      <c r="J240" s="910"/>
      <c r="K240" s="306"/>
      <c r="L240" s="293"/>
      <c r="M240" s="752" t="str">
        <f t="shared" si="13"/>
        <v>Spare Parts</v>
      </c>
      <c r="N240" s="269"/>
      <c r="O240" s="909"/>
      <c r="P240" s="909"/>
      <c r="Q240" s="184"/>
      <c r="R240" s="909"/>
      <c r="S240" s="293"/>
      <c r="T240" s="909"/>
      <c r="U240" s="909"/>
      <c r="V240" s="909"/>
      <c r="W240" s="909"/>
      <c r="X240" s="909"/>
      <c r="Y240" s="909"/>
      <c r="Z240" s="909"/>
      <c r="AA240" s="909"/>
      <c r="AB240" s="909"/>
      <c r="AC240" s="909"/>
      <c r="AD240" s="909"/>
      <c r="AE240" s="909"/>
      <c r="AF240" s="909"/>
      <c r="AG240" s="909"/>
    </row>
    <row r="241" spans="1:33" s="704" customFormat="1" ht="16.5" customHeight="1" outlineLevel="2">
      <c r="A241" s="909"/>
      <c r="B241" s="293"/>
      <c r="C241" s="291" t="s">
        <v>408</v>
      </c>
      <c r="D241" s="293"/>
      <c r="E241" s="304"/>
      <c r="F241" s="316"/>
      <c r="G241" s="916"/>
      <c r="H241" s="910"/>
      <c r="I241" s="910"/>
      <c r="J241" s="910"/>
      <c r="K241" s="306"/>
      <c r="L241" s="293"/>
      <c r="M241" s="752" t="str">
        <f t="shared" si="13"/>
        <v>License Fees</v>
      </c>
      <c r="N241" s="269"/>
      <c r="O241" s="909"/>
      <c r="P241" s="909"/>
      <c r="Q241" s="184"/>
      <c r="R241" s="909"/>
      <c r="S241" s="293"/>
      <c r="T241" s="909"/>
      <c r="U241" s="909"/>
      <c r="V241" s="909"/>
      <c r="W241" s="909"/>
      <c r="X241" s="909"/>
      <c r="Y241" s="909"/>
      <c r="Z241" s="909"/>
      <c r="AA241" s="909"/>
      <c r="AB241" s="909"/>
      <c r="AC241" s="909"/>
      <c r="AD241" s="909"/>
      <c r="AE241" s="909"/>
      <c r="AF241" s="909"/>
      <c r="AG241" s="909"/>
    </row>
    <row r="242" spans="1:33" s="704" customFormat="1" ht="16.5" customHeight="1" outlineLevel="2">
      <c r="A242" s="909"/>
      <c r="B242" s="293"/>
      <c r="C242" s="40" t="s">
        <v>394</v>
      </c>
      <c r="D242" s="184"/>
      <c r="E242" s="8" t="str">
        <f>Currency_Label</f>
        <v>USD</v>
      </c>
      <c r="F242" s="269">
        <v>222000</v>
      </c>
      <c r="G242" s="914" t="str">
        <f>" =&gt; detailed input of principal repayments and interest on sheet Financing (rows " &amp;ROW(Financing!C144) &amp;" ff.)"</f>
        <v xml:space="preserve"> =&gt; detailed input of principal repayments and interest on sheet Financing (rows 144 ff.)</v>
      </c>
      <c r="H242" s="910"/>
      <c r="I242" s="910"/>
      <c r="J242" s="910"/>
      <c r="K242" s="909"/>
      <c r="L242" s="293"/>
      <c r="M242" s="635" t="s">
        <v>483</v>
      </c>
      <c r="N242" s="750">
        <f>SUM(N232:N241)</f>
        <v>12000</v>
      </c>
      <c r="O242" s="909"/>
      <c r="P242" s="909"/>
      <c r="Q242" s="293"/>
      <c r="R242" s="909"/>
      <c r="S242" s="293"/>
      <c r="T242" s="909"/>
      <c r="U242" s="909"/>
      <c r="V242" s="909"/>
      <c r="W242" s="909"/>
      <c r="X242" s="909"/>
      <c r="Y242" s="909"/>
      <c r="Z242" s="909"/>
      <c r="AA242" s="909"/>
      <c r="AB242" s="909"/>
      <c r="AC242" s="909"/>
      <c r="AD242" s="909"/>
      <c r="AE242" s="909"/>
      <c r="AF242" s="909"/>
      <c r="AG242" s="909"/>
    </row>
    <row r="243" spans="1:33" s="704" customFormat="1" ht="11.25" customHeight="1" outlineLevel="2">
      <c r="A243" s="909"/>
      <c r="B243" s="293"/>
      <c r="C243" s="290"/>
      <c r="D243" s="293"/>
      <c r="E243" s="320"/>
      <c r="F243" s="290"/>
      <c r="G243" s="916"/>
      <c r="H243" s="910"/>
      <c r="I243" s="910"/>
      <c r="J243" s="910"/>
      <c r="K243" s="306"/>
      <c r="L243" s="293"/>
      <c r="M243" s="752"/>
      <c r="N243" s="293"/>
      <c r="O243" s="909"/>
      <c r="P243" s="909"/>
      <c r="Q243" s="293"/>
      <c r="R243" s="909"/>
      <c r="S243" s="293"/>
      <c r="T243" s="909"/>
      <c r="U243" s="909"/>
      <c r="V243" s="909"/>
      <c r="W243" s="909"/>
      <c r="X243" s="909"/>
      <c r="Y243" s="909"/>
      <c r="Z243" s="909"/>
      <c r="AA243" s="909"/>
      <c r="AB243" s="909"/>
      <c r="AC243" s="909"/>
      <c r="AD243" s="909"/>
      <c r="AE243" s="909"/>
      <c r="AF243" s="909"/>
      <c r="AG243" s="909"/>
    </row>
    <row r="244" spans="1:33" s="704" customFormat="1" ht="16.5" customHeight="1" outlineLevel="2">
      <c r="A244" s="909"/>
      <c r="B244" s="293"/>
      <c r="C244" s="318" t="s">
        <v>486</v>
      </c>
      <c r="D244" s="293"/>
      <c r="E244" s="8" t="str">
        <f>Currency_Label</f>
        <v>USD</v>
      </c>
      <c r="F244" s="756">
        <f>F222+F230-F235-F242</f>
        <v>36500</v>
      </c>
      <c r="G244" s="916"/>
      <c r="H244" s="910"/>
      <c r="I244" s="910"/>
      <c r="J244" s="910"/>
      <c r="K244" s="306"/>
      <c r="L244" s="293"/>
      <c r="M244" s="293"/>
      <c r="N244" s="752"/>
      <c r="O244" s="909"/>
      <c r="P244" s="909"/>
      <c r="Q244" s="293"/>
      <c r="R244" s="293"/>
      <c r="S244" s="293"/>
      <c r="T244" s="909"/>
      <c r="U244" s="909"/>
      <c r="V244" s="909"/>
      <c r="W244" s="909"/>
      <c r="X244" s="909"/>
      <c r="Y244" s="909"/>
      <c r="Z244" s="909"/>
      <c r="AA244" s="909"/>
      <c r="AB244" s="909"/>
      <c r="AC244" s="909"/>
      <c r="AD244" s="909"/>
      <c r="AE244" s="909"/>
      <c r="AF244" s="909"/>
      <c r="AG244" s="909"/>
    </row>
    <row r="245" spans="1:33" s="704" customFormat="1" ht="11.25" customHeight="1" outlineLevel="2">
      <c r="A245" s="909"/>
      <c r="B245" s="293"/>
      <c r="C245" s="290"/>
      <c r="D245" s="293"/>
      <c r="E245" s="320"/>
      <c r="F245" s="290"/>
      <c r="G245" s="916"/>
      <c r="H245" s="910"/>
      <c r="I245" s="910"/>
      <c r="J245" s="910"/>
      <c r="K245" s="306"/>
      <c r="L245" s="306"/>
      <c r="M245" s="293"/>
      <c r="N245" s="293"/>
      <c r="O245" s="909"/>
      <c r="P245" s="909"/>
      <c r="Q245" s="293"/>
      <c r="R245" s="293"/>
      <c r="S245" s="293"/>
      <c r="T245" s="909"/>
      <c r="U245" s="909"/>
      <c r="V245" s="909"/>
      <c r="W245" s="909"/>
      <c r="X245" s="909"/>
      <c r="Y245" s="909"/>
      <c r="Z245" s="909"/>
      <c r="AA245" s="909"/>
      <c r="AB245" s="909"/>
      <c r="AC245" s="909"/>
      <c r="AD245" s="909"/>
      <c r="AE245" s="909"/>
      <c r="AF245" s="909"/>
      <c r="AG245" s="909"/>
    </row>
    <row r="246" spans="1:33" s="203" customFormat="1" ht="16.5" customHeight="1" outlineLevel="2">
      <c r="A246" s="909"/>
      <c r="B246" s="184"/>
      <c r="C246" s="291" t="s">
        <v>414</v>
      </c>
      <c r="D246" s="184"/>
      <c r="E246" s="304"/>
      <c r="F246" s="316"/>
      <c r="G246" s="916"/>
      <c r="H246" s="910"/>
      <c r="I246" s="910"/>
      <c r="J246" s="910"/>
      <c r="K246" s="909"/>
      <c r="L246" s="306"/>
      <c r="M246" s="184"/>
      <c r="N246" s="293"/>
      <c r="O246" s="909"/>
      <c r="P246" s="909"/>
      <c r="Q246" s="293"/>
      <c r="R246" s="184"/>
      <c r="S246" s="293"/>
      <c r="T246" s="909"/>
      <c r="U246" s="909"/>
      <c r="V246" s="909"/>
      <c r="W246" s="909"/>
      <c r="X246" s="909"/>
      <c r="Y246" s="909"/>
      <c r="Z246" s="909"/>
      <c r="AA246" s="909"/>
      <c r="AB246" s="909"/>
      <c r="AC246" s="909"/>
      <c r="AD246" s="909"/>
      <c r="AE246" s="909"/>
      <c r="AF246" s="909"/>
      <c r="AG246" s="909"/>
    </row>
    <row r="247" spans="1:33" s="203" customFormat="1" ht="16.5" customHeight="1" outlineLevel="2">
      <c r="A247" s="909"/>
      <c r="B247" s="184"/>
      <c r="C247" s="40" t="s">
        <v>683</v>
      </c>
      <c r="D247" s="184"/>
      <c r="E247" s="8" t="str">
        <f>Currency_Label</f>
        <v>USD</v>
      </c>
      <c r="F247" s="269">
        <v>70000</v>
      </c>
      <c r="G247" s="916"/>
      <c r="H247" s="910"/>
      <c r="I247" s="910"/>
      <c r="J247" s="910"/>
      <c r="K247" s="909"/>
      <c r="L247" s="306"/>
      <c r="M247" s="184"/>
      <c r="N247" s="293"/>
      <c r="O247" s="731"/>
      <c r="P247" s="909"/>
      <c r="Q247" s="293"/>
      <c r="R247" s="184"/>
      <c r="S247" s="293"/>
      <c r="T247" s="909"/>
      <c r="U247" s="909"/>
      <c r="V247" s="909"/>
      <c r="W247" s="909"/>
      <c r="X247" s="909"/>
      <c r="Y247" s="909"/>
      <c r="Z247" s="909"/>
      <c r="AA247" s="909"/>
      <c r="AB247" s="909"/>
      <c r="AC247" s="909"/>
      <c r="AD247" s="909"/>
      <c r="AE247" s="909"/>
      <c r="AF247" s="909"/>
      <c r="AG247" s="909"/>
    </row>
    <row r="248" spans="1:33" s="203" customFormat="1" ht="16.5" customHeight="1" outlineLevel="2">
      <c r="A248" s="909"/>
      <c r="B248" s="184"/>
      <c r="C248" s="704" t="s">
        <v>413</v>
      </c>
      <c r="D248" s="184"/>
      <c r="E248" s="8" t="str">
        <f>Currency_Label</f>
        <v>USD</v>
      </c>
      <c r="F248" s="269">
        <v>-33500</v>
      </c>
      <c r="G248" s="914" t="s">
        <v>545</v>
      </c>
      <c r="H248" s="910"/>
      <c r="I248" s="910"/>
      <c r="J248" s="910"/>
      <c r="K248" s="306"/>
      <c r="L248" s="306"/>
      <c r="M248" s="184"/>
      <c r="N248" s="293"/>
      <c r="O248" s="731"/>
      <c r="P248" s="293"/>
      <c r="Q248" s="293"/>
      <c r="R248" s="184"/>
      <c r="S248" s="293"/>
      <c r="T248" s="909"/>
      <c r="U248" s="909"/>
      <c r="V248" s="909"/>
      <c r="W248" s="909"/>
      <c r="X248" s="909"/>
      <c r="Y248" s="909"/>
      <c r="Z248" s="909"/>
      <c r="AA248" s="909"/>
      <c r="AB248" s="909"/>
      <c r="AC248" s="909"/>
      <c r="AD248" s="909"/>
      <c r="AE248" s="909"/>
      <c r="AF248" s="909"/>
      <c r="AG248" s="909"/>
    </row>
    <row r="249" spans="1:33" s="203" customFormat="1" ht="11.25" customHeight="1" outlineLevel="2">
      <c r="A249" s="909"/>
      <c r="B249" s="184"/>
      <c r="C249" s="291"/>
      <c r="D249" s="184"/>
      <c r="E249" s="320"/>
      <c r="F249" s="290"/>
      <c r="G249" s="916"/>
      <c r="H249" s="910"/>
      <c r="I249" s="910"/>
      <c r="J249" s="910"/>
      <c r="K249" s="306"/>
      <c r="L249" s="306"/>
      <c r="M249" s="184"/>
      <c r="N249" s="293"/>
      <c r="O249" s="731"/>
      <c r="P249" s="293"/>
      <c r="Q249" s="293"/>
      <c r="R249" s="184"/>
      <c r="S249" s="293"/>
      <c r="T249" s="909"/>
      <c r="U249" s="909"/>
      <c r="V249" s="909"/>
      <c r="W249" s="909"/>
      <c r="X249" s="909"/>
      <c r="Y249" s="909"/>
      <c r="Z249" s="909"/>
      <c r="AA249" s="909"/>
      <c r="AB249" s="909"/>
      <c r="AC249" s="909"/>
      <c r="AD249" s="909"/>
      <c r="AE249" s="909"/>
      <c r="AF249" s="909"/>
      <c r="AG249" s="909"/>
    </row>
    <row r="250" spans="1:33" s="704" customFormat="1" ht="16.5" customHeight="1" outlineLevel="2">
      <c r="A250" s="909"/>
      <c r="B250" s="293"/>
      <c r="C250" s="318" t="s">
        <v>414</v>
      </c>
      <c r="D250" s="293"/>
      <c r="E250" s="8" t="str">
        <f>Currency_Label</f>
        <v>USD</v>
      </c>
      <c r="F250" s="756">
        <f>SUM(F247:F248)</f>
        <v>36500</v>
      </c>
      <c r="G250" s="916"/>
      <c r="H250" s="910"/>
      <c r="I250" s="910"/>
      <c r="J250" s="910"/>
      <c r="K250" s="306"/>
      <c r="L250" s="306"/>
      <c r="M250" s="293"/>
      <c r="N250" s="293"/>
      <c r="O250" s="731"/>
      <c r="P250" s="293"/>
      <c r="Q250" s="293"/>
      <c r="R250" s="293"/>
      <c r="S250" s="293"/>
      <c r="T250" s="909"/>
      <c r="U250" s="909"/>
      <c r="V250" s="909"/>
      <c r="W250" s="909"/>
      <c r="X250" s="909"/>
      <c r="Y250" s="909"/>
      <c r="Z250" s="909"/>
      <c r="AA250" s="909"/>
      <c r="AB250" s="909"/>
      <c r="AC250" s="909"/>
      <c r="AD250" s="909"/>
      <c r="AE250" s="909"/>
      <c r="AF250" s="909"/>
      <c r="AG250" s="909"/>
    </row>
    <row r="251" spans="1:33" s="203" customFormat="1" ht="16.5" customHeight="1" outlineLevel="2">
      <c r="A251" s="909"/>
      <c r="B251" s="184"/>
      <c r="C251" s="290" t="s">
        <v>831</v>
      </c>
      <c r="D251" s="184"/>
      <c r="E251" s="320"/>
      <c r="F251" s="643">
        <f>IF(ROUND(F244-F250,3)=0,0,1)</f>
        <v>0</v>
      </c>
      <c r="G251" s="919">
        <f>F244-F250</f>
        <v>0</v>
      </c>
      <c r="H251" s="665" t="s">
        <v>52</v>
      </c>
      <c r="I251" s="910"/>
      <c r="J251" s="910"/>
      <c r="K251" s="306"/>
      <c r="L251" s="306"/>
      <c r="M251" s="184"/>
      <c r="N251" s="293"/>
      <c r="O251" s="184"/>
      <c r="P251" s="184"/>
      <c r="Q251" s="184"/>
      <c r="R251" s="184"/>
      <c r="S251" s="184"/>
      <c r="T251" s="184"/>
      <c r="U251" s="909"/>
      <c r="V251" s="909"/>
      <c r="W251" s="909"/>
      <c r="X251" s="909"/>
      <c r="Y251" s="909"/>
      <c r="Z251" s="909"/>
      <c r="AA251" s="909"/>
      <c r="AB251" s="909"/>
      <c r="AC251" s="909"/>
      <c r="AD251" s="909"/>
      <c r="AE251" s="909"/>
      <c r="AF251" s="909"/>
      <c r="AG251" s="909"/>
    </row>
    <row r="252" spans="1:33" s="203" customFormat="1" outlineLevel="2">
      <c r="A252" s="909"/>
      <c r="B252" s="184"/>
      <c r="C252" s="290"/>
      <c r="D252" s="184"/>
      <c r="E252" s="305"/>
      <c r="F252" s="184"/>
      <c r="G252" s="910"/>
      <c r="H252" s="910"/>
      <c r="I252" s="910"/>
      <c r="J252" s="910"/>
      <c r="K252" s="306"/>
      <c r="L252" s="306"/>
      <c r="M252" s="184"/>
      <c r="N252" s="293"/>
      <c r="O252" s="184"/>
      <c r="P252" s="184"/>
      <c r="Q252" s="184"/>
      <c r="R252" s="184"/>
      <c r="S252" s="184"/>
      <c r="T252" s="184"/>
      <c r="U252" s="909"/>
      <c r="V252" s="909"/>
      <c r="W252" s="909"/>
      <c r="X252" s="909"/>
      <c r="Y252" s="909"/>
      <c r="Z252" s="909"/>
      <c r="AA252" s="909"/>
      <c r="AB252" s="909"/>
      <c r="AC252" s="909"/>
      <c r="AD252" s="909"/>
      <c r="AE252" s="909"/>
      <c r="AF252" s="909"/>
      <c r="AG252" s="909"/>
    </row>
    <row r="253" spans="1:33" s="89" customFormat="1" outlineLevel="1">
      <c r="A253" s="909"/>
      <c r="B253" s="293"/>
      <c r="C253" s="290"/>
      <c r="D253" s="293"/>
      <c r="E253" s="305"/>
      <c r="F253" s="293"/>
      <c r="G253" s="910"/>
      <c r="H253" s="910"/>
      <c r="I253" s="910"/>
      <c r="J253" s="910"/>
      <c r="K253" s="306"/>
      <c r="L253" s="306"/>
      <c r="M253" s="293"/>
      <c r="N253" s="293"/>
      <c r="O253" s="184"/>
      <c r="P253" s="184"/>
      <c r="Q253" s="184"/>
      <c r="R253" s="184"/>
      <c r="S253" s="184"/>
      <c r="T253" s="184"/>
      <c r="U253" s="909"/>
      <c r="V253" s="909"/>
      <c r="W253" s="909"/>
      <c r="X253" s="909"/>
      <c r="Y253" s="909"/>
      <c r="Z253" s="909"/>
      <c r="AA253" s="909"/>
      <c r="AB253" s="909"/>
      <c r="AC253" s="909"/>
      <c r="AD253" s="909"/>
      <c r="AE253" s="909"/>
      <c r="AF253" s="909"/>
      <c r="AG253" s="909"/>
    </row>
    <row r="254" spans="1:33" s="88" customFormat="1">
      <c r="A254" s="909"/>
      <c r="B254" s="184"/>
      <c r="C254" s="290"/>
      <c r="D254" s="305"/>
      <c r="E254" s="184"/>
      <c r="F254" s="184"/>
      <c r="G254" s="184"/>
      <c r="H254" s="184"/>
      <c r="I254" s="184"/>
      <c r="J254" s="184"/>
      <c r="K254" s="184"/>
      <c r="L254" s="184"/>
      <c r="M254" s="184"/>
      <c r="N254" s="184"/>
      <c r="O254" s="184"/>
      <c r="P254" s="184"/>
      <c r="Q254" s="184"/>
      <c r="R254" s="184"/>
      <c r="S254" s="184"/>
      <c r="T254" s="184"/>
      <c r="U254" s="909"/>
      <c r="V254" s="909"/>
      <c r="W254" s="909"/>
      <c r="X254" s="909"/>
      <c r="Y254" s="909"/>
      <c r="Z254" s="909"/>
      <c r="AA254" s="909"/>
      <c r="AB254" s="909"/>
      <c r="AC254" s="909"/>
      <c r="AD254" s="909"/>
      <c r="AE254" s="909"/>
      <c r="AF254" s="909"/>
      <c r="AG254" s="909"/>
    </row>
    <row r="255" spans="1:33" s="72" customFormat="1" ht="24.75" customHeight="1" thickBot="1">
      <c r="A255" s="288"/>
      <c r="B255" s="288"/>
      <c r="C255" s="288" t="s">
        <v>119</v>
      </c>
      <c r="D255" s="289"/>
      <c r="E255" s="289"/>
      <c r="F255" s="289"/>
      <c r="G255" s="289"/>
      <c r="H255" s="289"/>
      <c r="I255" s="289"/>
      <c r="J255" s="289"/>
      <c r="K255" s="289"/>
      <c r="L255" s="289"/>
      <c r="M255" s="289"/>
      <c r="N255" s="289"/>
      <c r="O255" s="289"/>
      <c r="P255" s="909"/>
      <c r="Q255" s="909"/>
      <c r="R255" s="184"/>
      <c r="S255" s="184"/>
      <c r="T255" s="184"/>
      <c r="U255" s="909"/>
      <c r="V255" s="909"/>
      <c r="W255" s="909"/>
      <c r="X255" s="909"/>
      <c r="Y255" s="909"/>
      <c r="Z255" s="909"/>
      <c r="AA255" s="909"/>
      <c r="AB255" s="909"/>
      <c r="AC255" s="909"/>
      <c r="AD255" s="909"/>
      <c r="AE255" s="909"/>
      <c r="AF255" s="909"/>
      <c r="AG255" s="909"/>
    </row>
    <row r="256" spans="1:33" s="88" customFormat="1" ht="11.25" customHeight="1" outlineLevel="1">
      <c r="A256" s="909"/>
      <c r="B256" s="184"/>
      <c r="C256" s="298"/>
      <c r="D256" s="305"/>
      <c r="E256" s="184"/>
      <c r="F256" s="184"/>
      <c r="G256" s="184"/>
      <c r="H256" s="184"/>
      <c r="I256" s="184"/>
      <c r="J256" s="184"/>
      <c r="K256" s="184"/>
      <c r="L256" s="184"/>
      <c r="M256" s="184"/>
      <c r="N256" s="184"/>
      <c r="O256" s="184"/>
      <c r="P256" s="909"/>
      <c r="Q256" s="909"/>
      <c r="R256" s="184"/>
      <c r="S256" s="184"/>
      <c r="T256" s="184"/>
      <c r="U256" s="909"/>
      <c r="V256" s="909"/>
      <c r="W256" s="909"/>
      <c r="X256" s="909"/>
      <c r="Y256" s="909"/>
      <c r="Z256" s="909"/>
      <c r="AA256" s="909"/>
      <c r="AB256" s="909"/>
      <c r="AC256" s="909"/>
      <c r="AD256" s="909"/>
      <c r="AE256" s="909"/>
      <c r="AF256" s="909"/>
      <c r="AG256" s="909"/>
    </row>
    <row r="257" spans="1:33" s="88" customFormat="1" ht="15" customHeight="1" outlineLevel="2">
      <c r="A257" s="909"/>
      <c r="B257" s="184"/>
      <c r="C257" s="11" t="s">
        <v>118</v>
      </c>
      <c r="D257" s="305"/>
      <c r="E257" s="65" t="s">
        <v>123</v>
      </c>
      <c r="F257" s="65" t="s">
        <v>121</v>
      </c>
      <c r="G257" s="65" t="s">
        <v>115</v>
      </c>
      <c r="H257" s="65" t="s">
        <v>120</v>
      </c>
      <c r="I257" s="184"/>
      <c r="J257" s="184"/>
      <c r="K257" s="909"/>
      <c r="L257" s="909"/>
      <c r="M257" s="909"/>
      <c r="N257" s="909"/>
      <c r="O257" s="909"/>
      <c r="P257" s="909"/>
      <c r="Q257" s="909"/>
      <c r="R257" s="184"/>
      <c r="S257" s="184"/>
      <c r="T257" s="184"/>
      <c r="U257" s="909"/>
      <c r="V257" s="909"/>
      <c r="W257" s="909"/>
      <c r="X257" s="909"/>
      <c r="Y257" s="909"/>
      <c r="Z257" s="909"/>
      <c r="AA257" s="909"/>
      <c r="AB257" s="909"/>
      <c r="AC257" s="909"/>
      <c r="AD257" s="909"/>
      <c r="AE257" s="909"/>
      <c r="AF257" s="909"/>
      <c r="AG257" s="909"/>
    </row>
    <row r="258" spans="1:33" s="88" customFormat="1" ht="8.25" customHeight="1" outlineLevel="2">
      <c r="A258" s="909"/>
      <c r="B258" s="184"/>
      <c r="C258" s="290"/>
      <c r="D258" s="305"/>
      <c r="E258" s="184"/>
      <c r="F258" s="184"/>
      <c r="G258" s="184"/>
      <c r="H258" s="184"/>
      <c r="I258" s="909"/>
      <c r="J258" s="909"/>
      <c r="K258" s="909"/>
      <c r="L258" s="184"/>
      <c r="M258" s="184"/>
      <c r="N258" s="184"/>
      <c r="O258" s="184"/>
      <c r="P258" s="184"/>
      <c r="Q258" s="184"/>
      <c r="R258" s="184"/>
      <c r="S258" s="184"/>
      <c r="T258" s="184"/>
      <c r="U258" s="909"/>
      <c r="V258" s="909"/>
      <c r="W258" s="909"/>
      <c r="X258" s="909"/>
      <c r="Y258" s="909"/>
      <c r="Z258" s="909"/>
      <c r="AA258" s="909"/>
      <c r="AB258" s="909"/>
      <c r="AC258" s="909"/>
      <c r="AD258" s="909"/>
      <c r="AE258" s="909"/>
      <c r="AF258" s="909"/>
      <c r="AG258" s="909"/>
    </row>
    <row r="259" spans="1:33" s="88" customFormat="1" ht="16.5" customHeight="1" outlineLevel="2">
      <c r="A259" s="909"/>
      <c r="B259" s="184"/>
      <c r="C259" s="15" t="s">
        <v>628</v>
      </c>
      <c r="D259" s="305"/>
      <c r="E259" s="34" t="s">
        <v>122</v>
      </c>
      <c r="F259" s="70">
        <f ca="1">IFS!I154</f>
        <v>0</v>
      </c>
      <c r="G259" s="19">
        <v>1E-3</v>
      </c>
      <c r="H259" s="643">
        <f ca="1">IF(ABS(F259)&gt;G259,1,0)</f>
        <v>0</v>
      </c>
      <c r="I259" s="909"/>
      <c r="J259" s="909"/>
      <c r="K259" s="909"/>
      <c r="L259" s="184"/>
      <c r="M259" s="184"/>
      <c r="N259" s="184"/>
      <c r="O259" s="184"/>
      <c r="P259" s="184"/>
      <c r="Q259" s="184"/>
      <c r="R259" s="184"/>
      <c r="S259" s="184"/>
      <c r="T259" s="184"/>
      <c r="U259" s="909"/>
      <c r="V259" s="909"/>
      <c r="W259" s="909"/>
      <c r="X259" s="909"/>
      <c r="Y259" s="909"/>
      <c r="Z259" s="909"/>
      <c r="AA259" s="909"/>
      <c r="AB259" s="909"/>
      <c r="AC259" s="909"/>
      <c r="AD259" s="909"/>
      <c r="AE259" s="909"/>
      <c r="AF259" s="909"/>
      <c r="AG259" s="909"/>
    </row>
    <row r="260" spans="1:33" s="203" customFormat="1" ht="16.5" customHeight="1" outlineLevel="2">
      <c r="A260" s="909"/>
      <c r="B260" s="184"/>
      <c r="C260" s="15" t="s">
        <v>629</v>
      </c>
      <c r="D260" s="305"/>
      <c r="E260" s="34" t="s">
        <v>122</v>
      </c>
      <c r="F260" s="70">
        <f ca="1">'Summary 04'!I51</f>
        <v>0</v>
      </c>
      <c r="G260" s="19">
        <v>1E-3</v>
      </c>
      <c r="H260" s="643">
        <f ca="1">IF(ABS(F260)&gt;G260,1,0)</f>
        <v>0</v>
      </c>
      <c r="I260" s="909"/>
      <c r="J260" s="909"/>
      <c r="K260" s="909"/>
      <c r="L260" s="293"/>
      <c r="M260" s="184"/>
      <c r="N260" s="184"/>
      <c r="O260" s="184"/>
      <c r="P260" s="184"/>
      <c r="Q260" s="184"/>
      <c r="R260" s="184"/>
      <c r="S260" s="184"/>
      <c r="T260" s="184"/>
      <c r="U260" s="909"/>
      <c r="V260" s="909"/>
      <c r="W260" s="909"/>
      <c r="X260" s="909"/>
      <c r="Y260" s="909"/>
      <c r="Z260" s="909"/>
      <c r="AA260" s="909"/>
      <c r="AB260" s="909"/>
      <c r="AC260" s="909"/>
      <c r="AD260" s="909"/>
      <c r="AE260" s="909"/>
      <c r="AF260" s="909"/>
      <c r="AG260" s="909"/>
    </row>
    <row r="261" spans="1:33" s="203" customFormat="1" ht="16.5" customHeight="1" outlineLevel="2">
      <c r="A261" s="909"/>
      <c r="B261" s="184"/>
      <c r="C261" s="15" t="s">
        <v>630</v>
      </c>
      <c r="D261" s="305"/>
      <c r="E261" s="34" t="s">
        <v>122</v>
      </c>
      <c r="F261" s="70">
        <f ca="1">SUM('Summary 01'!J337:S337)</f>
        <v>0</v>
      </c>
      <c r="G261" s="19">
        <v>1E-3</v>
      </c>
      <c r="H261" s="643">
        <f ca="1">IF(ABS(F261)&gt;G261,1,0)</f>
        <v>0</v>
      </c>
      <c r="I261" s="909"/>
      <c r="J261" s="909"/>
      <c r="K261" s="909"/>
      <c r="L261" s="293"/>
      <c r="M261" s="184"/>
      <c r="N261" s="184"/>
      <c r="O261" s="184"/>
      <c r="P261" s="184"/>
      <c r="Q261" s="184"/>
      <c r="R261" s="184"/>
      <c r="S261" s="184"/>
      <c r="T261" s="184"/>
      <c r="U261" s="909"/>
      <c r="V261" s="909"/>
      <c r="W261" s="909"/>
      <c r="X261" s="909"/>
      <c r="Y261" s="909"/>
      <c r="Z261" s="909"/>
      <c r="AA261" s="909"/>
      <c r="AB261" s="909"/>
      <c r="AC261" s="909"/>
      <c r="AD261" s="909"/>
      <c r="AE261" s="909"/>
      <c r="AF261" s="909"/>
      <c r="AG261" s="909"/>
    </row>
    <row r="262" spans="1:33" s="203" customFormat="1" ht="16.5" customHeight="1" outlineLevel="2">
      <c r="A262" s="909"/>
      <c r="B262" s="184"/>
      <c r="C262" s="15" t="s">
        <v>631</v>
      </c>
      <c r="D262" s="305"/>
      <c r="E262" s="34" t="s">
        <v>122</v>
      </c>
      <c r="F262" s="70">
        <f>F251</f>
        <v>0</v>
      </c>
      <c r="G262" s="19">
        <v>1E-3</v>
      </c>
      <c r="H262" s="643">
        <f t="shared" ref="H262" si="14">IF(ABS(F262)&gt;G262,1,0)</f>
        <v>0</v>
      </c>
      <c r="I262" s="909"/>
      <c r="J262" s="909"/>
      <c r="K262" s="909"/>
      <c r="L262" s="184"/>
      <c r="M262" s="184"/>
      <c r="N262" s="184"/>
      <c r="O262" s="184"/>
      <c r="P262" s="184"/>
      <c r="Q262" s="184"/>
      <c r="R262" s="184"/>
      <c r="S262" s="184"/>
      <c r="T262" s="184"/>
      <c r="U262" s="909"/>
      <c r="V262" s="909"/>
      <c r="W262" s="909"/>
      <c r="X262" s="909"/>
      <c r="Y262" s="909"/>
      <c r="Z262" s="909"/>
      <c r="AA262" s="909"/>
      <c r="AB262" s="909"/>
      <c r="AC262" s="909"/>
      <c r="AD262" s="909"/>
      <c r="AE262" s="909"/>
      <c r="AF262" s="909"/>
      <c r="AG262" s="909"/>
    </row>
    <row r="263" spans="1:33" s="203" customFormat="1" ht="16.5" customHeight="1" outlineLevel="2">
      <c r="A263" s="184"/>
      <c r="B263" s="184"/>
      <c r="C263" s="15" t="s">
        <v>632</v>
      </c>
      <c r="D263" s="305"/>
      <c r="E263" s="34" t="s">
        <v>122</v>
      </c>
      <c r="F263" s="70">
        <f ca="1">'Summary 01'!J54</f>
        <v>0</v>
      </c>
      <c r="G263" s="19">
        <v>1E-3</v>
      </c>
      <c r="H263" s="643">
        <f t="shared" ref="H263:H271" ca="1" si="15">IF(ABS(F263)&gt;G263,1,0)</f>
        <v>0</v>
      </c>
      <c r="I263" s="909"/>
      <c r="J263" s="909"/>
      <c r="K263" s="909"/>
      <c r="L263" s="184"/>
      <c r="M263" s="184"/>
      <c r="N263" s="184"/>
      <c r="O263" s="184"/>
      <c r="P263" s="184"/>
      <c r="Q263" s="184"/>
      <c r="R263" s="184"/>
      <c r="S263" s="184"/>
      <c r="T263" s="184"/>
      <c r="U263" s="909"/>
      <c r="V263" s="909"/>
      <c r="W263" s="909"/>
      <c r="X263" s="909"/>
      <c r="Y263" s="909"/>
      <c r="Z263" s="909"/>
      <c r="AA263" s="909"/>
      <c r="AB263" s="909"/>
      <c r="AC263" s="909"/>
      <c r="AD263" s="909"/>
      <c r="AE263" s="909"/>
      <c r="AF263" s="909"/>
      <c r="AG263" s="909"/>
    </row>
    <row r="264" spans="1:33" s="88" customFormat="1" ht="16.5" customHeight="1" outlineLevel="2">
      <c r="A264" s="184"/>
      <c r="B264" s="184"/>
      <c r="C264" s="15" t="s">
        <v>838</v>
      </c>
      <c r="D264" s="305"/>
      <c r="E264" s="34" t="s">
        <v>122</v>
      </c>
      <c r="F264" s="70">
        <f ca="1">Financing!I77</f>
        <v>0</v>
      </c>
      <c r="G264" s="19">
        <v>1E-3</v>
      </c>
      <c r="H264" s="643">
        <f t="shared" ca="1" si="15"/>
        <v>0</v>
      </c>
      <c r="I264" s="909"/>
      <c r="J264" s="909"/>
      <c r="K264" s="909"/>
      <c r="L264" s="184"/>
      <c r="M264" s="184"/>
      <c r="N264" s="184"/>
      <c r="O264" s="184"/>
      <c r="P264" s="184"/>
      <c r="Q264" s="184"/>
      <c r="R264" s="184"/>
      <c r="S264" s="184"/>
      <c r="T264" s="184"/>
      <c r="U264" s="909"/>
      <c r="V264" s="909"/>
      <c r="W264" s="909"/>
      <c r="X264" s="909"/>
      <c r="Y264" s="909"/>
      <c r="Z264" s="909"/>
      <c r="AA264" s="909"/>
      <c r="AB264" s="909"/>
      <c r="AC264" s="909"/>
      <c r="AD264" s="909"/>
      <c r="AE264" s="909"/>
      <c r="AF264" s="909"/>
      <c r="AG264" s="909"/>
    </row>
    <row r="265" spans="1:33" s="88" customFormat="1" ht="16.5" customHeight="1" outlineLevel="2">
      <c r="A265" s="184"/>
      <c r="B265" s="184"/>
      <c r="C265" s="15" t="s">
        <v>633</v>
      </c>
      <c r="D265" s="305"/>
      <c r="E265" s="34" t="s">
        <v>122</v>
      </c>
      <c r="F265" s="70">
        <f ca="1">IFS!I108</f>
        <v>0</v>
      </c>
      <c r="G265" s="19">
        <v>1E-3</v>
      </c>
      <c r="H265" s="643">
        <f t="shared" ca="1" si="15"/>
        <v>0</v>
      </c>
      <c r="I265" s="909"/>
      <c r="J265" s="909"/>
      <c r="K265" s="909"/>
      <c r="L265" s="184"/>
      <c r="M265" s="184"/>
      <c r="N265" s="184"/>
      <c r="O265" s="184"/>
      <c r="P265" s="184"/>
      <c r="Q265" s="184"/>
      <c r="R265" s="184"/>
      <c r="S265" s="184"/>
      <c r="T265" s="184"/>
      <c r="U265" s="909"/>
      <c r="V265" s="909"/>
      <c r="W265" s="909"/>
      <c r="X265" s="909"/>
      <c r="Y265" s="909"/>
      <c r="Z265" s="909"/>
      <c r="AA265" s="909"/>
      <c r="AB265" s="909"/>
      <c r="AC265" s="909"/>
      <c r="AD265" s="909"/>
      <c r="AE265" s="909"/>
      <c r="AF265" s="909"/>
      <c r="AG265" s="909"/>
    </row>
    <row r="266" spans="1:33" s="203" customFormat="1" ht="16.5" customHeight="1" outlineLevel="2">
      <c r="A266" s="184"/>
      <c r="B266" s="184"/>
      <c r="C266" s="15" t="str">
        <f>CHOOSE(language,"Aggregation P&amp;L (Summary 02)","Aggregation Income Statement (Summary 02")</f>
        <v>Aggregation Income Statement (Summary 02</v>
      </c>
      <c r="D266" s="305"/>
      <c r="E266" s="34" t="s">
        <v>122</v>
      </c>
      <c r="F266" s="70">
        <f ca="1">'Summary 02'!I50</f>
        <v>0</v>
      </c>
      <c r="G266" s="19">
        <v>1E-3</v>
      </c>
      <c r="H266" s="643">
        <f t="shared" ca="1" si="15"/>
        <v>0</v>
      </c>
      <c r="I266" s="909"/>
      <c r="J266" s="909"/>
      <c r="K266" s="909"/>
      <c r="L266" s="184"/>
      <c r="M266" s="184"/>
      <c r="N266" s="184"/>
      <c r="O266" s="184"/>
      <c r="P266" s="184"/>
      <c r="Q266" s="184"/>
      <c r="R266" s="184"/>
      <c r="S266" s="184"/>
      <c r="T266" s="184"/>
      <c r="U266" s="909"/>
      <c r="V266" s="909"/>
      <c r="W266" s="909"/>
      <c r="X266" s="909"/>
      <c r="Y266" s="909"/>
      <c r="Z266" s="909"/>
      <c r="AA266" s="909"/>
      <c r="AB266" s="909"/>
      <c r="AC266" s="909"/>
      <c r="AD266" s="909"/>
      <c r="AE266" s="909"/>
      <c r="AF266" s="909"/>
      <c r="AG266" s="909"/>
    </row>
    <row r="267" spans="1:33" s="203" customFormat="1" ht="16.5" customHeight="1" outlineLevel="2">
      <c r="A267" s="184"/>
      <c r="B267" s="184"/>
      <c r="C267" s="15" t="s">
        <v>634</v>
      </c>
      <c r="D267" s="305"/>
      <c r="E267" s="34" t="s">
        <v>122</v>
      </c>
      <c r="F267" s="70">
        <f ca="1">'Summary 03'!I58</f>
        <v>0</v>
      </c>
      <c r="G267" s="19">
        <v>1E-3</v>
      </c>
      <c r="H267" s="643">
        <f t="shared" ca="1" si="15"/>
        <v>0</v>
      </c>
      <c r="I267" s="909"/>
      <c r="J267" s="909"/>
      <c r="K267" s="909"/>
      <c r="L267" s="184"/>
      <c r="M267" s="184"/>
      <c r="N267" s="184"/>
      <c r="O267" s="184"/>
      <c r="P267" s="184"/>
      <c r="Q267" s="184"/>
      <c r="R267" s="184"/>
      <c r="S267" s="184"/>
      <c r="T267" s="184"/>
      <c r="U267" s="909"/>
      <c r="V267" s="909"/>
      <c r="W267" s="909"/>
      <c r="X267" s="909"/>
      <c r="Y267" s="909"/>
      <c r="Z267" s="909"/>
      <c r="AA267" s="909"/>
      <c r="AB267" s="909"/>
      <c r="AC267" s="909"/>
      <c r="AD267" s="909"/>
      <c r="AE267" s="909"/>
      <c r="AF267" s="909"/>
      <c r="AG267" s="909"/>
    </row>
    <row r="268" spans="1:33" s="203" customFormat="1" ht="16.5" customHeight="1" outlineLevel="2">
      <c r="A268" s="184"/>
      <c r="B268" s="184"/>
      <c r="C268" s="15" t="s">
        <v>635</v>
      </c>
      <c r="D268" s="305"/>
      <c r="E268" s="34" t="s">
        <v>122</v>
      </c>
      <c r="F268" s="70">
        <f ca="1">'Summary 04'!I53</f>
        <v>0</v>
      </c>
      <c r="G268" s="19">
        <v>1E-3</v>
      </c>
      <c r="H268" s="643">
        <f t="shared" ca="1" si="15"/>
        <v>0</v>
      </c>
      <c r="I268" s="909"/>
      <c r="J268" s="909"/>
      <c r="K268" s="909"/>
      <c r="L268" s="184"/>
      <c r="M268" s="184"/>
      <c r="N268" s="184"/>
      <c r="O268" s="184"/>
      <c r="P268" s="184"/>
      <c r="Q268" s="184"/>
      <c r="R268" s="184"/>
      <c r="S268" s="184"/>
      <c r="T268" s="184"/>
      <c r="U268" s="909"/>
      <c r="V268" s="909"/>
      <c r="W268" s="909"/>
      <c r="X268" s="909"/>
      <c r="Y268" s="909"/>
      <c r="Z268" s="909"/>
      <c r="AA268" s="909"/>
      <c r="AB268" s="909"/>
      <c r="AC268" s="909"/>
      <c r="AD268" s="909"/>
      <c r="AE268" s="909"/>
      <c r="AF268" s="909"/>
      <c r="AG268" s="909"/>
    </row>
    <row r="269" spans="1:33" s="203" customFormat="1" ht="16.5" customHeight="1" outlineLevel="2">
      <c r="A269" s="184"/>
      <c r="B269" s="184"/>
      <c r="C269" s="15" t="str">
        <f>CHOOSE(language,"Aggregation P&amp;L (Summary 01)","Aggregation Income Statement (Summary 01")</f>
        <v>Aggregation Income Statement (Summary 01</v>
      </c>
      <c r="D269" s="305"/>
      <c r="E269" s="34" t="s">
        <v>122</v>
      </c>
      <c r="F269" s="70">
        <f ca="1">'Summary 01'!I78</f>
        <v>0</v>
      </c>
      <c r="G269" s="19">
        <v>1E-3</v>
      </c>
      <c r="H269" s="643">
        <f t="shared" ca="1" si="15"/>
        <v>0</v>
      </c>
      <c r="I269" s="909"/>
      <c r="J269" s="909"/>
      <c r="K269" s="909"/>
      <c r="L269" s="184"/>
      <c r="M269" s="184"/>
      <c r="N269" s="184"/>
      <c r="O269" s="184"/>
      <c r="P269" s="184"/>
      <c r="Q269" s="184"/>
      <c r="R269" s="184"/>
      <c r="S269" s="184"/>
      <c r="T269" s="184"/>
      <c r="U269" s="909"/>
      <c r="V269" s="909"/>
      <c r="W269" s="909"/>
      <c r="X269" s="909"/>
      <c r="Y269" s="909"/>
      <c r="Z269" s="909"/>
      <c r="AA269" s="909"/>
      <c r="AB269" s="909"/>
      <c r="AC269" s="909"/>
      <c r="AD269" s="909"/>
      <c r="AE269" s="909"/>
      <c r="AF269" s="909"/>
      <c r="AG269" s="909"/>
    </row>
    <row r="270" spans="1:33" s="203" customFormat="1" ht="16.5" customHeight="1" outlineLevel="2">
      <c r="A270" s="184"/>
      <c r="B270" s="184"/>
      <c r="C270" s="15" t="s">
        <v>636</v>
      </c>
      <c r="D270" s="305"/>
      <c r="E270" s="34" t="s">
        <v>122</v>
      </c>
      <c r="F270" s="70">
        <f ca="1">'Summary 01'!I289</f>
        <v>0</v>
      </c>
      <c r="G270" s="19">
        <v>1E-3</v>
      </c>
      <c r="H270" s="643">
        <f t="shared" ca="1" si="15"/>
        <v>0</v>
      </c>
      <c r="I270" s="909"/>
      <c r="J270" s="909"/>
      <c r="K270" s="909"/>
      <c r="L270" s="184"/>
      <c r="M270" s="184"/>
      <c r="N270" s="184"/>
      <c r="O270" s="184"/>
      <c r="P270" s="184"/>
      <c r="Q270" s="184"/>
      <c r="R270" s="184"/>
      <c r="S270" s="184"/>
      <c r="T270" s="184"/>
      <c r="U270" s="909"/>
      <c r="V270" s="909"/>
      <c r="W270" s="909"/>
      <c r="X270" s="909"/>
      <c r="Y270" s="909"/>
      <c r="Z270" s="909"/>
      <c r="AA270" s="909"/>
      <c r="AB270" s="909"/>
      <c r="AC270" s="909"/>
      <c r="AD270" s="909"/>
      <c r="AE270" s="909"/>
      <c r="AF270" s="909"/>
      <c r="AG270" s="909"/>
    </row>
    <row r="271" spans="1:33" s="116" customFormat="1" ht="16.5" customHeight="1" outlineLevel="2">
      <c r="A271" s="184"/>
      <c r="B271" s="184"/>
      <c r="C271" s="15" t="str">
        <f>"Check: " &amp;Name_VAT</f>
        <v>Check: VAT</v>
      </c>
      <c r="D271" s="305"/>
      <c r="E271" s="34" t="s">
        <v>122</v>
      </c>
      <c r="F271" s="70">
        <f ca="1">Taxes!H23</f>
        <v>0</v>
      </c>
      <c r="G271" s="19">
        <v>1E-3</v>
      </c>
      <c r="H271" s="643">
        <f t="shared" ca="1" si="15"/>
        <v>0</v>
      </c>
      <c r="I271" s="909"/>
      <c r="J271" s="909"/>
      <c r="K271" s="909"/>
      <c r="L271" s="184"/>
      <c r="M271" s="184"/>
      <c r="N271" s="184"/>
      <c r="O271" s="184"/>
      <c r="P271" s="184"/>
      <c r="Q271" s="184"/>
      <c r="R271" s="184"/>
      <c r="S271" s="184"/>
      <c r="T271" s="184"/>
      <c r="U271" s="909"/>
      <c r="V271" s="909"/>
      <c r="W271" s="909"/>
      <c r="X271" s="909"/>
      <c r="Y271" s="909"/>
      <c r="Z271" s="909"/>
      <c r="AA271" s="909"/>
      <c r="AB271" s="909"/>
      <c r="AC271" s="909"/>
      <c r="AD271" s="909"/>
      <c r="AE271" s="909"/>
      <c r="AF271" s="909"/>
      <c r="AG271" s="909"/>
    </row>
    <row r="272" spans="1:33" s="116" customFormat="1" ht="16.5" customHeight="1" outlineLevel="2">
      <c r="A272" s="184"/>
      <c r="B272" s="184"/>
      <c r="C272" s="15" t="s">
        <v>775</v>
      </c>
      <c r="D272" s="305"/>
      <c r="E272" s="34" t="s">
        <v>122</v>
      </c>
      <c r="F272" s="70">
        <f>J151</f>
        <v>0</v>
      </c>
      <c r="G272" s="19">
        <v>1E-3</v>
      </c>
      <c r="H272" s="643">
        <f t="shared" ref="H272" si="16">IF(ABS(F272)&gt;G272,1,0)</f>
        <v>0</v>
      </c>
      <c r="I272" s="909"/>
      <c r="J272" s="909"/>
      <c r="K272" s="909"/>
      <c r="L272" s="184"/>
      <c r="M272" s="184"/>
      <c r="N272" s="184"/>
      <c r="O272" s="184"/>
      <c r="P272" s="184"/>
      <c r="Q272" s="184"/>
      <c r="R272" s="184"/>
      <c r="S272" s="184"/>
      <c r="T272" s="184"/>
      <c r="U272" s="909"/>
      <c r="V272" s="909"/>
      <c r="W272" s="909"/>
      <c r="X272" s="909"/>
      <c r="Y272" s="909"/>
      <c r="Z272" s="909"/>
      <c r="AA272" s="909"/>
      <c r="AB272" s="909"/>
      <c r="AC272" s="909"/>
      <c r="AD272" s="909"/>
      <c r="AE272" s="909"/>
      <c r="AF272" s="909"/>
      <c r="AG272" s="909"/>
    </row>
    <row r="273" spans="1:33" s="130" customFormat="1" ht="16.5" customHeight="1" outlineLevel="2">
      <c r="A273" s="184"/>
      <c r="B273" s="184"/>
      <c r="C273" s="15" t="s">
        <v>776</v>
      </c>
      <c r="D273" s="305"/>
      <c r="E273" s="34" t="s">
        <v>122</v>
      </c>
      <c r="F273" s="70">
        <f>J165</f>
        <v>0</v>
      </c>
      <c r="G273" s="19">
        <v>1E-3</v>
      </c>
      <c r="H273" s="643">
        <f t="shared" ref="H273" si="17">IF(ABS(F273)&gt;G273,1,0)</f>
        <v>0</v>
      </c>
      <c r="I273" s="909"/>
      <c r="J273" s="909"/>
      <c r="K273" s="909"/>
      <c r="L273" s="184"/>
      <c r="M273" s="184"/>
      <c r="N273" s="184"/>
      <c r="O273" s="184"/>
      <c r="P273" s="184"/>
      <c r="Q273" s="184"/>
      <c r="R273" s="184"/>
      <c r="S273" s="184"/>
      <c r="T273" s="184"/>
      <c r="U273" s="909"/>
      <c r="V273" s="909"/>
      <c r="W273" s="909"/>
      <c r="X273" s="909"/>
      <c r="Y273" s="909"/>
      <c r="Z273" s="909"/>
      <c r="AA273" s="909"/>
      <c r="AB273" s="909"/>
      <c r="AC273" s="909"/>
      <c r="AD273" s="909"/>
      <c r="AE273" s="909"/>
      <c r="AF273" s="909"/>
      <c r="AG273" s="909"/>
    </row>
    <row r="274" spans="1:33" s="203" customFormat="1" ht="16.5" customHeight="1" outlineLevel="2">
      <c r="A274" s="184"/>
      <c r="B274" s="184"/>
      <c r="C274" s="15" t="str">
        <f>IFS!$C$141 &amp;" - Principal payments ≤ Debt facility?"</f>
        <v>Debt Facilities (at model start) - Principal payments ≤ Debt facility?</v>
      </c>
      <c r="D274" s="305"/>
      <c r="E274" s="34" t="s">
        <v>122</v>
      </c>
      <c r="F274" s="70">
        <f>IFS!D141</f>
        <v>0</v>
      </c>
      <c r="G274" s="19">
        <v>1E-3</v>
      </c>
      <c r="H274" s="643">
        <f t="shared" ref="H274:H278" si="18">IF(ABS(F274)&gt;G274,1,0)</f>
        <v>0</v>
      </c>
      <c r="I274" s="909"/>
      <c r="J274" s="909"/>
      <c r="K274" s="909"/>
      <c r="L274" s="184"/>
      <c r="M274" s="184"/>
      <c r="N274" s="184"/>
      <c r="O274" s="184"/>
      <c r="P274" s="184"/>
      <c r="Q274" s="184"/>
      <c r="R274" s="184"/>
      <c r="S274" s="184"/>
      <c r="T274" s="184"/>
      <c r="U274" s="909"/>
      <c r="V274" s="909"/>
      <c r="W274" s="909"/>
      <c r="X274" s="909"/>
      <c r="Y274" s="909"/>
      <c r="Z274" s="909"/>
      <c r="AA274" s="909"/>
      <c r="AB274" s="909"/>
      <c r="AC274" s="909"/>
      <c r="AD274" s="909"/>
      <c r="AE274" s="909"/>
      <c r="AF274" s="909"/>
      <c r="AG274" s="909"/>
    </row>
    <row r="275" spans="1:33" s="130" customFormat="1" ht="16.5" customHeight="1" outlineLevel="2">
      <c r="A275" s="184"/>
      <c r="B275" s="184"/>
      <c r="C275" s="15" t="str">
        <f>IFS!$C$142 &amp;" - Repayment ≤ Debt ?"</f>
        <v>Debt 1: UL Bank - Repayment ≤ Debt ?</v>
      </c>
      <c r="D275" s="305"/>
      <c r="E275" s="34" t="s">
        <v>122</v>
      </c>
      <c r="F275" s="70">
        <f ca="1">IFS!D142</f>
        <v>0</v>
      </c>
      <c r="G275" s="19">
        <v>1E-3</v>
      </c>
      <c r="H275" s="643">
        <f ca="1">IF(ABS(F275)&gt;G275,1,0)</f>
        <v>0</v>
      </c>
      <c r="I275" s="909"/>
      <c r="J275" s="909"/>
      <c r="K275" s="909"/>
      <c r="L275" s="184"/>
      <c r="M275" s="184"/>
      <c r="N275" s="184"/>
      <c r="O275" s="184"/>
      <c r="P275" s="184"/>
      <c r="Q275" s="184"/>
      <c r="R275" s="184"/>
      <c r="S275" s="184"/>
      <c r="T275" s="184"/>
      <c r="U275" s="909"/>
      <c r="V275" s="909"/>
      <c r="W275" s="909"/>
      <c r="X275" s="909"/>
      <c r="Y275" s="909"/>
      <c r="Z275" s="909"/>
      <c r="AA275" s="909"/>
      <c r="AB275" s="909"/>
      <c r="AC275" s="909"/>
      <c r="AD275" s="909"/>
      <c r="AE275" s="909"/>
      <c r="AF275" s="909"/>
      <c r="AG275" s="909"/>
    </row>
    <row r="276" spans="1:33" s="130" customFormat="1" ht="16.5" customHeight="1" outlineLevel="2">
      <c r="A276" s="184"/>
      <c r="B276" s="184"/>
      <c r="C276" s="15" t="str">
        <f>IFS!$C$143 &amp;" - Repayment ≤ Debt ?"</f>
        <v>Debt 2: HSBC Bank - Repayment ≤ Debt ?</v>
      </c>
      <c r="D276" s="305"/>
      <c r="E276" s="34" t="s">
        <v>122</v>
      </c>
      <c r="F276" s="70">
        <f>IFS!D143</f>
        <v>0</v>
      </c>
      <c r="G276" s="19">
        <v>1E-3</v>
      </c>
      <c r="H276" s="643">
        <f t="shared" si="18"/>
        <v>0</v>
      </c>
      <c r="I276" s="909"/>
      <c r="J276" s="909"/>
      <c r="K276" s="909"/>
      <c r="L276" s="184"/>
      <c r="M276" s="184"/>
      <c r="N276" s="184"/>
      <c r="O276" s="184"/>
      <c r="P276" s="184"/>
      <c r="Q276" s="184"/>
      <c r="R276" s="184"/>
      <c r="S276" s="184"/>
      <c r="T276" s="184"/>
      <c r="U276" s="909"/>
      <c r="V276" s="909"/>
      <c r="W276" s="909"/>
      <c r="X276" s="909"/>
      <c r="Y276" s="909"/>
      <c r="Z276" s="909"/>
      <c r="AA276" s="909"/>
      <c r="AB276" s="909"/>
      <c r="AC276" s="909"/>
      <c r="AD276" s="909"/>
      <c r="AE276" s="909"/>
      <c r="AF276" s="909"/>
      <c r="AG276" s="909"/>
    </row>
    <row r="277" spans="1:33" s="130" customFormat="1" ht="16.5" customHeight="1" outlineLevel="2">
      <c r="A277" s="184"/>
      <c r="B277" s="184"/>
      <c r="C277" s="15" t="str">
        <f>IFS!$C$144 &amp;" - Repayment ≤ Debt ?"</f>
        <v>Debt 3: UBS - Repayment ≤ Debt ?</v>
      </c>
      <c r="D277" s="305"/>
      <c r="E277" s="34" t="s">
        <v>122</v>
      </c>
      <c r="F277" s="70">
        <f>IFS!D144</f>
        <v>0</v>
      </c>
      <c r="G277" s="19">
        <v>1E-3</v>
      </c>
      <c r="H277" s="643">
        <f t="shared" si="18"/>
        <v>0</v>
      </c>
      <c r="I277" s="909"/>
      <c r="J277" s="909"/>
      <c r="K277" s="909"/>
      <c r="L277" s="184"/>
      <c r="M277" s="184"/>
      <c r="N277" s="184"/>
      <c r="O277" s="184"/>
      <c r="P277" s="184"/>
      <c r="Q277" s="184"/>
      <c r="R277" s="184"/>
      <c r="S277" s="184"/>
      <c r="T277" s="184"/>
      <c r="U277" s="909"/>
      <c r="V277" s="909"/>
      <c r="W277" s="909"/>
      <c r="X277" s="909"/>
      <c r="Y277" s="909"/>
      <c r="Z277" s="909"/>
      <c r="AA277" s="909"/>
      <c r="AB277" s="909"/>
      <c r="AC277" s="909"/>
      <c r="AD277" s="909"/>
      <c r="AE277" s="909"/>
      <c r="AF277" s="909"/>
      <c r="AG277" s="909"/>
    </row>
    <row r="278" spans="1:33" s="130" customFormat="1" ht="16.5" customHeight="1" outlineLevel="2">
      <c r="A278" s="909"/>
      <c r="B278" s="184"/>
      <c r="C278" s="15" t="str">
        <f>IFS!$C$145 &amp;" - Repayment ≤ Debt ?"</f>
        <v>Debt 4: Shareholder Loan - Repayment ≤ Debt ?</v>
      </c>
      <c r="D278" s="305"/>
      <c r="E278" s="34" t="s">
        <v>122</v>
      </c>
      <c r="F278" s="70">
        <f>IFS!D145</f>
        <v>0</v>
      </c>
      <c r="G278" s="19">
        <v>1E-3</v>
      </c>
      <c r="H278" s="643">
        <f t="shared" si="18"/>
        <v>0</v>
      </c>
      <c r="I278" s="909"/>
      <c r="J278" s="909"/>
      <c r="K278" s="909"/>
      <c r="L278" s="184"/>
      <c r="M278" s="184"/>
      <c r="N278" s="184"/>
      <c r="O278" s="184"/>
      <c r="P278" s="184"/>
      <c r="Q278" s="184"/>
      <c r="R278" s="184"/>
      <c r="S278" s="184"/>
      <c r="T278" s="184"/>
      <c r="U278" s="909"/>
      <c r="V278" s="909"/>
      <c r="W278" s="909"/>
      <c r="X278" s="909"/>
      <c r="Y278" s="909"/>
      <c r="Z278" s="909"/>
      <c r="AA278" s="909"/>
      <c r="AB278" s="909"/>
      <c r="AC278" s="909"/>
      <c r="AD278" s="909"/>
      <c r="AE278" s="909"/>
      <c r="AF278" s="909"/>
      <c r="AG278" s="909"/>
    </row>
    <row r="279" spans="1:33" s="203" customFormat="1" ht="16.5" customHeight="1" outlineLevel="2">
      <c r="A279" s="909"/>
      <c r="B279" s="184"/>
      <c r="C279" s="15" t="s">
        <v>738</v>
      </c>
      <c r="D279" s="305"/>
      <c r="E279" s="34" t="s">
        <v>122</v>
      </c>
      <c r="F279" s="70">
        <f>F134</f>
        <v>0</v>
      </c>
      <c r="G279" s="19">
        <v>1E-3</v>
      </c>
      <c r="H279" s="643">
        <f t="shared" ref="H279" si="19">IF(ABS(F279)&gt;G279,1,0)</f>
        <v>0</v>
      </c>
      <c r="I279" s="909"/>
      <c r="J279" s="909"/>
      <c r="K279" s="909"/>
      <c r="L279" s="184"/>
      <c r="M279" s="184"/>
      <c r="N279" s="184"/>
      <c r="O279" s="184"/>
      <c r="P279" s="184"/>
      <c r="Q279" s="184"/>
      <c r="R279" s="184"/>
      <c r="S279" s="184"/>
      <c r="T279" s="184"/>
      <c r="U279" s="909"/>
      <c r="V279" s="909"/>
      <c r="W279" s="909"/>
      <c r="X279" s="909"/>
      <c r="Y279" s="909"/>
      <c r="Z279" s="909"/>
      <c r="AA279" s="909"/>
      <c r="AB279" s="909"/>
      <c r="AC279" s="909"/>
      <c r="AD279" s="909"/>
      <c r="AE279" s="909"/>
      <c r="AF279" s="909"/>
      <c r="AG279" s="909"/>
    </row>
    <row r="280" spans="1:33" s="203" customFormat="1" ht="16.5" customHeight="1" outlineLevel="2">
      <c r="A280" s="909"/>
      <c r="B280" s="184"/>
      <c r="C280" s="832" t="s">
        <v>644</v>
      </c>
      <c r="D280" s="305"/>
      <c r="E280" s="34" t="s">
        <v>122</v>
      </c>
      <c r="F280" s="70">
        <f>FK_28</f>
        <v>0</v>
      </c>
      <c r="G280" s="19">
        <v>1E-3</v>
      </c>
      <c r="H280" s="643">
        <f t="shared" ref="H280:H284" si="20">IF(ABS(F280)&gt;G280,1,0)</f>
        <v>0</v>
      </c>
      <c r="I280" s="909"/>
      <c r="J280" s="909"/>
      <c r="K280" s="909"/>
      <c r="L280" s="184"/>
      <c r="M280" s="184"/>
      <c r="N280" s="184"/>
      <c r="O280" s="184"/>
      <c r="P280" s="184"/>
      <c r="Q280" s="184"/>
      <c r="R280" s="184"/>
      <c r="S280" s="184"/>
      <c r="T280" s="184"/>
      <c r="U280" s="909"/>
      <c r="V280" s="909"/>
      <c r="W280" s="909"/>
      <c r="X280" s="909"/>
      <c r="Y280" s="909"/>
      <c r="Z280" s="909"/>
      <c r="AA280" s="909"/>
      <c r="AB280" s="909"/>
      <c r="AC280" s="909"/>
      <c r="AD280" s="909"/>
      <c r="AE280" s="909"/>
      <c r="AF280" s="909"/>
      <c r="AG280" s="909"/>
    </row>
    <row r="281" spans="1:33" s="830" customFormat="1" ht="16.5" customHeight="1" outlineLevel="2">
      <c r="A281" s="909"/>
      <c r="B281" s="293"/>
      <c r="C281" s="832" t="s">
        <v>645</v>
      </c>
      <c r="D281" s="305"/>
      <c r="E281" s="34" t="s">
        <v>122</v>
      </c>
      <c r="F281" s="70">
        <f>E317</f>
        <v>0</v>
      </c>
      <c r="G281" s="19">
        <v>1E-3</v>
      </c>
      <c r="H281" s="643">
        <f t="shared" si="20"/>
        <v>0</v>
      </c>
      <c r="I281" s="909"/>
      <c r="J281" s="909"/>
      <c r="K281" s="909"/>
      <c r="L281" s="293"/>
      <c r="M281" s="293"/>
      <c r="N281" s="293"/>
      <c r="O281" s="293"/>
      <c r="P281" s="293"/>
      <c r="Q281" s="293"/>
      <c r="R281" s="293"/>
      <c r="S281" s="293"/>
      <c r="T281" s="293"/>
      <c r="U281" s="909"/>
      <c r="V281" s="909"/>
      <c r="W281" s="909"/>
      <c r="X281" s="909"/>
      <c r="Y281" s="909"/>
      <c r="Z281" s="909"/>
      <c r="AA281" s="909"/>
      <c r="AB281" s="909"/>
      <c r="AC281" s="909"/>
      <c r="AD281" s="909"/>
      <c r="AE281" s="909"/>
      <c r="AF281" s="909"/>
      <c r="AG281" s="909"/>
    </row>
    <row r="282" spans="1:33" s="830" customFormat="1" ht="16.5" customHeight="1" outlineLevel="2">
      <c r="A282" s="909"/>
      <c r="B282" s="293"/>
      <c r="C282" s="832" t="s">
        <v>646</v>
      </c>
      <c r="D282" s="305"/>
      <c r="E282" s="34" t="s">
        <v>122</v>
      </c>
      <c r="F282" s="70">
        <f>E323</f>
        <v>0</v>
      </c>
      <c r="G282" s="19">
        <v>1E-3</v>
      </c>
      <c r="H282" s="643">
        <f t="shared" si="20"/>
        <v>0</v>
      </c>
      <c r="I282" s="909"/>
      <c r="J282" s="909"/>
      <c r="K282" s="909"/>
      <c r="L282" s="293"/>
      <c r="M282" s="293"/>
      <c r="N282" s="293"/>
      <c r="O282" s="293"/>
      <c r="P282" s="293"/>
      <c r="Q282" s="293"/>
      <c r="R282" s="293"/>
      <c r="S282" s="293"/>
      <c r="T282" s="293"/>
      <c r="U282" s="909"/>
      <c r="V282" s="909"/>
      <c r="W282" s="909"/>
      <c r="X282" s="909"/>
      <c r="Y282" s="909"/>
      <c r="Z282" s="909"/>
      <c r="AA282" s="909"/>
      <c r="AB282" s="909"/>
      <c r="AC282" s="909"/>
      <c r="AD282" s="909"/>
      <c r="AE282" s="909"/>
      <c r="AF282" s="909"/>
      <c r="AG282" s="909"/>
    </row>
    <row r="283" spans="1:33" s="830" customFormat="1" ht="16.5" customHeight="1" outlineLevel="2">
      <c r="A283" s="909"/>
      <c r="B283" s="293"/>
      <c r="C283" s="832" t="s">
        <v>821</v>
      </c>
      <c r="D283" s="305"/>
      <c r="E283" s="34" t="s">
        <v>122</v>
      </c>
      <c r="F283" s="70">
        <f>E327</f>
        <v>0</v>
      </c>
      <c r="G283" s="19">
        <v>1E-3</v>
      </c>
      <c r="H283" s="643">
        <f t="shared" si="20"/>
        <v>0</v>
      </c>
      <c r="I283" s="909"/>
      <c r="J283" s="909"/>
      <c r="K283" s="909"/>
      <c r="L283" s="293"/>
      <c r="M283" s="293"/>
      <c r="N283" s="293"/>
      <c r="O283" s="293"/>
      <c r="P283" s="293"/>
      <c r="Q283" s="293"/>
      <c r="R283" s="293"/>
      <c r="S283" s="293"/>
      <c r="T283" s="293"/>
      <c r="U283" s="909"/>
      <c r="V283" s="909"/>
      <c r="W283" s="909"/>
      <c r="X283" s="909"/>
      <c r="Y283" s="909"/>
      <c r="Z283" s="909"/>
      <c r="AA283" s="909"/>
      <c r="AB283" s="909"/>
      <c r="AC283" s="909"/>
      <c r="AD283" s="909"/>
      <c r="AE283" s="909"/>
      <c r="AF283" s="909"/>
      <c r="AG283" s="909"/>
    </row>
    <row r="284" spans="1:33" s="830" customFormat="1" ht="16.5" customHeight="1" outlineLevel="2">
      <c r="A284" s="909"/>
      <c r="B284" s="293"/>
      <c r="C284" s="832" t="s">
        <v>649</v>
      </c>
      <c r="D284" s="305"/>
      <c r="E284" s="34" t="s">
        <v>122</v>
      </c>
      <c r="F284" s="70">
        <f>Capex!H184</f>
        <v>0</v>
      </c>
      <c r="G284" s="19">
        <v>1E-3</v>
      </c>
      <c r="H284" s="643">
        <f t="shared" si="20"/>
        <v>0</v>
      </c>
      <c r="I284" s="909"/>
      <c r="J284" s="909"/>
      <c r="K284" s="909"/>
      <c r="L284" s="293"/>
      <c r="M284" s="293"/>
      <c r="N284" s="293"/>
      <c r="O284" s="293"/>
      <c r="P284" s="293"/>
      <c r="Q284" s="293"/>
      <c r="R284" s="293"/>
      <c r="S284" s="293"/>
      <c r="T284" s="293"/>
      <c r="U284" s="909"/>
      <c r="V284" s="909"/>
      <c r="W284" s="909"/>
      <c r="X284" s="909"/>
      <c r="Y284" s="909"/>
      <c r="Z284" s="909"/>
      <c r="AA284" s="909"/>
      <c r="AB284" s="909"/>
      <c r="AC284" s="909"/>
      <c r="AD284" s="909"/>
      <c r="AE284" s="909"/>
      <c r="AF284" s="909"/>
      <c r="AG284" s="909"/>
    </row>
    <row r="285" spans="1:33" s="911" customFormat="1" ht="16.5" customHeight="1" outlineLevel="2">
      <c r="A285" s="909"/>
      <c r="B285" s="909"/>
      <c r="C285" s="832" t="s">
        <v>901</v>
      </c>
      <c r="D285" s="305"/>
      <c r="E285" s="34" t="s">
        <v>122</v>
      </c>
      <c r="F285" s="70">
        <f>'Costs 02'!F351</f>
        <v>0</v>
      </c>
      <c r="G285" s="19">
        <v>1E-3</v>
      </c>
      <c r="H285" s="643">
        <f t="shared" ref="H285" si="21">IF(ABS(F285)&gt;G285,1,0)</f>
        <v>0</v>
      </c>
      <c r="I285" s="909"/>
      <c r="J285" s="909"/>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row>
    <row r="286" spans="1:33" s="911" customFormat="1" ht="16.5" customHeight="1" outlineLevel="2">
      <c r="A286" s="909"/>
      <c r="B286" s="909"/>
      <c r="C286" s="832" t="s">
        <v>902</v>
      </c>
      <c r="D286" s="305"/>
      <c r="E286" s="34" t="s">
        <v>122</v>
      </c>
      <c r="F286" s="70">
        <f>FK_33</f>
        <v>0</v>
      </c>
      <c r="G286" s="19">
        <v>1E-3</v>
      </c>
      <c r="H286" s="643">
        <f t="shared" ref="H286" si="22">IF(ABS(F286)&gt;G286,1,0)</f>
        <v>0</v>
      </c>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row>
    <row r="287" spans="1:33" s="830" customFormat="1" ht="16.5" customHeight="1" outlineLevel="2">
      <c r="A287" s="909"/>
      <c r="B287" s="293"/>
      <c r="C287" s="832" t="s">
        <v>903</v>
      </c>
      <c r="D287" s="305"/>
      <c r="E287" s="34" t="s">
        <v>122</v>
      </c>
      <c r="F287" s="70">
        <f>FK_31</f>
        <v>0</v>
      </c>
      <c r="G287" s="19">
        <v>1E-3</v>
      </c>
      <c r="H287" s="643">
        <f t="shared" ref="H287" si="23">IF(ABS(F287)&gt;G287,1,0)</f>
        <v>0</v>
      </c>
      <c r="I287" s="909"/>
      <c r="J287" s="909"/>
      <c r="K287" s="909"/>
      <c r="L287" s="293"/>
      <c r="M287" s="293"/>
      <c r="N287" s="293"/>
      <c r="O287" s="293"/>
      <c r="P287" s="293"/>
      <c r="Q287" s="293"/>
      <c r="R287" s="293"/>
      <c r="S287" s="293"/>
      <c r="T287" s="293"/>
      <c r="U287" s="909"/>
      <c r="V287" s="909"/>
      <c r="W287" s="909"/>
      <c r="X287" s="909"/>
      <c r="Y287" s="909"/>
      <c r="Z287" s="909"/>
      <c r="AA287" s="909"/>
      <c r="AB287" s="909"/>
      <c r="AC287" s="909"/>
      <c r="AD287" s="909"/>
      <c r="AE287" s="909"/>
      <c r="AF287" s="909"/>
      <c r="AG287" s="909"/>
    </row>
    <row r="288" spans="1:33" s="830" customFormat="1" ht="16.5" customHeight="1" outlineLevel="2">
      <c r="A288" s="909"/>
      <c r="B288" s="293"/>
      <c r="C288" s="832" t="s">
        <v>44</v>
      </c>
      <c r="D288" s="305"/>
      <c r="E288" s="911"/>
      <c r="F288" s="70"/>
      <c r="G288" s="19">
        <v>1E-3</v>
      </c>
      <c r="H288" s="643">
        <f t="shared" ref="H288:H291" si="24">IF(ABS(F288)&gt;G288,1,0)</f>
        <v>0</v>
      </c>
      <c r="I288" s="909"/>
      <c r="J288" s="909"/>
      <c r="K288" s="909"/>
      <c r="L288" s="293"/>
      <c r="M288" s="293"/>
      <c r="N288" s="293"/>
      <c r="O288" s="293"/>
      <c r="P288" s="293"/>
      <c r="Q288" s="293"/>
      <c r="R288" s="293"/>
      <c r="S288" s="293"/>
      <c r="T288" s="293"/>
      <c r="U288" s="909"/>
      <c r="V288" s="909"/>
      <c r="W288" s="909"/>
      <c r="X288" s="909"/>
      <c r="Y288" s="909"/>
      <c r="Z288" s="909"/>
      <c r="AA288" s="909"/>
      <c r="AB288" s="909"/>
      <c r="AC288" s="909"/>
      <c r="AD288" s="909"/>
      <c r="AE288" s="909"/>
      <c r="AF288" s="909"/>
      <c r="AG288" s="909"/>
    </row>
    <row r="289" spans="1:33" s="830" customFormat="1" ht="16.5" customHeight="1" outlineLevel="2">
      <c r="A289" s="293"/>
      <c r="B289" s="293"/>
      <c r="C289" s="832" t="s">
        <v>44</v>
      </c>
      <c r="D289" s="305"/>
      <c r="E289" s="911"/>
      <c r="F289" s="70"/>
      <c r="G289" s="19">
        <v>1E-3</v>
      </c>
      <c r="H289" s="643">
        <f t="shared" si="24"/>
        <v>0</v>
      </c>
      <c r="I289" s="909"/>
      <c r="J289" s="909"/>
      <c r="K289" s="909"/>
      <c r="L289" s="293"/>
      <c r="M289" s="293"/>
      <c r="N289" s="293"/>
      <c r="O289" s="293"/>
      <c r="P289" s="293"/>
      <c r="Q289" s="293"/>
      <c r="R289" s="293"/>
      <c r="S289" s="293"/>
      <c r="T289" s="293"/>
      <c r="U289" s="909"/>
      <c r="V289" s="909"/>
      <c r="W289" s="909"/>
      <c r="X289" s="909"/>
      <c r="Y289" s="909"/>
      <c r="Z289" s="909"/>
      <c r="AA289" s="909"/>
      <c r="AB289" s="909"/>
      <c r="AC289" s="909"/>
      <c r="AD289" s="909"/>
      <c r="AE289" s="909"/>
      <c r="AF289" s="909"/>
      <c r="AG289" s="909"/>
    </row>
    <row r="290" spans="1:33" s="830" customFormat="1" ht="16.5" customHeight="1" outlineLevel="2">
      <c r="A290" s="909"/>
      <c r="B290" s="293"/>
      <c r="C290" s="832" t="s">
        <v>44</v>
      </c>
      <c r="D290" s="305"/>
      <c r="E290" s="911"/>
      <c r="F290" s="70"/>
      <c r="G290" s="19">
        <v>1E-3</v>
      </c>
      <c r="H290" s="643">
        <f t="shared" si="24"/>
        <v>0</v>
      </c>
      <c r="I290" s="293"/>
      <c r="J290" s="293"/>
      <c r="K290" s="293"/>
      <c r="L290" s="293"/>
      <c r="M290" s="293"/>
      <c r="N290" s="293"/>
      <c r="O290" s="293"/>
      <c r="P290" s="293"/>
      <c r="Q290" s="293"/>
      <c r="R290" s="293"/>
      <c r="S290" s="293"/>
      <c r="T290" s="293"/>
      <c r="U290" s="909"/>
      <c r="V290" s="909"/>
      <c r="W290" s="909"/>
      <c r="X290" s="909"/>
      <c r="Y290" s="909"/>
      <c r="Z290" s="909"/>
      <c r="AA290" s="909"/>
      <c r="AB290" s="909"/>
      <c r="AC290" s="909"/>
      <c r="AD290" s="909"/>
      <c r="AE290" s="909"/>
      <c r="AF290" s="909"/>
      <c r="AG290" s="909"/>
    </row>
    <row r="291" spans="1:33" s="88" customFormat="1" ht="16.5" customHeight="1" outlineLevel="2">
      <c r="A291" s="909"/>
      <c r="B291" s="184"/>
      <c r="C291" s="832" t="s">
        <v>44</v>
      </c>
      <c r="D291" s="305"/>
      <c r="E291" s="911"/>
      <c r="F291" s="70"/>
      <c r="G291" s="19">
        <v>1E-3</v>
      </c>
      <c r="H291" s="643">
        <f t="shared" si="24"/>
        <v>0</v>
      </c>
      <c r="I291" s="293"/>
      <c r="J291" s="184"/>
      <c r="K291" s="184"/>
      <c r="L291" s="184"/>
      <c r="M291" s="184"/>
      <c r="N291" s="184"/>
      <c r="O291" s="184"/>
      <c r="P291" s="184"/>
      <c r="Q291" s="184"/>
      <c r="R291" s="184"/>
      <c r="S291" s="184"/>
      <c r="T291" s="184"/>
      <c r="U291" s="909"/>
      <c r="V291" s="909"/>
      <c r="W291" s="909"/>
      <c r="X291" s="909"/>
      <c r="Y291" s="909"/>
      <c r="Z291" s="909"/>
      <c r="AA291" s="909"/>
      <c r="AB291" s="909"/>
      <c r="AC291" s="909"/>
      <c r="AD291" s="909"/>
      <c r="AE291" s="909"/>
      <c r="AF291" s="909"/>
      <c r="AG291" s="909"/>
    </row>
    <row r="292" spans="1:33" s="88" customFormat="1" outlineLevel="2">
      <c r="A292" s="909"/>
      <c r="B292" s="184"/>
      <c r="C292" s="184"/>
      <c r="D292" s="305"/>
      <c r="E292" s="184"/>
      <c r="F292" s="184"/>
      <c r="G292" s="184"/>
      <c r="H292" s="184"/>
      <c r="I292" s="184"/>
      <c r="J292" s="184"/>
      <c r="K292" s="184"/>
      <c r="L292" s="184"/>
      <c r="M292" s="184"/>
      <c r="N292" s="184"/>
      <c r="O292" s="184"/>
      <c r="P292" s="184"/>
      <c r="Q292" s="184"/>
      <c r="R292" s="184"/>
      <c r="S292" s="184"/>
      <c r="T292" s="184"/>
      <c r="U292" s="909"/>
      <c r="V292" s="909"/>
      <c r="W292" s="909"/>
      <c r="X292" s="909"/>
      <c r="Y292" s="909"/>
      <c r="Z292" s="909"/>
      <c r="AA292" s="909"/>
      <c r="AB292" s="909"/>
      <c r="AC292" s="909"/>
      <c r="AD292" s="909"/>
      <c r="AE292" s="909"/>
      <c r="AF292" s="909"/>
      <c r="AG292" s="909"/>
    </row>
    <row r="293" spans="1:33" s="88" customFormat="1" ht="15" customHeight="1" outlineLevel="2">
      <c r="A293" s="909"/>
      <c r="B293" s="909"/>
      <c r="C293" s="290"/>
      <c r="D293" s="305"/>
      <c r="E293" s="567"/>
      <c r="F293" s="567"/>
      <c r="G293" s="635" t="s">
        <v>832</v>
      </c>
      <c r="H293" s="643">
        <f ca="1">IFERROR(SUM(H259:H292),1)</f>
        <v>0</v>
      </c>
      <c r="I293" s="567"/>
      <c r="J293" s="567"/>
      <c r="K293" s="184"/>
      <c r="L293" s="184"/>
      <c r="M293" s="184"/>
      <c r="N293" s="184"/>
      <c r="O293" s="184"/>
      <c r="P293" s="184"/>
      <c r="Q293" s="184"/>
      <c r="R293" s="184"/>
      <c r="S293" s="184"/>
      <c r="T293" s="184"/>
      <c r="U293" s="909"/>
      <c r="V293" s="909"/>
      <c r="W293" s="909"/>
      <c r="X293" s="909"/>
      <c r="Y293" s="909"/>
      <c r="Z293" s="909"/>
      <c r="AA293" s="909"/>
      <c r="AB293" s="909"/>
      <c r="AC293" s="909"/>
      <c r="AD293" s="909"/>
      <c r="AE293" s="909"/>
      <c r="AF293" s="909"/>
      <c r="AG293" s="909"/>
    </row>
    <row r="294" spans="1:33">
      <c r="A294" s="909"/>
      <c r="B294" s="909"/>
      <c r="C294" s="184"/>
      <c r="D294" s="184"/>
      <c r="E294" s="184"/>
      <c r="F294" s="184"/>
      <c r="G294" s="184"/>
      <c r="H294" s="184"/>
      <c r="I294" s="184"/>
      <c r="J294" s="184"/>
      <c r="K294" s="184"/>
      <c r="L294" s="184"/>
      <c r="M294" s="184"/>
      <c r="N294" s="184"/>
      <c r="O294" s="184"/>
      <c r="P294" s="184"/>
      <c r="Q294" s="184"/>
      <c r="R294" s="184"/>
      <c r="S294" s="184"/>
      <c r="T294" s="184"/>
      <c r="U294" s="909"/>
      <c r="V294" s="909"/>
      <c r="W294" s="909"/>
      <c r="X294" s="909"/>
      <c r="Y294" s="909"/>
      <c r="Z294" s="909"/>
      <c r="AA294" s="909"/>
      <c r="AB294" s="909"/>
      <c r="AC294" s="909"/>
      <c r="AD294" s="909"/>
      <c r="AE294" s="909"/>
      <c r="AF294" s="909"/>
      <c r="AG294" s="909"/>
    </row>
    <row r="295" spans="1:33" s="649" customFormat="1" ht="24.75" customHeight="1" thickBot="1">
      <c r="A295" s="288"/>
      <c r="B295" s="288"/>
      <c r="C295" s="288" t="s">
        <v>823</v>
      </c>
      <c r="D295" s="289"/>
      <c r="E295" s="288"/>
      <c r="F295" s="288"/>
      <c r="G295" s="288"/>
      <c r="H295" s="288"/>
      <c r="I295" s="288"/>
      <c r="J295" s="288"/>
      <c r="K295" s="288"/>
      <c r="L295" s="288"/>
      <c r="M295" s="288"/>
      <c r="N295" s="288"/>
      <c r="O295" s="288"/>
      <c r="P295" s="288"/>
      <c r="Q295" s="288"/>
      <c r="R295" s="288"/>
      <c r="S295" s="288"/>
      <c r="T295" s="288"/>
      <c r="U295" s="288"/>
      <c r="V295" s="288"/>
      <c r="W295" s="288"/>
      <c r="X295" s="288"/>
      <c r="Y295" s="288"/>
      <c r="Z295" s="288"/>
      <c r="AA295" s="288"/>
      <c r="AB295" s="288"/>
      <c r="AC295" s="288"/>
      <c r="AD295" s="288"/>
      <c r="AE295" s="288"/>
      <c r="AF295" s="288"/>
      <c r="AG295" s="288"/>
    </row>
    <row r="296" spans="1:33" s="649" customFormat="1" ht="7.5" customHeight="1" outlineLevel="1">
      <c r="A296" s="909"/>
      <c r="B296" s="909"/>
      <c r="C296" s="293"/>
      <c r="D296" s="293"/>
      <c r="E296" s="293"/>
      <c r="F296" s="293"/>
      <c r="G296" s="293"/>
      <c r="H296" s="293"/>
      <c r="I296" s="293"/>
      <c r="J296" s="293"/>
      <c r="K296" s="293"/>
      <c r="L296" s="293"/>
      <c r="M296" s="293"/>
      <c r="N296" s="293"/>
      <c r="O296" s="293"/>
      <c r="P296" s="293"/>
      <c r="Q296" s="293"/>
      <c r="R296" s="293"/>
      <c r="S296" s="293"/>
      <c r="T296" s="293"/>
      <c r="U296" s="293"/>
      <c r="V296" s="293"/>
      <c r="W296" s="293"/>
      <c r="X296" s="293"/>
      <c r="Y296" s="293"/>
      <c r="Z296" s="293"/>
      <c r="AA296" s="293"/>
      <c r="AB296" s="293"/>
      <c r="AC296" s="293"/>
      <c r="AD296" s="293"/>
      <c r="AE296" s="293"/>
      <c r="AF296" s="293"/>
      <c r="AG296" s="293"/>
    </row>
    <row r="297" spans="1:33" s="649" customFormat="1" ht="17.25" customHeight="1" outlineLevel="1">
      <c r="A297" s="909"/>
      <c r="B297" s="909"/>
      <c r="C297" s="293" t="str">
        <f>Timing!C4</f>
        <v>Period Start</v>
      </c>
      <c r="D297" s="293"/>
      <c r="E297" s="293"/>
      <c r="F297" s="729" t="s">
        <v>421</v>
      </c>
      <c r="G297" s="729"/>
      <c r="H297" s="350"/>
      <c r="I297" s="415"/>
      <c r="J297" s="655">
        <f>Timing!J4</f>
        <v>43525</v>
      </c>
      <c r="K297" s="655">
        <f>Timing!K4</f>
        <v>43556</v>
      </c>
      <c r="L297" s="655">
        <f>Timing!L4</f>
        <v>43586</v>
      </c>
      <c r="M297" s="655">
        <f>Timing!M4</f>
        <v>43617</v>
      </c>
      <c r="N297" s="655">
        <f>Timing!N4</f>
        <v>43647</v>
      </c>
      <c r="O297" s="655">
        <f>Timing!O4</f>
        <v>43678</v>
      </c>
      <c r="P297" s="655">
        <f>Timing!P4</f>
        <v>43709</v>
      </c>
      <c r="Q297" s="655">
        <f>Timing!Q4</f>
        <v>43739</v>
      </c>
      <c r="R297" s="655">
        <f>Timing!R4</f>
        <v>43770</v>
      </c>
      <c r="S297" s="655">
        <f>Timing!S4</f>
        <v>43800</v>
      </c>
      <c r="T297" s="655">
        <f>Timing!T4</f>
        <v>43831</v>
      </c>
      <c r="U297" s="655">
        <f>Timing!U4</f>
        <v>43862</v>
      </c>
      <c r="V297" s="655">
        <f>Timing!V4</f>
        <v>43891</v>
      </c>
      <c r="W297" s="655">
        <f>Timing!W4</f>
        <v>43922</v>
      </c>
      <c r="X297" s="655">
        <f>Timing!X4</f>
        <v>43952</v>
      </c>
      <c r="Y297" s="655">
        <f>Timing!Y4</f>
        <v>43983</v>
      </c>
      <c r="Z297" s="655">
        <f>Timing!Z4</f>
        <v>44013</v>
      </c>
      <c r="AA297" s="655">
        <f>Timing!AA4</f>
        <v>44044</v>
      </c>
      <c r="AB297" s="655">
        <f>Timing!AB4</f>
        <v>44075</v>
      </c>
      <c r="AC297" s="655">
        <f>Timing!AC4</f>
        <v>44105</v>
      </c>
      <c r="AD297" s="655">
        <f>Timing!AD4</f>
        <v>44136</v>
      </c>
      <c r="AE297" s="655">
        <f>Timing!AE4</f>
        <v>44166</v>
      </c>
      <c r="AF297" s="655">
        <f>Timing!AF4</f>
        <v>44197</v>
      </c>
      <c r="AG297" s="655">
        <f>Timing!AG4</f>
        <v>44228</v>
      </c>
    </row>
    <row r="298" spans="1:33" s="649" customFormat="1" ht="17.25" customHeight="1" outlineLevel="1">
      <c r="A298" s="909"/>
      <c r="B298" s="909"/>
      <c r="C298" s="293" t="str">
        <f>Timing!C5</f>
        <v>Period End</v>
      </c>
      <c r="D298" s="293"/>
      <c r="E298" s="293"/>
      <c r="F298" s="65" t="str">
        <f>Timing!D5</f>
        <v>Start</v>
      </c>
      <c r="G298" s="11" t="str">
        <f>Timing!E5</f>
        <v>End</v>
      </c>
      <c r="H298" s="350"/>
      <c r="I298" s="654">
        <f>Timing!I5</f>
        <v>43524</v>
      </c>
      <c r="J298" s="656">
        <f>Timing!J5</f>
        <v>43555</v>
      </c>
      <c r="K298" s="656">
        <f>Timing!K5</f>
        <v>43585</v>
      </c>
      <c r="L298" s="656">
        <f>Timing!L5</f>
        <v>43616</v>
      </c>
      <c r="M298" s="656">
        <f>Timing!M5</f>
        <v>43646</v>
      </c>
      <c r="N298" s="656">
        <f>Timing!N5</f>
        <v>43677</v>
      </c>
      <c r="O298" s="656">
        <f>Timing!O5</f>
        <v>43708</v>
      </c>
      <c r="P298" s="656">
        <f>Timing!P5</f>
        <v>43738</v>
      </c>
      <c r="Q298" s="656">
        <f>Timing!Q5</f>
        <v>43769</v>
      </c>
      <c r="R298" s="656">
        <f>Timing!R5</f>
        <v>43799</v>
      </c>
      <c r="S298" s="656">
        <f>Timing!S5</f>
        <v>43830</v>
      </c>
      <c r="T298" s="656">
        <f>Timing!T5</f>
        <v>43861</v>
      </c>
      <c r="U298" s="656">
        <f>Timing!U5</f>
        <v>43890</v>
      </c>
      <c r="V298" s="656">
        <f>Timing!V5</f>
        <v>43921</v>
      </c>
      <c r="W298" s="656">
        <f>Timing!W5</f>
        <v>43951</v>
      </c>
      <c r="X298" s="656">
        <f>Timing!X5</f>
        <v>43982</v>
      </c>
      <c r="Y298" s="656">
        <f>Timing!Y5</f>
        <v>44012</v>
      </c>
      <c r="Z298" s="656">
        <f>Timing!Z5</f>
        <v>44043</v>
      </c>
      <c r="AA298" s="656">
        <f>Timing!AA5</f>
        <v>44074</v>
      </c>
      <c r="AB298" s="656">
        <f>Timing!AB5</f>
        <v>44104</v>
      </c>
      <c r="AC298" s="656">
        <f>Timing!AC5</f>
        <v>44135</v>
      </c>
      <c r="AD298" s="656">
        <f>Timing!AD5</f>
        <v>44165</v>
      </c>
      <c r="AE298" s="656">
        <f>Timing!AE5</f>
        <v>44196</v>
      </c>
      <c r="AF298" s="656">
        <f>Timing!AF5</f>
        <v>44227</v>
      </c>
      <c r="AG298" s="656">
        <f>Timing!AG5</f>
        <v>44255</v>
      </c>
    </row>
    <row r="299" spans="1:33" s="649" customFormat="1" ht="17.25" customHeight="1" outlineLevel="1">
      <c r="A299" s="909"/>
      <c r="B299" s="909"/>
      <c r="C299" s="293" t="str">
        <f>Timing!C6</f>
        <v>Model Life</v>
      </c>
      <c r="D299" s="293"/>
      <c r="E299" s="293"/>
      <c r="F299" s="654">
        <f>Timing!D6</f>
        <v>43525</v>
      </c>
      <c r="G299" s="654">
        <f>Timing!E6</f>
        <v>44165</v>
      </c>
      <c r="H299" s="658"/>
      <c r="I299" s="686">
        <f>Timing!I6</f>
        <v>21</v>
      </c>
      <c r="J299" s="660">
        <f>Timing!J6</f>
        <v>1</v>
      </c>
      <c r="K299" s="660">
        <f>Timing!K6</f>
        <v>1</v>
      </c>
      <c r="L299" s="660">
        <f>Timing!L6</f>
        <v>1</v>
      </c>
      <c r="M299" s="660">
        <f>Timing!M6</f>
        <v>1</v>
      </c>
      <c r="N299" s="660">
        <f>Timing!N6</f>
        <v>1</v>
      </c>
      <c r="O299" s="660">
        <f>Timing!O6</f>
        <v>1</v>
      </c>
      <c r="P299" s="660">
        <f>Timing!P6</f>
        <v>1</v>
      </c>
      <c r="Q299" s="660">
        <f>Timing!Q6</f>
        <v>1</v>
      </c>
      <c r="R299" s="660">
        <f>Timing!R6</f>
        <v>1</v>
      </c>
      <c r="S299" s="660">
        <f>Timing!S6</f>
        <v>1</v>
      </c>
      <c r="T299" s="660">
        <f>Timing!T6</f>
        <v>1</v>
      </c>
      <c r="U299" s="660">
        <f>Timing!U6</f>
        <v>1</v>
      </c>
      <c r="V299" s="660">
        <f>Timing!V6</f>
        <v>1</v>
      </c>
      <c r="W299" s="660">
        <f>Timing!W6</f>
        <v>1</v>
      </c>
      <c r="X299" s="660">
        <f>Timing!X6</f>
        <v>1</v>
      </c>
      <c r="Y299" s="660">
        <f>Timing!Y6</f>
        <v>1</v>
      </c>
      <c r="Z299" s="660">
        <f>Timing!Z6</f>
        <v>1</v>
      </c>
      <c r="AA299" s="660">
        <f>Timing!AA6</f>
        <v>1</v>
      </c>
      <c r="AB299" s="660">
        <f>Timing!AB6</f>
        <v>1</v>
      </c>
      <c r="AC299" s="660">
        <f>Timing!AC6</f>
        <v>1</v>
      </c>
      <c r="AD299" s="660">
        <f>Timing!AD6</f>
        <v>1</v>
      </c>
      <c r="AE299" s="660">
        <f>Timing!AE6</f>
        <v>0</v>
      </c>
      <c r="AF299" s="660">
        <f>Timing!AF6</f>
        <v>0</v>
      </c>
      <c r="AG299" s="660">
        <f>Timing!AG6</f>
        <v>0</v>
      </c>
    </row>
    <row r="300" spans="1:33" s="649" customFormat="1" ht="17.25" customHeight="1" outlineLevel="1">
      <c r="A300" s="909"/>
      <c r="B300" s="909"/>
      <c r="C300" s="293"/>
      <c r="D300" s="293"/>
      <c r="E300" s="293"/>
      <c r="F300" s="293"/>
      <c r="G300" s="293"/>
      <c r="H300" s="293"/>
      <c r="I300" s="293"/>
      <c r="J300" s="293"/>
      <c r="K300" s="293"/>
      <c r="L300" s="293"/>
      <c r="M300" s="293"/>
      <c r="N300" s="293"/>
      <c r="O300" s="293"/>
      <c r="P300" s="293"/>
      <c r="Q300" s="293"/>
      <c r="R300" s="293"/>
      <c r="S300" s="293"/>
      <c r="T300" s="293"/>
      <c r="U300" s="293"/>
      <c r="V300" s="293"/>
      <c r="W300" s="293"/>
      <c r="X300" s="293"/>
      <c r="Y300" s="293"/>
      <c r="Z300" s="293"/>
      <c r="AA300" s="293"/>
      <c r="AB300" s="293"/>
      <c r="AC300" s="293"/>
      <c r="AD300" s="293"/>
      <c r="AE300" s="293"/>
      <c r="AF300" s="293"/>
      <c r="AG300" s="293"/>
    </row>
    <row r="301" spans="1:33" s="649" customFormat="1" ht="17.25" customHeight="1" outlineLevel="1">
      <c r="A301" s="909"/>
      <c r="B301" s="909"/>
      <c r="C301" s="298" t="str">
        <f>CHOOSE(language,"P&amp;L Items","Income Statement Items")</f>
        <v>Income Statement Items</v>
      </c>
      <c r="D301" s="293"/>
      <c r="E301" s="293"/>
      <c r="F301" s="293"/>
      <c r="G301" s="293"/>
      <c r="H301" s="293"/>
      <c r="I301" s="293"/>
      <c r="J301" s="293"/>
      <c r="K301" s="293"/>
      <c r="L301" s="293"/>
      <c r="M301" s="293"/>
      <c r="N301" s="293"/>
      <c r="O301" s="293"/>
      <c r="P301" s="293"/>
      <c r="Q301" s="293"/>
      <c r="R301" s="293"/>
      <c r="S301" s="293"/>
      <c r="T301" s="293"/>
      <c r="U301" s="293"/>
      <c r="V301" s="293"/>
      <c r="W301" s="293"/>
      <c r="X301" s="293"/>
      <c r="Y301" s="293"/>
      <c r="Z301" s="293"/>
      <c r="AA301" s="293"/>
      <c r="AB301" s="293"/>
      <c r="AC301" s="293"/>
      <c r="AD301" s="293"/>
      <c r="AE301" s="293"/>
      <c r="AF301" s="293"/>
      <c r="AG301" s="293"/>
    </row>
    <row r="302" spans="1:33" s="649" customFormat="1" ht="17.25" customHeight="1" outlineLevel="1">
      <c r="A302" s="909"/>
      <c r="B302" s="909"/>
      <c r="C302" s="293" t="s">
        <v>362</v>
      </c>
      <c r="D302" s="293"/>
      <c r="E302" s="293"/>
      <c r="F302" s="293"/>
      <c r="G302" s="293"/>
      <c r="H302" s="293"/>
      <c r="I302" s="71">
        <f>SUMPRODUCT((J$299:AG$299),(J302:AG302))</f>
        <v>11750</v>
      </c>
      <c r="J302" s="269"/>
      <c r="K302" s="269"/>
      <c r="L302" s="269"/>
      <c r="M302" s="269">
        <v>4500</v>
      </c>
      <c r="N302" s="269"/>
      <c r="O302" s="269"/>
      <c r="P302" s="269"/>
      <c r="Q302" s="269"/>
      <c r="R302" s="269"/>
      <c r="S302" s="269"/>
      <c r="T302" s="269"/>
      <c r="U302" s="269"/>
      <c r="V302" s="269">
        <v>7250</v>
      </c>
      <c r="W302" s="269"/>
      <c r="X302" s="269"/>
      <c r="Y302" s="269"/>
      <c r="Z302" s="269"/>
      <c r="AA302" s="269"/>
      <c r="AB302" s="269"/>
      <c r="AC302" s="269"/>
      <c r="AD302" s="269"/>
      <c r="AE302" s="269"/>
      <c r="AF302" s="269"/>
      <c r="AG302" s="269">
        <v>11250</v>
      </c>
    </row>
    <row r="303" spans="1:33" s="649" customFormat="1" ht="17.25" customHeight="1" outlineLevel="1">
      <c r="A303" s="909"/>
      <c r="B303" s="909"/>
      <c r="C303" s="293" t="s">
        <v>364</v>
      </c>
      <c r="D303" s="293"/>
      <c r="E303" s="293"/>
      <c r="F303" s="293"/>
      <c r="G303" s="293"/>
      <c r="H303" s="293"/>
      <c r="I303" s="71">
        <f>SUMPRODUCT((J$299:AG$299),(J303:AG303))</f>
        <v>1750</v>
      </c>
      <c r="J303" s="269"/>
      <c r="K303" s="269"/>
      <c r="L303" s="269"/>
      <c r="M303" s="269"/>
      <c r="N303" s="269"/>
      <c r="O303" s="269"/>
      <c r="P303" s="269"/>
      <c r="Q303" s="269"/>
      <c r="R303" s="269"/>
      <c r="S303" s="269"/>
      <c r="T303" s="269"/>
      <c r="U303" s="269"/>
      <c r="V303" s="269"/>
      <c r="W303" s="269"/>
      <c r="X303" s="269"/>
      <c r="Y303" s="269"/>
      <c r="Z303" s="269"/>
      <c r="AA303" s="269">
        <v>1750</v>
      </c>
      <c r="AB303" s="269"/>
      <c r="AC303" s="269"/>
      <c r="AD303" s="269"/>
      <c r="AE303" s="269"/>
      <c r="AF303" s="269"/>
      <c r="AG303" s="269"/>
    </row>
    <row r="304" spans="1:33" s="649" customFormat="1" ht="17.25" customHeight="1" outlineLevel="1">
      <c r="A304" s="909"/>
      <c r="B304" s="909"/>
      <c r="C304" s="293" t="s">
        <v>365</v>
      </c>
      <c r="D304" s="293"/>
      <c r="E304" s="293"/>
      <c r="F304" s="293"/>
      <c r="G304" s="293"/>
      <c r="H304" s="293"/>
      <c r="I304" s="71">
        <f>SUMPRODUCT((J$299:AG$299),(J304:AG304))</f>
        <v>6500</v>
      </c>
      <c r="J304" s="269"/>
      <c r="K304" s="269"/>
      <c r="L304" s="269"/>
      <c r="M304" s="269"/>
      <c r="N304" s="269"/>
      <c r="O304" s="269"/>
      <c r="P304" s="269"/>
      <c r="Q304" s="269">
        <v>6500</v>
      </c>
      <c r="R304" s="269"/>
      <c r="S304" s="269"/>
      <c r="T304" s="269"/>
      <c r="U304" s="269"/>
      <c r="V304" s="269"/>
      <c r="W304" s="269"/>
      <c r="X304" s="269"/>
      <c r="Y304" s="269"/>
      <c r="Z304" s="269"/>
      <c r="AA304" s="269"/>
      <c r="AB304" s="269"/>
      <c r="AC304" s="269"/>
      <c r="AD304" s="269"/>
      <c r="AE304" s="269"/>
      <c r="AF304" s="269"/>
      <c r="AG304" s="269"/>
    </row>
    <row r="305" spans="1:33" s="649" customFormat="1" ht="17.25" customHeight="1" outlineLevel="1">
      <c r="A305" s="909"/>
      <c r="B305" s="909"/>
      <c r="C305" s="293"/>
      <c r="D305" s="293"/>
      <c r="E305" s="293"/>
      <c r="F305" s="293"/>
      <c r="G305" s="293"/>
      <c r="H305" s="293"/>
      <c r="I305" s="293"/>
      <c r="J305" s="293"/>
      <c r="K305" s="293"/>
      <c r="L305" s="293"/>
      <c r="M305" s="293"/>
      <c r="N305" s="293"/>
      <c r="O305" s="293"/>
      <c r="P305" s="293"/>
      <c r="Q305" s="293"/>
      <c r="R305" s="293"/>
      <c r="S305" s="293"/>
      <c r="T305" s="293"/>
      <c r="U305" s="293"/>
      <c r="V305" s="293"/>
      <c r="W305" s="293"/>
      <c r="X305" s="293"/>
      <c r="Y305" s="293"/>
      <c r="Z305" s="293"/>
      <c r="AA305" s="293"/>
      <c r="AB305" s="293"/>
      <c r="AC305" s="293"/>
      <c r="AD305" s="293"/>
      <c r="AE305" s="293"/>
      <c r="AF305" s="293"/>
      <c r="AG305" s="293"/>
    </row>
    <row r="306" spans="1:33" s="293" customFormat="1" ht="18" customHeight="1" outlineLevel="1">
      <c r="A306" s="909"/>
      <c r="B306" s="909"/>
      <c r="C306" s="298" t="s">
        <v>422</v>
      </c>
    </row>
    <row r="307" spans="1:33" s="293" customFormat="1" ht="18" customHeight="1" outlineLevel="1">
      <c r="A307" s="909"/>
      <c r="B307" s="909"/>
      <c r="C307" s="730" t="s">
        <v>423</v>
      </c>
      <c r="I307" s="567"/>
    </row>
    <row r="308" spans="1:33" s="293" customFormat="1" ht="18" customHeight="1" outlineLevel="1">
      <c r="A308" s="909"/>
      <c r="B308" s="909"/>
      <c r="C308" s="649" t="s">
        <v>140</v>
      </c>
      <c r="D308" s="8" t="str">
        <f>Currency_Label</f>
        <v>USD</v>
      </c>
      <c r="I308" s="567"/>
      <c r="J308" s="131">
        <f>I311*J$299</f>
        <v>10000</v>
      </c>
      <c r="K308" s="131">
        <f t="shared" ref="K308:AG308" si="25">J311*K$299</f>
        <v>10000</v>
      </c>
      <c r="L308" s="131">
        <f t="shared" si="25"/>
        <v>11000</v>
      </c>
      <c r="M308" s="131">
        <f t="shared" si="25"/>
        <v>11000</v>
      </c>
      <c r="N308" s="131">
        <f t="shared" si="25"/>
        <v>8500</v>
      </c>
      <c r="O308" s="131">
        <f t="shared" si="25"/>
        <v>8500</v>
      </c>
      <c r="P308" s="131">
        <f t="shared" si="25"/>
        <v>8500</v>
      </c>
      <c r="Q308" s="131">
        <f t="shared" si="25"/>
        <v>8500</v>
      </c>
      <c r="R308" s="131">
        <f t="shared" si="25"/>
        <v>8500</v>
      </c>
      <c r="S308" s="131">
        <f t="shared" si="25"/>
        <v>8500</v>
      </c>
      <c r="T308" s="131">
        <f t="shared" si="25"/>
        <v>8500</v>
      </c>
      <c r="U308" s="131">
        <f t="shared" si="25"/>
        <v>8500</v>
      </c>
      <c r="V308" s="131">
        <f t="shared" si="25"/>
        <v>8500</v>
      </c>
      <c r="W308" s="131">
        <f t="shared" si="25"/>
        <v>8500</v>
      </c>
      <c r="X308" s="131">
        <f t="shared" si="25"/>
        <v>8500</v>
      </c>
      <c r="Y308" s="131">
        <f t="shared" si="25"/>
        <v>8500</v>
      </c>
      <c r="Z308" s="131">
        <f t="shared" si="25"/>
        <v>8500</v>
      </c>
      <c r="AA308" s="131">
        <f t="shared" si="25"/>
        <v>8500</v>
      </c>
      <c r="AB308" s="131">
        <f t="shared" si="25"/>
        <v>8500</v>
      </c>
      <c r="AC308" s="131">
        <f t="shared" si="25"/>
        <v>8500</v>
      </c>
      <c r="AD308" s="131">
        <f t="shared" si="25"/>
        <v>8500</v>
      </c>
      <c r="AE308" s="131">
        <f t="shared" si="25"/>
        <v>0</v>
      </c>
      <c r="AF308" s="131">
        <f t="shared" si="25"/>
        <v>0</v>
      </c>
      <c r="AG308" s="131">
        <f t="shared" si="25"/>
        <v>0</v>
      </c>
    </row>
    <row r="309" spans="1:33" s="293" customFormat="1" ht="18" customHeight="1" outlineLevel="1">
      <c r="A309" s="909"/>
      <c r="B309" s="909"/>
      <c r="C309" s="24" t="s">
        <v>941</v>
      </c>
      <c r="D309" s="8" t="str">
        <f>Currency_Label</f>
        <v>USD</v>
      </c>
      <c r="I309" s="242">
        <f>SUMPRODUCT((IFS!J$6:AG$6),(J309:AG309))</f>
        <v>1000</v>
      </c>
      <c r="J309" s="269"/>
      <c r="K309" s="269">
        <v>1000</v>
      </c>
      <c r="L309" s="269"/>
      <c r="M309" s="269"/>
      <c r="N309" s="269"/>
      <c r="O309" s="269"/>
      <c r="P309" s="269"/>
      <c r="Q309" s="269"/>
      <c r="R309" s="269"/>
      <c r="S309" s="269"/>
      <c r="T309" s="269"/>
      <c r="U309" s="269"/>
      <c r="V309" s="269"/>
      <c r="W309" s="269"/>
      <c r="X309" s="269"/>
      <c r="Y309" s="269"/>
      <c r="Z309" s="269"/>
      <c r="AA309" s="269"/>
      <c r="AB309" s="269"/>
      <c r="AC309" s="269"/>
      <c r="AD309" s="269"/>
      <c r="AE309" s="269"/>
      <c r="AF309" s="269"/>
      <c r="AG309" s="269"/>
    </row>
    <row r="310" spans="1:33" s="293" customFormat="1" ht="18" customHeight="1" outlineLevel="1">
      <c r="A310" s="909"/>
      <c r="B310" s="909"/>
      <c r="C310" s="24" t="s">
        <v>942</v>
      </c>
      <c r="D310" s="8" t="str">
        <f>Currency_Label</f>
        <v>USD</v>
      </c>
      <c r="I310" s="242">
        <f>SUMPRODUCT((IFS!J$6:AG$6),(J310:AG310))</f>
        <v>-2500</v>
      </c>
      <c r="J310" s="269"/>
      <c r="K310" s="269"/>
      <c r="L310" s="269"/>
      <c r="M310" s="269">
        <v>-2500</v>
      </c>
      <c r="N310" s="269"/>
      <c r="O310" s="269"/>
      <c r="P310" s="269"/>
      <c r="Q310" s="269"/>
      <c r="R310" s="269"/>
      <c r="S310" s="269"/>
      <c r="T310" s="269"/>
      <c r="U310" s="269"/>
      <c r="V310" s="269"/>
      <c r="W310" s="269"/>
      <c r="X310" s="269"/>
      <c r="Y310" s="269"/>
      <c r="Z310" s="269"/>
      <c r="AA310" s="269"/>
      <c r="AB310" s="269"/>
      <c r="AC310" s="269"/>
      <c r="AD310" s="269"/>
      <c r="AE310" s="269"/>
      <c r="AF310" s="269"/>
      <c r="AG310" s="269"/>
    </row>
    <row r="311" spans="1:33" s="293" customFormat="1" ht="18" customHeight="1" outlineLevel="1" thickBot="1">
      <c r="A311" s="909"/>
      <c r="B311" s="909"/>
      <c r="C311" s="649" t="s">
        <v>141</v>
      </c>
      <c r="D311" s="8" t="str">
        <f>Currency_Label</f>
        <v>USD</v>
      </c>
      <c r="E311" s="643">
        <f>IF(MIN(J311:AG311)&lt;0,1,0)</f>
        <v>0</v>
      </c>
      <c r="F311" s="293" t="s">
        <v>424</v>
      </c>
      <c r="I311" s="447">
        <f>Inputs!$F$238</f>
        <v>10000</v>
      </c>
      <c r="J311" s="410">
        <f>SUM(J308:J310)*J$299</f>
        <v>10000</v>
      </c>
      <c r="K311" s="410">
        <f t="shared" ref="K311:AG311" si="26">SUM(K308:K310)*K$299</f>
        <v>11000</v>
      </c>
      <c r="L311" s="410">
        <f t="shared" si="26"/>
        <v>11000</v>
      </c>
      <c r="M311" s="410">
        <f t="shared" si="26"/>
        <v>8500</v>
      </c>
      <c r="N311" s="410">
        <f t="shared" si="26"/>
        <v>8500</v>
      </c>
      <c r="O311" s="410">
        <f t="shared" si="26"/>
        <v>8500</v>
      </c>
      <c r="P311" s="410">
        <f t="shared" si="26"/>
        <v>8500</v>
      </c>
      <c r="Q311" s="410">
        <f t="shared" si="26"/>
        <v>8500</v>
      </c>
      <c r="R311" s="410">
        <f t="shared" si="26"/>
        <v>8500</v>
      </c>
      <c r="S311" s="410">
        <f t="shared" si="26"/>
        <v>8500</v>
      </c>
      <c r="T311" s="410">
        <f t="shared" si="26"/>
        <v>8500</v>
      </c>
      <c r="U311" s="410">
        <f t="shared" si="26"/>
        <v>8500</v>
      </c>
      <c r="V311" s="410">
        <f t="shared" si="26"/>
        <v>8500</v>
      </c>
      <c r="W311" s="410">
        <f t="shared" si="26"/>
        <v>8500</v>
      </c>
      <c r="X311" s="410">
        <f t="shared" si="26"/>
        <v>8500</v>
      </c>
      <c r="Y311" s="410">
        <f t="shared" si="26"/>
        <v>8500</v>
      </c>
      <c r="Z311" s="410">
        <f t="shared" si="26"/>
        <v>8500</v>
      </c>
      <c r="AA311" s="410">
        <f t="shared" si="26"/>
        <v>8500</v>
      </c>
      <c r="AB311" s="410">
        <f t="shared" si="26"/>
        <v>8500</v>
      </c>
      <c r="AC311" s="410">
        <f t="shared" si="26"/>
        <v>8500</v>
      </c>
      <c r="AD311" s="410">
        <f t="shared" si="26"/>
        <v>8500</v>
      </c>
      <c r="AE311" s="410">
        <f t="shared" si="26"/>
        <v>0</v>
      </c>
      <c r="AF311" s="410">
        <f t="shared" si="26"/>
        <v>0</v>
      </c>
      <c r="AG311" s="410">
        <f t="shared" si="26"/>
        <v>0</v>
      </c>
    </row>
    <row r="312" spans="1:33" s="293" customFormat="1" ht="18" customHeight="1" outlineLevel="1" thickTop="1">
      <c r="A312" s="909"/>
      <c r="B312" s="909"/>
      <c r="I312" s="567"/>
    </row>
    <row r="313" spans="1:33" s="293" customFormat="1" ht="18" customHeight="1" outlineLevel="1">
      <c r="A313" s="909"/>
      <c r="B313" s="909"/>
      <c r="C313" s="730" t="s">
        <v>428</v>
      </c>
      <c r="I313" s="567"/>
    </row>
    <row r="314" spans="1:33" s="293" customFormat="1" ht="18" customHeight="1" outlineLevel="1">
      <c r="A314" s="909"/>
      <c r="B314" s="909"/>
      <c r="C314" s="649" t="s">
        <v>140</v>
      </c>
      <c r="D314" s="8" t="str">
        <f>Currency_Label</f>
        <v>USD</v>
      </c>
      <c r="I314" s="567"/>
      <c r="J314" s="131">
        <f>I317*J$299</f>
        <v>0</v>
      </c>
      <c r="K314" s="131">
        <f t="shared" ref="K314:AG314" si="27">J317*K$299</f>
        <v>0</v>
      </c>
      <c r="L314" s="131">
        <f t="shared" si="27"/>
        <v>5000</v>
      </c>
      <c r="M314" s="131">
        <f t="shared" si="27"/>
        <v>5000</v>
      </c>
      <c r="N314" s="131">
        <f t="shared" si="27"/>
        <v>5000</v>
      </c>
      <c r="O314" s="131">
        <f t="shared" si="27"/>
        <v>5000</v>
      </c>
      <c r="P314" s="131">
        <f t="shared" si="27"/>
        <v>5000</v>
      </c>
      <c r="Q314" s="131">
        <f t="shared" si="27"/>
        <v>5000</v>
      </c>
      <c r="R314" s="131">
        <f t="shared" si="27"/>
        <v>5000</v>
      </c>
      <c r="S314" s="131">
        <f t="shared" si="27"/>
        <v>5000</v>
      </c>
      <c r="T314" s="131">
        <f t="shared" si="27"/>
        <v>5000</v>
      </c>
      <c r="U314" s="131">
        <f t="shared" si="27"/>
        <v>5000</v>
      </c>
      <c r="V314" s="131">
        <f t="shared" si="27"/>
        <v>5000</v>
      </c>
      <c r="W314" s="131">
        <f t="shared" si="27"/>
        <v>5000</v>
      </c>
      <c r="X314" s="131">
        <f t="shared" si="27"/>
        <v>5000</v>
      </c>
      <c r="Y314" s="131">
        <f t="shared" si="27"/>
        <v>2000</v>
      </c>
      <c r="Z314" s="131">
        <f t="shared" si="27"/>
        <v>2000</v>
      </c>
      <c r="AA314" s="131">
        <f t="shared" si="27"/>
        <v>2000</v>
      </c>
      <c r="AB314" s="131">
        <f t="shared" si="27"/>
        <v>2000</v>
      </c>
      <c r="AC314" s="131">
        <f t="shared" si="27"/>
        <v>2000</v>
      </c>
      <c r="AD314" s="131">
        <f t="shared" si="27"/>
        <v>0</v>
      </c>
      <c r="AE314" s="131">
        <f t="shared" si="27"/>
        <v>0</v>
      </c>
      <c r="AF314" s="131">
        <f t="shared" si="27"/>
        <v>0</v>
      </c>
      <c r="AG314" s="131">
        <f t="shared" si="27"/>
        <v>0</v>
      </c>
    </row>
    <row r="315" spans="1:33" s="293" customFormat="1" ht="18" customHeight="1" outlineLevel="1">
      <c r="A315" s="909"/>
      <c r="B315" s="909"/>
      <c r="C315" s="24" t="s">
        <v>430</v>
      </c>
      <c r="D315" s="8" t="str">
        <f>Currency_Label</f>
        <v>USD</v>
      </c>
      <c r="E315" s="304" t="s">
        <v>434</v>
      </c>
      <c r="I315" s="242">
        <f>SUMPRODUCT((IFS!J$6:AG$6),(J315:AG315))</f>
        <v>5000</v>
      </c>
      <c r="J315" s="269"/>
      <c r="K315" s="269">
        <v>5000</v>
      </c>
      <c r="L315" s="269"/>
      <c r="M315" s="269"/>
      <c r="N315" s="269"/>
      <c r="O315" s="269"/>
      <c r="P315" s="269"/>
      <c r="Q315" s="269"/>
      <c r="R315" s="269"/>
      <c r="S315" s="269"/>
      <c r="T315" s="269"/>
      <c r="U315" s="269"/>
      <c r="V315" s="269"/>
      <c r="W315" s="269"/>
      <c r="X315" s="269"/>
      <c r="Y315" s="269"/>
      <c r="Z315" s="269"/>
      <c r="AA315" s="269"/>
      <c r="AB315" s="269"/>
      <c r="AC315" s="269"/>
      <c r="AD315" s="269"/>
      <c r="AE315" s="269"/>
      <c r="AF315" s="269"/>
      <c r="AG315" s="269"/>
    </row>
    <row r="316" spans="1:33" s="293" customFormat="1" ht="18" customHeight="1" outlineLevel="1">
      <c r="A316" s="909"/>
      <c r="B316" s="909"/>
      <c r="C316" s="24" t="s">
        <v>431</v>
      </c>
      <c r="D316" s="8" t="str">
        <f>Currency_Label</f>
        <v>USD</v>
      </c>
      <c r="I316" s="242">
        <f>SUMPRODUCT((IFS!J$6:AG$6),(J316:AG316))</f>
        <v>-5000</v>
      </c>
      <c r="J316" s="269"/>
      <c r="K316" s="269"/>
      <c r="L316" s="269"/>
      <c r="M316" s="269"/>
      <c r="N316" s="269"/>
      <c r="O316" s="269"/>
      <c r="P316" s="269"/>
      <c r="Q316" s="269"/>
      <c r="R316" s="269"/>
      <c r="S316" s="269"/>
      <c r="T316" s="269"/>
      <c r="U316" s="269"/>
      <c r="V316" s="269"/>
      <c r="W316" s="269"/>
      <c r="X316" s="269">
        <v>-3000</v>
      </c>
      <c r="Y316" s="269"/>
      <c r="Z316" s="269"/>
      <c r="AA316" s="269"/>
      <c r="AB316" s="269"/>
      <c r="AC316" s="269">
        <v>-2000</v>
      </c>
      <c r="AD316" s="269"/>
      <c r="AE316" s="269"/>
      <c r="AF316" s="269"/>
      <c r="AG316" s="269"/>
    </row>
    <row r="317" spans="1:33" s="293" customFormat="1" ht="18" customHeight="1" outlineLevel="1" thickBot="1">
      <c r="A317" s="909"/>
      <c r="B317" s="909"/>
      <c r="C317" s="649" t="s">
        <v>141</v>
      </c>
      <c r="D317" s="8" t="str">
        <f>Currency_Label</f>
        <v>USD</v>
      </c>
      <c r="E317" s="643">
        <f>IF(MIN(J317:AG317)&lt;0,1,0)</f>
        <v>0</v>
      </c>
      <c r="F317" s="293" t="s">
        <v>433</v>
      </c>
      <c r="I317" s="702"/>
      <c r="J317" s="410">
        <f>SUM(J314:J316)*J$299</f>
        <v>0</v>
      </c>
      <c r="K317" s="410">
        <f t="shared" ref="K317:AG317" si="28">SUM(K314:K316)*K$299</f>
        <v>5000</v>
      </c>
      <c r="L317" s="410">
        <f t="shared" si="28"/>
        <v>5000</v>
      </c>
      <c r="M317" s="410">
        <f t="shared" si="28"/>
        <v>5000</v>
      </c>
      <c r="N317" s="410">
        <f t="shared" si="28"/>
        <v>5000</v>
      </c>
      <c r="O317" s="410">
        <f t="shared" si="28"/>
        <v>5000</v>
      </c>
      <c r="P317" s="410">
        <f t="shared" si="28"/>
        <v>5000</v>
      </c>
      <c r="Q317" s="410">
        <f t="shared" si="28"/>
        <v>5000</v>
      </c>
      <c r="R317" s="410">
        <f t="shared" si="28"/>
        <v>5000</v>
      </c>
      <c r="S317" s="410">
        <f t="shared" si="28"/>
        <v>5000</v>
      </c>
      <c r="T317" s="410">
        <f t="shared" si="28"/>
        <v>5000</v>
      </c>
      <c r="U317" s="410">
        <f t="shared" si="28"/>
        <v>5000</v>
      </c>
      <c r="V317" s="410">
        <f t="shared" si="28"/>
        <v>5000</v>
      </c>
      <c r="W317" s="410">
        <f t="shared" si="28"/>
        <v>5000</v>
      </c>
      <c r="X317" s="410">
        <f t="shared" si="28"/>
        <v>2000</v>
      </c>
      <c r="Y317" s="410">
        <f t="shared" si="28"/>
        <v>2000</v>
      </c>
      <c r="Z317" s="410">
        <f t="shared" si="28"/>
        <v>2000</v>
      </c>
      <c r="AA317" s="410">
        <f t="shared" si="28"/>
        <v>2000</v>
      </c>
      <c r="AB317" s="410">
        <f t="shared" si="28"/>
        <v>2000</v>
      </c>
      <c r="AC317" s="410">
        <f t="shared" si="28"/>
        <v>0</v>
      </c>
      <c r="AD317" s="410">
        <f t="shared" si="28"/>
        <v>0</v>
      </c>
      <c r="AE317" s="410">
        <f t="shared" si="28"/>
        <v>0</v>
      </c>
      <c r="AF317" s="410">
        <f t="shared" si="28"/>
        <v>0</v>
      </c>
      <c r="AG317" s="410">
        <f t="shared" si="28"/>
        <v>0</v>
      </c>
    </row>
    <row r="318" spans="1:33" s="293" customFormat="1" ht="18" customHeight="1" outlineLevel="1" thickTop="1">
      <c r="A318" s="909"/>
      <c r="B318" s="909"/>
      <c r="I318" s="567"/>
    </row>
    <row r="319" spans="1:33" s="293" customFormat="1" ht="18" customHeight="1" outlineLevel="1">
      <c r="A319" s="909"/>
      <c r="B319" s="909"/>
      <c r="C319" s="730" t="s">
        <v>429</v>
      </c>
      <c r="I319" s="567"/>
    </row>
    <row r="320" spans="1:33" s="293" customFormat="1" ht="18" customHeight="1" outlineLevel="1">
      <c r="A320" s="909"/>
      <c r="B320" s="909"/>
      <c r="C320" s="649" t="s">
        <v>140</v>
      </c>
      <c r="D320" s="8" t="str">
        <f>Currency_Label</f>
        <v>USD</v>
      </c>
      <c r="I320" s="567"/>
      <c r="J320" s="131">
        <f>I323*J$299</f>
        <v>0</v>
      </c>
      <c r="K320" s="131">
        <f t="shared" ref="K320:AG320" si="29">J323*K$299</f>
        <v>0</v>
      </c>
      <c r="L320" s="131">
        <f t="shared" si="29"/>
        <v>0</v>
      </c>
      <c r="M320" s="131">
        <f t="shared" si="29"/>
        <v>0</v>
      </c>
      <c r="N320" s="131">
        <f t="shared" si="29"/>
        <v>0</v>
      </c>
      <c r="O320" s="131">
        <f t="shared" si="29"/>
        <v>0</v>
      </c>
      <c r="P320" s="131">
        <f t="shared" si="29"/>
        <v>0</v>
      </c>
      <c r="Q320" s="131">
        <f t="shared" si="29"/>
        <v>0</v>
      </c>
      <c r="R320" s="131">
        <f t="shared" si="29"/>
        <v>0</v>
      </c>
      <c r="S320" s="131">
        <f t="shared" si="29"/>
        <v>10000</v>
      </c>
      <c r="T320" s="131">
        <f t="shared" si="29"/>
        <v>10000</v>
      </c>
      <c r="U320" s="131">
        <f t="shared" si="29"/>
        <v>10000</v>
      </c>
      <c r="V320" s="131">
        <f t="shared" si="29"/>
        <v>10000</v>
      </c>
      <c r="W320" s="131">
        <f t="shared" si="29"/>
        <v>10000</v>
      </c>
      <c r="X320" s="131">
        <f t="shared" si="29"/>
        <v>5000</v>
      </c>
      <c r="Y320" s="131">
        <f t="shared" si="29"/>
        <v>5000</v>
      </c>
      <c r="Z320" s="131">
        <f t="shared" si="29"/>
        <v>5000</v>
      </c>
      <c r="AA320" s="131">
        <f t="shared" si="29"/>
        <v>5000</v>
      </c>
      <c r="AB320" s="131">
        <f t="shared" si="29"/>
        <v>5000</v>
      </c>
      <c r="AC320" s="131">
        <f t="shared" si="29"/>
        <v>5000</v>
      </c>
      <c r="AD320" s="131">
        <f t="shared" si="29"/>
        <v>5000</v>
      </c>
      <c r="AE320" s="131">
        <f t="shared" si="29"/>
        <v>0</v>
      </c>
      <c r="AF320" s="131">
        <f t="shared" si="29"/>
        <v>0</v>
      </c>
      <c r="AG320" s="131">
        <f t="shared" si="29"/>
        <v>0</v>
      </c>
    </row>
    <row r="321" spans="1:33" s="293" customFormat="1" ht="18" customHeight="1" outlineLevel="1">
      <c r="A321" s="909"/>
      <c r="B321" s="909"/>
      <c r="C321" s="24" t="s">
        <v>430</v>
      </c>
      <c r="D321" s="8" t="str">
        <f>Currency_Label</f>
        <v>USD</v>
      </c>
      <c r="E321" s="304" t="s">
        <v>435</v>
      </c>
      <c r="I321" s="242">
        <f>SUMPRODUCT((IFS!J$6:AG$6),(J321:AG321))</f>
        <v>10000</v>
      </c>
      <c r="J321" s="269"/>
      <c r="K321" s="269"/>
      <c r="L321" s="269"/>
      <c r="M321" s="269"/>
      <c r="N321" s="269"/>
      <c r="O321" s="269"/>
      <c r="P321" s="269"/>
      <c r="Q321" s="269"/>
      <c r="R321" s="269">
        <v>10000</v>
      </c>
      <c r="S321" s="269"/>
      <c r="T321" s="269"/>
      <c r="U321" s="269"/>
      <c r="V321" s="269"/>
      <c r="W321" s="269"/>
      <c r="X321" s="269"/>
      <c r="Y321" s="269"/>
      <c r="Z321" s="269"/>
      <c r="AA321" s="269"/>
      <c r="AB321" s="269"/>
      <c r="AC321" s="269"/>
      <c r="AD321" s="269"/>
      <c r="AE321" s="269"/>
      <c r="AF321" s="269"/>
      <c r="AG321" s="269"/>
    </row>
    <row r="322" spans="1:33" s="293" customFormat="1" ht="18" customHeight="1" outlineLevel="1">
      <c r="A322" s="909"/>
      <c r="B322" s="909"/>
      <c r="C322" s="24" t="s">
        <v>431</v>
      </c>
      <c r="D322" s="8" t="str">
        <f>Currency_Label</f>
        <v>USD</v>
      </c>
      <c r="I322" s="242">
        <f>SUMPRODUCT((IFS!J$6:AG$6),(J322:AG322))</f>
        <v>-5000</v>
      </c>
      <c r="J322" s="269"/>
      <c r="K322" s="269"/>
      <c r="L322" s="269"/>
      <c r="M322" s="269"/>
      <c r="N322" s="269"/>
      <c r="O322" s="269"/>
      <c r="P322" s="269"/>
      <c r="Q322" s="269"/>
      <c r="R322" s="269"/>
      <c r="S322" s="269"/>
      <c r="T322" s="269"/>
      <c r="U322" s="269"/>
      <c r="V322" s="269"/>
      <c r="W322" s="269">
        <v>-5000</v>
      </c>
      <c r="X322" s="269"/>
      <c r="Y322" s="269"/>
      <c r="Z322" s="269"/>
      <c r="AA322" s="269"/>
      <c r="AB322" s="269"/>
      <c r="AC322" s="269"/>
      <c r="AD322" s="269"/>
      <c r="AE322" s="269"/>
      <c r="AF322" s="269"/>
      <c r="AG322" s="269"/>
    </row>
    <row r="323" spans="1:33" s="293" customFormat="1" ht="18" customHeight="1" outlineLevel="1" thickBot="1">
      <c r="A323" s="909"/>
      <c r="B323" s="909"/>
      <c r="C323" s="649" t="s">
        <v>141</v>
      </c>
      <c r="D323" s="8" t="str">
        <f>Currency_Label</f>
        <v>USD</v>
      </c>
      <c r="E323" s="643">
        <f>IF(MIN(J323:AG323)&lt;0,1,0)</f>
        <v>0</v>
      </c>
      <c r="F323" s="293" t="s">
        <v>432</v>
      </c>
      <c r="I323" s="702"/>
      <c r="J323" s="410">
        <f>SUM(J320:J322)*J$299</f>
        <v>0</v>
      </c>
      <c r="K323" s="410">
        <f t="shared" ref="K323:AG323" si="30">SUM(K320:K322)*K$299</f>
        <v>0</v>
      </c>
      <c r="L323" s="410">
        <f t="shared" si="30"/>
        <v>0</v>
      </c>
      <c r="M323" s="410">
        <f t="shared" si="30"/>
        <v>0</v>
      </c>
      <c r="N323" s="410">
        <f t="shared" si="30"/>
        <v>0</v>
      </c>
      <c r="O323" s="410">
        <f t="shared" si="30"/>
        <v>0</v>
      </c>
      <c r="P323" s="410">
        <f t="shared" si="30"/>
        <v>0</v>
      </c>
      <c r="Q323" s="410">
        <f t="shared" si="30"/>
        <v>0</v>
      </c>
      <c r="R323" s="410">
        <f t="shared" si="30"/>
        <v>10000</v>
      </c>
      <c r="S323" s="410">
        <f t="shared" si="30"/>
        <v>10000</v>
      </c>
      <c r="T323" s="410">
        <f t="shared" si="30"/>
        <v>10000</v>
      </c>
      <c r="U323" s="410">
        <f t="shared" si="30"/>
        <v>10000</v>
      </c>
      <c r="V323" s="410">
        <f t="shared" si="30"/>
        <v>10000</v>
      </c>
      <c r="W323" s="410">
        <f t="shared" si="30"/>
        <v>5000</v>
      </c>
      <c r="X323" s="410">
        <f t="shared" si="30"/>
        <v>5000</v>
      </c>
      <c r="Y323" s="410">
        <f t="shared" si="30"/>
        <v>5000</v>
      </c>
      <c r="Z323" s="410">
        <f t="shared" si="30"/>
        <v>5000</v>
      </c>
      <c r="AA323" s="410">
        <f t="shared" si="30"/>
        <v>5000</v>
      </c>
      <c r="AB323" s="410">
        <f t="shared" si="30"/>
        <v>5000</v>
      </c>
      <c r="AC323" s="410">
        <f t="shared" si="30"/>
        <v>5000</v>
      </c>
      <c r="AD323" s="410">
        <f t="shared" si="30"/>
        <v>5000</v>
      </c>
      <c r="AE323" s="410">
        <f t="shared" si="30"/>
        <v>0</v>
      </c>
      <c r="AF323" s="410">
        <f t="shared" si="30"/>
        <v>0</v>
      </c>
      <c r="AG323" s="410">
        <f t="shared" si="30"/>
        <v>0</v>
      </c>
    </row>
    <row r="324" spans="1:33" s="293" customFormat="1" ht="18" customHeight="1" outlineLevel="1" thickTop="1">
      <c r="A324" s="909"/>
      <c r="B324" s="909"/>
      <c r="I324" s="567"/>
    </row>
    <row r="325" spans="1:33" s="184" customFormat="1" ht="18" customHeight="1" outlineLevel="1">
      <c r="A325" s="909"/>
      <c r="B325" s="909"/>
      <c r="D325" s="293"/>
      <c r="E325" s="293"/>
      <c r="F325" s="293"/>
      <c r="I325" s="567"/>
    </row>
    <row r="326" spans="1:33" s="293" customFormat="1" ht="18" customHeight="1" outlineLevel="1">
      <c r="A326" s="909"/>
      <c r="B326" s="909"/>
      <c r="C326" s="730" t="s">
        <v>417</v>
      </c>
      <c r="G326" s="411" t="s">
        <v>437</v>
      </c>
      <c r="I326" s="567"/>
    </row>
    <row r="327" spans="1:33" s="293" customFormat="1" ht="18" customHeight="1" outlineLevel="1">
      <c r="A327" s="909"/>
      <c r="B327" s="909"/>
      <c r="C327" s="40" t="str">
        <f>CHOOSE(language,"PAYE owed","Payroll withholdings owed")</f>
        <v>Payroll withholdings owed</v>
      </c>
      <c r="D327" s="8" t="str">
        <f>Currency_Label</f>
        <v>USD</v>
      </c>
      <c r="E327" s="643">
        <f>IF(G327+I327&lt;0,1,0)</f>
        <v>0</v>
      </c>
      <c r="G327" s="147">
        <f>F239</f>
        <v>4500</v>
      </c>
      <c r="I327" s="242">
        <f>SUMPRODUCT((IFS!J$6:AG$6),(J327:AG327))</f>
        <v>-4500</v>
      </c>
      <c r="J327" s="269"/>
      <c r="K327" s="269"/>
      <c r="L327" s="269">
        <v>-2500</v>
      </c>
      <c r="M327" s="269"/>
      <c r="N327" s="269"/>
      <c r="O327" s="269">
        <v>-2000</v>
      </c>
      <c r="P327" s="269"/>
      <c r="Q327" s="269"/>
      <c r="R327" s="269"/>
      <c r="S327" s="269"/>
      <c r="T327" s="269"/>
      <c r="U327" s="269"/>
      <c r="V327" s="269"/>
      <c r="W327" s="269"/>
      <c r="X327" s="269"/>
      <c r="Y327" s="269"/>
      <c r="Z327" s="269"/>
      <c r="AA327" s="269"/>
      <c r="AB327" s="269"/>
      <c r="AC327" s="269"/>
      <c r="AD327" s="269"/>
      <c r="AE327" s="269"/>
      <c r="AF327" s="269"/>
      <c r="AG327" s="269"/>
    </row>
    <row r="328" spans="1:33" s="293" customFormat="1" ht="18" customHeight="1" outlineLevel="1">
      <c r="A328" s="909"/>
      <c r="B328" s="909"/>
      <c r="E328" s="731"/>
    </row>
    <row r="329" spans="1:33" s="293" customFormat="1" ht="18" customHeight="1" outlineLevel="1">
      <c r="B329" s="909"/>
    </row>
    <row r="330" spans="1:33" s="184" customFormat="1" ht="18" customHeight="1">
      <c r="B330" s="909"/>
      <c r="C330" s="293"/>
      <c r="D330" s="293"/>
      <c r="E330" s="293"/>
      <c r="F330" s="293"/>
    </row>
    <row r="331" spans="1:33" s="184" customFormat="1" ht="18" customHeight="1">
      <c r="B331" s="909"/>
      <c r="C331" s="293"/>
      <c r="D331" s="293"/>
      <c r="E331" s="293"/>
      <c r="F331" s="293"/>
    </row>
    <row r="332" spans="1:33" s="184" customFormat="1" ht="18" customHeight="1">
      <c r="B332" s="909"/>
      <c r="C332" s="293"/>
      <c r="D332" s="293"/>
      <c r="E332" s="293"/>
      <c r="F332" s="293"/>
    </row>
    <row r="333" spans="1:33" s="184" customFormat="1" ht="18" customHeight="1">
      <c r="B333" s="909"/>
      <c r="D333" s="293"/>
      <c r="E333" s="293"/>
      <c r="F333" s="293"/>
    </row>
    <row r="334" spans="1:33" s="184" customFormat="1" ht="18" customHeight="1">
      <c r="B334" s="909"/>
      <c r="D334" s="293"/>
      <c r="E334" s="293"/>
      <c r="F334" s="293"/>
    </row>
    <row r="335" spans="1:33" s="184" customFormat="1" ht="18" customHeight="1">
      <c r="B335" s="909"/>
      <c r="D335" s="293"/>
      <c r="E335" s="293"/>
      <c r="F335" s="293"/>
    </row>
    <row r="336" spans="1:33" s="184" customFormat="1" ht="18" customHeight="1"/>
    <row r="337" s="184" customFormat="1" ht="18" customHeight="1"/>
    <row r="338" s="184" customFormat="1" ht="18" customHeight="1"/>
    <row r="339" s="184" customFormat="1" ht="18" customHeight="1"/>
    <row r="340" s="184" customFormat="1" ht="18" customHeight="1"/>
    <row r="341" s="184" customFormat="1" ht="18" customHeight="1"/>
    <row r="342" s="184" customFormat="1" ht="18" customHeight="1"/>
    <row r="343" s="184" customFormat="1" ht="18" customHeight="1"/>
    <row r="344" s="184" customFormat="1" ht="18" customHeight="1"/>
    <row r="345" s="184" customFormat="1" ht="18" customHeight="1"/>
    <row r="346" s="184" customFormat="1" ht="18" customHeight="1"/>
    <row r="347" s="184" customFormat="1" ht="18" customHeight="1"/>
    <row r="348" s="184" customFormat="1" ht="18" customHeight="1"/>
    <row r="349" s="184" customFormat="1" ht="18" customHeight="1"/>
    <row r="350" s="184" customFormat="1" ht="18" customHeight="1"/>
    <row r="351" s="184" customFormat="1" ht="18" customHeight="1"/>
    <row r="352" s="184" customFormat="1" ht="18" customHeight="1"/>
    <row r="353" s="184" customFormat="1" ht="18" customHeight="1"/>
    <row r="354" s="184" customFormat="1" ht="18" customHeight="1"/>
    <row r="355" s="184" customFormat="1" ht="18" customHeight="1"/>
    <row r="356" s="184" customFormat="1" ht="18" customHeight="1"/>
    <row r="357" s="184" customFormat="1" ht="18" customHeight="1"/>
    <row r="358" s="184" customFormat="1" ht="18" customHeight="1"/>
    <row r="359" s="184" customFormat="1" ht="18" customHeight="1"/>
    <row r="360" s="184" customFormat="1" ht="18" customHeight="1"/>
    <row r="361" s="184" customFormat="1" ht="18" customHeight="1"/>
    <row r="362" s="184" customFormat="1" ht="18" customHeight="1"/>
    <row r="363" s="184" customFormat="1" ht="18" customHeight="1"/>
    <row r="364" s="184" customFormat="1" ht="18" customHeight="1"/>
    <row r="365" s="184" customFormat="1" ht="18" customHeight="1"/>
    <row r="366" s="184" customFormat="1" ht="18" customHeight="1"/>
    <row r="367" s="184" customFormat="1" ht="18" customHeight="1"/>
    <row r="368" s="184" customFormat="1" ht="18" customHeight="1"/>
    <row r="369" s="184" customFormat="1" ht="18" customHeight="1"/>
    <row r="370" s="184" customFormat="1" ht="18" customHeight="1"/>
    <row r="371" s="184" customFormat="1" ht="18" customHeight="1"/>
    <row r="372" s="184" customFormat="1" ht="18" customHeight="1"/>
    <row r="373" s="184" customFormat="1" ht="18" customHeight="1"/>
    <row r="374" s="184" customFormat="1" ht="18" customHeight="1"/>
    <row r="375" s="184" customFormat="1" ht="18" customHeight="1"/>
    <row r="376" s="184" customFormat="1" ht="18" customHeight="1"/>
    <row r="377" s="184" customFormat="1" ht="18" customHeight="1"/>
    <row r="378" s="184" customFormat="1" ht="18" customHeight="1"/>
    <row r="379" s="184" customFormat="1" ht="18" customHeight="1"/>
    <row r="380" s="184" customFormat="1" ht="18" customHeight="1"/>
    <row r="381" s="184" customFormat="1" ht="18" customHeight="1"/>
    <row r="382" s="184" customFormat="1" ht="18" customHeight="1"/>
    <row r="383" s="184" customFormat="1" ht="18" customHeight="1"/>
  </sheetData>
  <sheetProtection password="F66A" sheet="1"/>
  <sortState ref="C72:D72">
    <sortCondition sortBy="fontColor" ref="D73" dxfId="456"/>
  </sortState>
  <conditionalFormatting sqref="F101">
    <cfRule type="expression" dxfId="455" priority="103" stopIfTrue="1">
      <formula>an_aus_darlehen1=0</formula>
    </cfRule>
  </conditionalFormatting>
  <conditionalFormatting sqref="G101">
    <cfRule type="expression" dxfId="454" priority="102" stopIfTrue="1">
      <formula>an_aus_darlehen1=0</formula>
    </cfRule>
  </conditionalFormatting>
  <conditionalFormatting sqref="F103">
    <cfRule type="expression" dxfId="453" priority="101" stopIfTrue="1">
      <formula>an_aus_darlehen1=0</formula>
    </cfRule>
  </conditionalFormatting>
  <conditionalFormatting sqref="F105">
    <cfRule type="expression" dxfId="452" priority="100" stopIfTrue="1">
      <formula>an_aus_darlehen1=0</formula>
    </cfRule>
  </conditionalFormatting>
  <conditionalFormatting sqref="F106">
    <cfRule type="expression" dxfId="451" priority="99" stopIfTrue="1">
      <formula>an_aus_darlehen1=0</formula>
    </cfRule>
  </conditionalFormatting>
  <conditionalFormatting sqref="F112">
    <cfRule type="expression" dxfId="450" priority="98" stopIfTrue="1">
      <formula>an_aus_darlehen1=0</formula>
    </cfRule>
  </conditionalFormatting>
  <conditionalFormatting sqref="F113">
    <cfRule type="expression" dxfId="449" priority="97" stopIfTrue="1">
      <formula>an_aus_darlehen1=0</formula>
    </cfRule>
  </conditionalFormatting>
  <conditionalFormatting sqref="F115">
    <cfRule type="expression" dxfId="448" priority="96" stopIfTrue="1">
      <formula>an_aus_darlehen1=0</formula>
    </cfRule>
  </conditionalFormatting>
  <conditionalFormatting sqref="F107:F108">
    <cfRule type="expression" dxfId="447" priority="94" stopIfTrue="1">
      <formula>an_aus_darlehen1=0</formula>
    </cfRule>
  </conditionalFormatting>
  <conditionalFormatting sqref="F109">
    <cfRule type="expression" dxfId="446" priority="93" stopIfTrue="1">
      <formula>an_aus_darlehen1=0</formula>
    </cfRule>
  </conditionalFormatting>
  <conditionalFormatting sqref="F114">
    <cfRule type="expression" dxfId="445" priority="92" stopIfTrue="1">
      <formula>an_aus_darlehen1=0</formula>
    </cfRule>
  </conditionalFormatting>
  <conditionalFormatting sqref="H112">
    <cfRule type="expression" dxfId="444" priority="91" stopIfTrue="1">
      <formula>an_aus_darlehen1=0</formula>
    </cfRule>
  </conditionalFormatting>
  <conditionalFormatting sqref="H115">
    <cfRule type="expression" dxfId="443" priority="90" stopIfTrue="1">
      <formula>an_aus_darlehen1=0</formula>
    </cfRule>
  </conditionalFormatting>
  <conditionalFormatting sqref="F120">
    <cfRule type="expression" dxfId="442" priority="89" stopIfTrue="1">
      <formula>Darlehen_02_manuell=1</formula>
    </cfRule>
  </conditionalFormatting>
  <conditionalFormatting sqref="F125">
    <cfRule type="expression" dxfId="441" priority="88" stopIfTrue="1">
      <formula>Darlehen_03_manuell=1</formula>
    </cfRule>
  </conditionalFormatting>
  <conditionalFormatting sqref="F130">
    <cfRule type="expression" dxfId="440" priority="87" stopIfTrue="1">
      <formula>Darlehen_04_manuell=1</formula>
    </cfRule>
  </conditionalFormatting>
  <conditionalFormatting sqref="F169">
    <cfRule type="expression" dxfId="439" priority="80" stopIfTrue="1">
      <formula>#REF!=0</formula>
    </cfRule>
  </conditionalFormatting>
  <conditionalFormatting sqref="H260:H284">
    <cfRule type="cellIs" dxfId="438" priority="56" operator="notEqual">
      <formula>0</formula>
    </cfRule>
  </conditionalFormatting>
  <conditionalFormatting sqref="H259">
    <cfRule type="cellIs" dxfId="437" priority="55" operator="notEqual">
      <formula>0</formula>
    </cfRule>
  </conditionalFormatting>
  <conditionalFormatting sqref="H293">
    <cfRule type="cellIs" dxfId="436" priority="53" operator="notEqual">
      <formula>0</formula>
    </cfRule>
  </conditionalFormatting>
  <conditionalFormatting sqref="D3">
    <cfRule type="cellIs" dxfId="435" priority="52" operator="notEqual">
      <formula>0</formula>
    </cfRule>
  </conditionalFormatting>
  <conditionalFormatting sqref="J141">
    <cfRule type="cellIs" dxfId="434" priority="49" operator="notEqual">
      <formula>0</formula>
    </cfRule>
  </conditionalFormatting>
  <conditionalFormatting sqref="J151">
    <cfRule type="cellIs" dxfId="433" priority="48" operator="notEqual">
      <formula>0</formula>
    </cfRule>
  </conditionalFormatting>
  <conditionalFormatting sqref="J142">
    <cfRule type="cellIs" dxfId="432" priority="47" operator="notEqual">
      <formula>0</formula>
    </cfRule>
  </conditionalFormatting>
  <conditionalFormatting sqref="J143">
    <cfRule type="cellIs" dxfId="431" priority="46" operator="notEqual">
      <formula>0</formula>
    </cfRule>
  </conditionalFormatting>
  <conditionalFormatting sqref="J144:J150">
    <cfRule type="cellIs" dxfId="430" priority="45" operator="notEqual">
      <formula>0</formula>
    </cfRule>
  </conditionalFormatting>
  <conditionalFormatting sqref="J157">
    <cfRule type="cellIs" dxfId="429" priority="39" operator="notEqual">
      <formula>0</formula>
    </cfRule>
  </conditionalFormatting>
  <conditionalFormatting sqref="J155">
    <cfRule type="cellIs" dxfId="428" priority="42" operator="notEqual">
      <formula>0</formula>
    </cfRule>
  </conditionalFormatting>
  <conditionalFormatting sqref="J165">
    <cfRule type="cellIs" dxfId="427" priority="41" operator="notEqual">
      <formula>0</formula>
    </cfRule>
  </conditionalFormatting>
  <conditionalFormatting sqref="J156">
    <cfRule type="cellIs" dxfId="426" priority="40" operator="notEqual">
      <formula>0</formula>
    </cfRule>
  </conditionalFormatting>
  <conditionalFormatting sqref="J158:J164">
    <cfRule type="cellIs" dxfId="425" priority="38" operator="notEqual">
      <formula>0</formula>
    </cfRule>
  </conditionalFormatting>
  <conditionalFormatting sqref="K299">
    <cfRule type="cellIs" dxfId="424" priority="37" stopIfTrue="1" operator="equal">
      <formula>1</formula>
    </cfRule>
  </conditionalFormatting>
  <conditionalFormatting sqref="J297:AG298">
    <cfRule type="expression" dxfId="423" priority="36" stopIfTrue="1">
      <formula>J$299=1</formula>
    </cfRule>
  </conditionalFormatting>
  <conditionalFormatting sqref="J299:AG299">
    <cfRule type="cellIs" dxfId="422" priority="34" stopIfTrue="1" operator="equal">
      <formula>1</formula>
    </cfRule>
  </conditionalFormatting>
  <conditionalFormatting sqref="K297">
    <cfRule type="expression" dxfId="421" priority="33" stopIfTrue="1">
      <formula>K$299=1</formula>
    </cfRule>
  </conditionalFormatting>
  <conditionalFormatting sqref="K298">
    <cfRule type="expression" dxfId="420" priority="32" stopIfTrue="1">
      <formula>K$299=1</formula>
    </cfRule>
  </conditionalFormatting>
  <conditionalFormatting sqref="J302:AG304 J309:AG310 J321:AG322 J315:AG316 J327:AG327">
    <cfRule type="expression" dxfId="419" priority="30" stopIfTrue="1">
      <formula>J$299=0</formula>
    </cfRule>
  </conditionalFormatting>
  <conditionalFormatting sqref="E311">
    <cfRule type="cellIs" dxfId="418" priority="22" operator="notEqual">
      <formula>0</formula>
    </cfRule>
  </conditionalFormatting>
  <conditionalFormatting sqref="F251">
    <cfRule type="cellIs" dxfId="417" priority="21" operator="notEqual">
      <formula>0</formula>
    </cfRule>
  </conditionalFormatting>
  <conditionalFormatting sqref="E323">
    <cfRule type="cellIs" dxfId="416" priority="18" operator="notEqual">
      <formula>0</formula>
    </cfRule>
  </conditionalFormatting>
  <conditionalFormatting sqref="E317">
    <cfRule type="cellIs" dxfId="415" priority="15" operator="notEqual">
      <formula>0</formula>
    </cfRule>
  </conditionalFormatting>
  <conditionalFormatting sqref="E327">
    <cfRule type="cellIs" dxfId="414" priority="13" operator="notEqual">
      <formula>0</formula>
    </cfRule>
  </conditionalFormatting>
  <conditionalFormatting sqref="F170">
    <cfRule type="expression" dxfId="413" priority="10" stopIfTrue="1">
      <formula>F$6=0</formula>
    </cfRule>
  </conditionalFormatting>
  <conditionalFormatting sqref="F170">
    <cfRule type="expression" dxfId="412" priority="9" stopIfTrue="1">
      <formula>F$6=0</formula>
    </cfRule>
  </conditionalFormatting>
  <conditionalFormatting sqref="F170">
    <cfRule type="expression" dxfId="411" priority="12" stopIfTrue="1">
      <formula>F$6=0</formula>
    </cfRule>
  </conditionalFormatting>
  <conditionalFormatting sqref="F170">
    <cfRule type="expression" dxfId="410" priority="11" stopIfTrue="1">
      <formula>F$6=0</formula>
    </cfRule>
  </conditionalFormatting>
  <conditionalFormatting sqref="F170">
    <cfRule type="expression" dxfId="409" priority="8" stopIfTrue="1">
      <formula>F$6=0</formula>
    </cfRule>
  </conditionalFormatting>
  <conditionalFormatting sqref="F134">
    <cfRule type="cellIs" dxfId="408" priority="7" operator="notEqual">
      <formula>0</formula>
    </cfRule>
  </conditionalFormatting>
  <conditionalFormatting sqref="F104">
    <cfRule type="expression" dxfId="407" priority="6" stopIfTrue="1">
      <formula>an_aus_darlehen1=0</formula>
    </cfRule>
  </conditionalFormatting>
  <conditionalFormatting sqref="H287">
    <cfRule type="cellIs" dxfId="406" priority="5" operator="notEqual">
      <formula>0</formula>
    </cfRule>
  </conditionalFormatting>
  <conditionalFormatting sqref="H288:H291">
    <cfRule type="cellIs" dxfId="405" priority="4" operator="notEqual">
      <formula>0</formula>
    </cfRule>
  </conditionalFormatting>
  <conditionalFormatting sqref="H285">
    <cfRule type="cellIs" dxfId="404" priority="2" operator="notEqual">
      <formula>0</formula>
    </cfRule>
  </conditionalFormatting>
  <conditionalFormatting sqref="H286">
    <cfRule type="cellIs" dxfId="403" priority="1" operator="notEqual">
      <formula>0</formula>
    </cfRule>
  </conditionalFormatting>
  <dataValidations disablePrompts="1" count="21">
    <dataValidation type="list" allowBlank="1" showInputMessage="1" showErrorMessage="1" errorTitle="Error" error="Cannot be changed in free trial version_x000a_=&gt; Please purchase the commercial version!_x000a_" promptTitle="Note:" prompt="Cannot be changed in free trial version_x000a_=&gt; Please purchase the commercial version!_x000a_" sqref="F20">
      <formula1>"01.03.2019"</formula1>
    </dataValidation>
    <dataValidation type="list" allowBlank="1" showInputMessage="1" showErrorMessage="1" sqref="F100 F119 F124 F129 F199 I93">
      <formula1>"1,0"</formula1>
    </dataValidation>
    <dataValidation type="whole" allowBlank="1" showErrorMessage="1" errorTitle="Error" error="Valid input has to be between 1 and 48 months !" sqref="F103">
      <formula1>1</formula1>
      <formula2>48</formula2>
    </dataValidation>
    <dataValidation type="list" allowBlank="1" showInputMessage="1" showErrorMessage="1" sqref="H190:H191 E28:E37">
      <formula1>VAT_Rates</formula1>
    </dataValidation>
    <dataValidation type="whole" allowBlank="1" showInputMessage="1" showErrorMessage="1" errorTitle="Error" error="Tenor must be between 1 yr (min.) and 20 yrs maximum." sqref="F105">
      <formula1>1</formula1>
      <formula2>20</formula2>
    </dataValidation>
    <dataValidation type="custom" allowBlank="1" showErrorMessage="1" errorTitle="Error" error="Valid inputs only 0 and quarters:_x000a_i.e.:  0, 3, 6, 9 etc." sqref="F106">
      <formula1>MOD(F106,3)=0</formula1>
    </dataValidation>
    <dataValidation type="list" allowBlank="1" showInputMessage="1" showErrorMessage="1" errorTitle="Error" error="Cannot be changed in free trial version_x000a_=&gt; Please purchase the commercial version!" promptTitle="Note:" prompt="Cannot be changed in free trial version_x000a_=&gt; Please purchase the commercial version!" sqref="F21">
      <formula1>"1"</formula1>
    </dataValidation>
    <dataValidation type="decimal" operator="greaterThanOrEqual" allowBlank="1" showInputMessage="1" showErrorMessage="1" errorTitle="Achtung" error="Werte positiv eingeben !" sqref="F231">
      <formula1>0</formula1>
    </dataValidation>
    <dataValidation type="list" showInputMessage="1" showErrorMessage="1" errorTitle="Error" error="Cannot be changed in free trial version_x000a_=&gt; Please purchase the commercial version!" promptTitle="Note:" prompt="Cannot be changed in free trial version_x000a_=&gt; Please purchase the commercial version!" sqref="F15">
      <formula1>"USD"</formula1>
    </dataValidation>
    <dataValidation type="list" allowBlank="1" showInputMessage="1" showErrorMessage="1" errorTitle="Error" error="Cannot be changed in free trial version_x000a_=&gt; Please purchase the commercial version!" promptTitle="Note:" prompt="Cannot be changed in free trial version_x000a_=&gt; Please purchase the commercial version!" sqref="I20">
      <formula1>"NOV"</formula1>
    </dataValidation>
    <dataValidation type="list" allowBlank="1" showInputMessage="1" showErrorMessage="1" sqref="I95">
      <formula1>Period_Start</formula1>
    </dataValidation>
    <dataValidation type="whole" allowBlank="1" showInputMessage="1" showErrorMessage="1" errorTitle="Error" error="Valid inputs:_x000a_1 = Jan_x000a_2 = Feb_x000a_3 = Mar" sqref="F176">
      <formula1>1</formula1>
      <formula2>3</formula2>
    </dataValidation>
    <dataValidation type="list" allowBlank="1" showInputMessage="1" showErrorMessage="1" sqref="F187">
      <formula1>Periodicity</formula1>
    </dataValidation>
    <dataValidation type="decimal" allowBlank="1" showInputMessage="1" showErrorMessage="1" errorTitle="Error" error="Please enter value between 0% and 100%" sqref="H28:H37">
      <formula1>0</formula1>
      <formula2>1</formula2>
    </dataValidation>
    <dataValidation type="decimal" operator="greaterThanOrEqual" allowBlank="1" showInputMessage="1" showErrorMessage="1" errorTitle="Inputs" error="Positive numbers/inputs only !" sqref="F225:F228 F223 F232:F233 F236:F239 F242 F247 N232:N241 J315:AG315 J321:AG321 J309:AG309 J302:AG304">
      <formula1>0</formula1>
    </dataValidation>
    <dataValidation type="decimal" operator="lessThanOrEqual" allowBlank="1" showInputMessage="1" showErrorMessage="1" errorTitle="Inputs" error="Negative numbers/inputs only !" sqref="F170 J327:AG327 J316:AG316 J322:AG322 J310:AG310">
      <formula1>0</formula1>
    </dataValidation>
    <dataValidation type="whole" allowBlank="1" showInputMessage="1" showErrorMessage="1" errorTitle="Error" error="Valid inputs:_x000a_Month 1 to 12 only" sqref="F177">
      <formula1>1</formula1>
      <formula2>12</formula2>
    </dataValidation>
    <dataValidation type="list" allowBlank="1" showInputMessage="1" showErrorMessage="1" sqref="F40">
      <formula1>alloc_basis</formula1>
    </dataValidation>
    <dataValidation type="decimal" allowBlank="1" showInputMessage="1" showErrorMessage="1" errorTitle="Error" error="Input value must be between 0% and 100% (maximum)!" sqref="F190:F191">
      <formula1>0</formula1>
      <formula2>1</formula2>
    </dataValidation>
    <dataValidation type="whole" allowBlank="1" showInputMessage="1" showErrorMessage="1" errorTitle="Error" error="Only positive integers between 1 and 24 months !" sqref="J232 J237">
      <formula1>1</formula1>
      <formula2>24</formula2>
    </dataValidation>
    <dataValidation type="whole" showInputMessage="1" showErrorMessage="1" errorTitle="Error" error="Cannot be changed in free trial version_x000a_=&gt; Please purchase the commercial version!" promptTitle="Note:" prompt="Cannot be changed in free trial version_x000a_=&gt; Please purchase the commercial version!" sqref="F16">
      <formula1>1</formula1>
      <formula2>1</formula2>
    </dataValidation>
  </dataValidations>
  <hyperlinks>
    <hyperlink ref="F3" location="Fehlerkontrolle" display="Go to error checks"/>
    <hyperlink ref="F2" location="Index!A1" display="Go to table of contents"/>
    <hyperlink ref="E259" location="FK_01" display="To Control Cell"/>
    <hyperlink ref="E260:E263" location="FK_01" display="zur Kontrollzelle"/>
    <hyperlink ref="E263" location="FK_05" display="To Control Cell"/>
    <hyperlink ref="E262" location="FK_04" display="To Control Cell"/>
    <hyperlink ref="E260" location="FK_03" display="To Control Cell"/>
    <hyperlink ref="E264:E278" location="FK_01" display="zur Kontrollzelle"/>
    <hyperlink ref="E264" location="FK_06" display="To Control Cell"/>
    <hyperlink ref="E265" location="FK_07" display="To Control Cell"/>
    <hyperlink ref="E266" location="FK_08" display="To Control Cell"/>
    <hyperlink ref="E267" location="FK_09" display="To Control Cell"/>
    <hyperlink ref="E268" location="FK_10" display="To Control Cell"/>
    <hyperlink ref="E269" location="FK_11" display="To Control Cell"/>
    <hyperlink ref="E270" location="FK_12" display="To Control Cell"/>
    <hyperlink ref="E271" location="FK_13" display="To Control Cell"/>
    <hyperlink ref="E272" location="FK_14" display="To Control Cell"/>
    <hyperlink ref="E273" location="FK_15" display="To Control Cell"/>
    <hyperlink ref="E274" location="FK_16" display="To Control Cell"/>
    <hyperlink ref="E275" location="FK_17" display="To Control Cell"/>
    <hyperlink ref="E276" location="FK_18" display="To Control Cell"/>
    <hyperlink ref="E277" location="FK_19" display="To Control Cell"/>
    <hyperlink ref="E278" location="FK_20" display="To Control Cell"/>
    <hyperlink ref="E261" location="FK_29" display="To Control Cell"/>
    <hyperlink ref="E279" location="FK_30" display="To Control Cell"/>
    <hyperlink ref="E280:E284" location="FK_01" display="zur Kontrollzelle"/>
    <hyperlink ref="E280" location="FK_28" display="To Control Cell"/>
    <hyperlink ref="E281" location="FK_21" display="To Control Cell"/>
    <hyperlink ref="E282" location="FK_23" display="To Control Cell"/>
    <hyperlink ref="E283" location="FK_26" display="To Control Cell"/>
    <hyperlink ref="E284" location="FK_27" display="To Control Cell"/>
    <hyperlink ref="E287" location="FK_31" display="To Control Cell"/>
    <hyperlink ref="E285" location="FK_32" display="To Control Cell"/>
    <hyperlink ref="E286" location="FK_33" display="To Control Cell"/>
  </hyperlinks>
  <printOptions horizontalCentered="1"/>
  <pageMargins left="0.39370078740157483" right="0.39370078740157483" top="0.59055118110236227" bottom="0.59055118110236227" header="0.31496062992125984" footer="0.31496062992125984"/>
  <pageSetup paperSize="9" scale="57" fitToHeight="6" orientation="landscape" r:id="rId1"/>
  <headerFooter>
    <oddFooter>&amp;Lwww.excel-financial-model.com&amp;C&amp;A&amp;Rpage &amp;P of &amp;N</oddFooter>
  </headerFooter>
  <rowBreaks count="6" manualBreakCount="6">
    <brk id="44" min="1" max="13" man="1"/>
    <brk id="88" min="1" max="13" man="1"/>
    <brk id="136" min="1" max="13" man="1"/>
    <brk id="178" min="1" max="13" man="1"/>
    <brk id="219" min="1" max="13" man="1"/>
    <brk id="253" min="1" max="13" man="1"/>
  </rowBreaks>
  <ignoredErrors>
    <ignoredError sqref="F224" formulaRange="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2667" r:id="rId5" name="Button 139">
              <controlPr defaultSize="0" print="0" autoFill="0" autoPict="0" altText="">
                <anchor moveWithCells="1" sizeWithCells="1">
                  <from>
                    <xdr:col>6</xdr:col>
                    <xdr:colOff>1066800</xdr:colOff>
                    <xdr:row>2</xdr:row>
                    <xdr:rowOff>0</xdr:rowOff>
                  </from>
                  <to>
                    <xdr:col>10</xdr:col>
                    <xdr:colOff>0</xdr:colOff>
                    <xdr:row>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showInputMessage="1" showErrorMessage="1" promptTitle="Sprachwahl / Language Selection">
          <x14:formula1>
            <xm:f>Formats!$J$85:$J$86</xm:f>
          </x14:formula1>
          <xm:sqref>F14</xm:sqref>
        </x14:dataValidation>
        <x14:dataValidation type="list" allowBlank="1" showInputMessage="1" showErrorMessage="1">
          <x14:formula1>
            <xm:f>Formats!$J$89:$J$91</xm:f>
          </x14:formula1>
          <xm:sqref>F180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150</vt:i4>
      </vt:variant>
    </vt:vector>
  </HeadingPairs>
  <TitlesOfParts>
    <vt:vector size="171" baseType="lpstr">
      <vt:lpstr>fimovi</vt:lpstr>
      <vt:lpstr>Full Version</vt:lpstr>
      <vt:lpstr>Quick Start</vt:lpstr>
      <vt:lpstr>Index</vt:lpstr>
      <vt:lpstr>Summary 01</vt:lpstr>
      <vt:lpstr>Summary 02</vt:lpstr>
      <vt:lpstr>Summary 03</vt:lpstr>
      <vt:lpstr>Summary 04</vt:lpstr>
      <vt:lpstr>Inputs</vt:lpstr>
      <vt:lpstr>Sales</vt:lpstr>
      <vt:lpstr>Human Resources</vt:lpstr>
      <vt:lpstr>Costs 01</vt:lpstr>
      <vt:lpstr>Costs 02</vt:lpstr>
      <vt:lpstr>Costs 03</vt:lpstr>
      <vt:lpstr>Capex</vt:lpstr>
      <vt:lpstr>Financing</vt:lpstr>
      <vt:lpstr>IFS</vt:lpstr>
      <vt:lpstr>Debtors+Creditors</vt:lpstr>
      <vt:lpstr>Taxes</vt:lpstr>
      <vt:lpstr>Timing</vt:lpstr>
      <vt:lpstr>Formats</vt:lpstr>
      <vt:lpstr>AB_Lager_Alle</vt:lpstr>
      <vt:lpstr>AGSatz_Pausch</vt:lpstr>
      <vt:lpstr>alloc_basis</vt:lpstr>
      <vt:lpstr>alloc_dc</vt:lpstr>
      <vt:lpstr>an_aus_darlehen1</vt:lpstr>
      <vt:lpstr>an_aus_lager</vt:lpstr>
      <vt:lpstr>bad_debts</vt:lpstr>
      <vt:lpstr>Billion</vt:lpstr>
      <vt:lpstr>currency</vt:lpstr>
      <vt:lpstr>Currency_Label</vt:lpstr>
      <vt:lpstr>Currency_Unit</vt:lpstr>
      <vt:lpstr>Darlehen_02_Aufnahme</vt:lpstr>
      <vt:lpstr>Darlehen_02_Gebuehren</vt:lpstr>
      <vt:lpstr>Darlehen_02_manuell</vt:lpstr>
      <vt:lpstr>Darlehen_02_Tilgung</vt:lpstr>
      <vt:lpstr>Darlehen_02_Zinsen</vt:lpstr>
      <vt:lpstr>Darlehen_03_Aufnahme</vt:lpstr>
      <vt:lpstr>Darlehen_03_Gebuehren</vt:lpstr>
      <vt:lpstr>Darlehen_03_manuell</vt:lpstr>
      <vt:lpstr>Darlehen_03_Tilgung</vt:lpstr>
      <vt:lpstr>Darlehen_03_Zinsen</vt:lpstr>
      <vt:lpstr>Darlehen_04_Aufnahme</vt:lpstr>
      <vt:lpstr>Darlehen_04_Gebuehren</vt:lpstr>
      <vt:lpstr>Darlehen_04_manuell</vt:lpstr>
      <vt:lpstr>Darlehen_04_Tilgung</vt:lpstr>
      <vt:lpstr>Darlehen_04_Zinsen</vt:lpstr>
      <vt:lpstr>days_yr</vt:lpstr>
      <vt:lpstr>'Costs 01'!Druckbereich</vt:lpstr>
      <vt:lpstr>Formats!Druckbereich</vt:lpstr>
      <vt:lpstr>Index!Druckbereich</vt:lpstr>
      <vt:lpstr>Inputs!Druckbereich</vt:lpstr>
      <vt:lpstr>'Quick Start'!Druckbereich</vt:lpstr>
      <vt:lpstr>Sales!Druckbereich</vt:lpstr>
      <vt:lpstr>'Summary 01'!Druckbereich</vt:lpstr>
      <vt:lpstr>'Summary 02'!Druckbereich</vt:lpstr>
      <vt:lpstr>'Summary 03'!Druckbereich</vt:lpstr>
      <vt:lpstr>'Summary 04'!Druckbereich</vt:lpstr>
      <vt:lpstr>'Costs 01'!Drucktitel</vt:lpstr>
      <vt:lpstr>Sales!Drucktitel</vt:lpstr>
      <vt:lpstr>'Summary 02'!Drucktitel</vt:lpstr>
      <vt:lpstr>'Summary 03'!Drucktitel</vt:lpstr>
      <vt:lpstr>'Summary 04'!Drucktitel</vt:lpstr>
      <vt:lpstr>Enddatum</vt:lpstr>
      <vt:lpstr>Fehlerkontrolle</vt:lpstr>
      <vt:lpstr>FK_01</vt:lpstr>
      <vt:lpstr>FK_02</vt:lpstr>
      <vt:lpstr>FK_03</vt:lpstr>
      <vt:lpstr>FK_04</vt:lpstr>
      <vt:lpstr>FK_05</vt:lpstr>
      <vt:lpstr>FK_06</vt:lpstr>
      <vt:lpstr>FK_07</vt:lpstr>
      <vt:lpstr>FK_08</vt:lpstr>
      <vt:lpstr>FK_09</vt:lpstr>
      <vt:lpstr>FK_10</vt:lpstr>
      <vt:lpstr>FK_11</vt:lpstr>
      <vt:lpstr>FK_12</vt:lpstr>
      <vt:lpstr>FK_13</vt:lpstr>
      <vt:lpstr>FK_14</vt:lpstr>
      <vt:lpstr>FK_15</vt:lpstr>
      <vt:lpstr>FK_16</vt:lpstr>
      <vt:lpstr>FK_17</vt:lpstr>
      <vt:lpstr>FK_18</vt:lpstr>
      <vt:lpstr>FK_19</vt:lpstr>
      <vt:lpstr>FK_20</vt:lpstr>
      <vt:lpstr>FK_21</vt:lpstr>
      <vt:lpstr>FK_22</vt:lpstr>
      <vt:lpstr>FK_23</vt:lpstr>
      <vt:lpstr>FK_26</vt:lpstr>
      <vt:lpstr>FK_27</vt:lpstr>
      <vt:lpstr>FK_28</vt:lpstr>
      <vt:lpstr>FK_29</vt:lpstr>
      <vt:lpstr>FK_30</vt:lpstr>
      <vt:lpstr>FK_31</vt:lpstr>
      <vt:lpstr>FK_32</vt:lpstr>
      <vt:lpstr>FK_33</vt:lpstr>
      <vt:lpstr>HR_group_01</vt:lpstr>
      <vt:lpstr>HR_group_02</vt:lpstr>
      <vt:lpstr>HR_group_03</vt:lpstr>
      <vt:lpstr>HR_group_04</vt:lpstr>
      <vt:lpstr>HR_group_05</vt:lpstr>
      <vt:lpstr>input_tax_01</vt:lpstr>
      <vt:lpstr>input_tax_02</vt:lpstr>
      <vt:lpstr>KSt_vorausz_j01</vt:lpstr>
      <vt:lpstr>KSt_vorausz_j02</vt:lpstr>
      <vt:lpstr>KSt_vorausz_j03</vt:lpstr>
      <vt:lpstr>KSt_vorausz_j04</vt:lpstr>
      <vt:lpstr>KSt_vorausz_j05</vt:lpstr>
      <vt:lpstr>language</vt:lpstr>
      <vt:lpstr>Million</vt:lpstr>
      <vt:lpstr>Months</vt:lpstr>
      <vt:lpstr>months_yr</vt:lpstr>
      <vt:lpstr>mths_quarter</vt:lpstr>
      <vt:lpstr>Name_Author</vt:lpstr>
      <vt:lpstr>Name_Company</vt:lpstr>
      <vt:lpstr>name_debt_01</vt:lpstr>
      <vt:lpstr>name_debt_02</vt:lpstr>
      <vt:lpstr>name_debt_03</vt:lpstr>
      <vt:lpstr>name_debt_04</vt:lpstr>
      <vt:lpstr>Name_File</vt:lpstr>
      <vt:lpstr>Name_legal_form</vt:lpstr>
      <vt:lpstr>Name_Model</vt:lpstr>
      <vt:lpstr>Name_VAT</vt:lpstr>
      <vt:lpstr>Period_End</vt:lpstr>
      <vt:lpstr>Period_Start</vt:lpstr>
      <vt:lpstr>Periodicity</vt:lpstr>
      <vt:lpstr>Pf_hor_ja</vt:lpstr>
      <vt:lpstr>Pf_hor_nein</vt:lpstr>
      <vt:lpstr>Pf_li</vt:lpstr>
      <vt:lpstr>Pf_re</vt:lpstr>
      <vt:lpstr>Pf_unt_ja</vt:lpstr>
      <vt:lpstr>Pf_unt_nein</vt:lpstr>
      <vt:lpstr>PP_creditors</vt:lpstr>
      <vt:lpstr>PP_debtors</vt:lpstr>
      <vt:lpstr>Product_01</vt:lpstr>
      <vt:lpstr>Product_02</vt:lpstr>
      <vt:lpstr>Product_03</vt:lpstr>
      <vt:lpstr>Product_04</vt:lpstr>
      <vt:lpstr>Product_05</vt:lpstr>
      <vt:lpstr>Product_06</vt:lpstr>
      <vt:lpstr>Product_07</vt:lpstr>
      <vt:lpstr>Product_08</vt:lpstr>
      <vt:lpstr>Product_09</vt:lpstr>
      <vt:lpstr>Product_10</vt:lpstr>
      <vt:lpstr>Product_names</vt:lpstr>
      <vt:lpstr>quarters_yr</vt:lpstr>
      <vt:lpstr>Rückzahlungsmethode</vt:lpstr>
      <vt:lpstr>Startbil_A_01</vt:lpstr>
      <vt:lpstr>Startbil_A_02</vt:lpstr>
      <vt:lpstr>Startbil_A_03</vt:lpstr>
      <vt:lpstr>Startbil_A_04</vt:lpstr>
      <vt:lpstr>Startbil_A_05</vt:lpstr>
      <vt:lpstr>Startbil_A_06</vt:lpstr>
      <vt:lpstr>Startbil_A_07</vt:lpstr>
      <vt:lpstr>Startbil_P_01</vt:lpstr>
      <vt:lpstr>Startbil_P_02</vt:lpstr>
      <vt:lpstr>Startbil_P_03</vt:lpstr>
      <vt:lpstr>Startbil_P_04</vt:lpstr>
      <vt:lpstr>Startbil_P_05</vt:lpstr>
      <vt:lpstr>Startbil_P_06</vt:lpstr>
      <vt:lpstr>Startbil_P_07</vt:lpstr>
      <vt:lpstr>Startdatum</vt:lpstr>
      <vt:lpstr>Thousand</vt:lpstr>
      <vt:lpstr>Tolerance</vt:lpstr>
      <vt:lpstr>VAT_Rate_00</vt:lpstr>
      <vt:lpstr>VAT_Rate_01</vt:lpstr>
      <vt:lpstr>VAT_Rate_02</vt:lpstr>
      <vt:lpstr>VAT_Rate_03</vt:lpstr>
      <vt:lpstr>VAT_Rates</vt:lpstr>
      <vt:lpstr>VerySmallNumber</vt:lpstr>
      <vt:lpstr>VV_KSt</vt:lpstr>
    </vt:vector>
  </TitlesOfParts>
  <Company>www.excel-financial-model.com</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Excel-Financial-Model</dc:title>
  <dc:creator>D. Gostomski</dc:creator>
  <cp:lastModifiedBy>www.financial-modelling-videos.de</cp:lastModifiedBy>
  <cp:lastPrinted>2016-01-22T15:39:04Z</cp:lastPrinted>
  <dcterms:created xsi:type="dcterms:W3CDTF">2013-02-07T14:13:17Z</dcterms:created>
  <dcterms:modified xsi:type="dcterms:W3CDTF">2017-01-20T09:45:02Z</dcterms:modified>
</cp:coreProperties>
</file>