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HEALTH,CHART AND LOG\"/>
    </mc:Choice>
  </mc:AlternateContent>
  <bookViews>
    <workbookView xWindow="0" yWindow="0" windowWidth="28800" windowHeight="12210" tabRatio="554" activeTab="1"/>
  </bookViews>
  <sheets>
    <sheet name="Chart" sheetId="2" r:id="rId1"/>
    <sheet name="Calculator" sheetId="9" r:id="rId2"/>
    <sheet name="Calculations" sheetId="1" state="hidden" r:id="rId3"/>
  </sheets>
  <definedNames>
    <definedName name="_xlnm.Print_Area" localSheetId="1">Calculator!$A$1:$I$44</definedName>
    <definedName name="_xlnm.Print_Area" localSheetId="0">Chart!$A$1:$J$92</definedName>
    <definedName name="_xlnm.Print_Titles" localSheetId="0">Chart!$1:$2</definedName>
    <definedName name="valuevx">42.314159</definedName>
    <definedName name="vertex42_copyright" hidden="1">"© 2009-2017 Vertex42 LLC"</definedName>
    <definedName name="vertex42_id" hidden="1">"ideal-weight-chart.xlsx"</definedName>
    <definedName name="vertex42_title" hidden="1">"Ideal Weight Chart"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 r="J16" i="2"/>
  <c r="N17" i="1"/>
  <c r="I16" i="2" s="1"/>
  <c r="M17" i="1"/>
  <c r="H16" i="2" s="1"/>
  <c r="L17" i="1"/>
  <c r="G16" i="2" s="1"/>
  <c r="K17" i="1"/>
  <c r="F16" i="2"/>
  <c r="J17" i="1"/>
  <c r="E16" i="2" s="1"/>
  <c r="I17" i="1"/>
  <c r="D16" i="2"/>
  <c r="H17" i="1"/>
  <c r="C16" i="2" s="1"/>
  <c r="G17" i="1"/>
  <c r="F17" i="1" s="1"/>
  <c r="B16" i="2"/>
  <c r="B17" i="1"/>
  <c r="A16" i="2" s="1"/>
  <c r="C16" i="1"/>
  <c r="J15" i="2" s="1"/>
  <c r="N16" i="1"/>
  <c r="I15" i="2" s="1"/>
  <c r="M16" i="1"/>
  <c r="H15" i="2" s="1"/>
  <c r="L16" i="1"/>
  <c r="G15" i="2" s="1"/>
  <c r="K16" i="1"/>
  <c r="F15" i="2" s="1"/>
  <c r="J16" i="1"/>
  <c r="E15" i="2" s="1"/>
  <c r="I16" i="1"/>
  <c r="D15" i="2" s="1"/>
  <c r="H16" i="1"/>
  <c r="C15" i="2" s="1"/>
  <c r="G16" i="1"/>
  <c r="B15" i="2" s="1"/>
  <c r="B16" i="1"/>
  <c r="A15" i="2" s="1"/>
  <c r="C15" i="1"/>
  <c r="J14" i="2"/>
  <c r="N15" i="1"/>
  <c r="I14" i="2" s="1"/>
  <c r="M15" i="1"/>
  <c r="P15" i="1" s="1"/>
  <c r="H14" i="2"/>
  <c r="L15" i="1"/>
  <c r="G14" i="2" s="1"/>
  <c r="K15" i="1"/>
  <c r="F14" i="2"/>
  <c r="J15" i="1"/>
  <c r="E14" i="2" s="1"/>
  <c r="I15" i="1"/>
  <c r="D14" i="2" s="1"/>
  <c r="H15" i="1"/>
  <c r="C14" i="2" s="1"/>
  <c r="G15" i="1"/>
  <c r="B14" i="2" s="1"/>
  <c r="B15" i="1"/>
  <c r="D15" i="1" s="1"/>
  <c r="C14" i="1"/>
  <c r="J13" i="2" s="1"/>
  <c r="N14" i="1"/>
  <c r="I13" i="2" s="1"/>
  <c r="M14" i="1"/>
  <c r="H13" i="2" s="1"/>
  <c r="L14" i="1"/>
  <c r="G13" i="2" s="1"/>
  <c r="K14" i="1"/>
  <c r="F13" i="2"/>
  <c r="J14" i="1"/>
  <c r="E13" i="2" s="1"/>
  <c r="I14" i="1"/>
  <c r="D13" i="2"/>
  <c r="H14" i="1"/>
  <c r="C13" i="2" s="1"/>
  <c r="G14" i="1"/>
  <c r="B13" i="2"/>
  <c r="B14" i="1"/>
  <c r="A13" i="2" s="1"/>
  <c r="C13" i="1"/>
  <c r="J12" i="2"/>
  <c r="N13" i="1"/>
  <c r="I12" i="2" s="1"/>
  <c r="M13" i="1"/>
  <c r="H12" i="2" s="1"/>
  <c r="L13" i="1"/>
  <c r="G12" i="2" s="1"/>
  <c r="K13" i="1"/>
  <c r="F12" i="2" s="1"/>
  <c r="J13" i="1"/>
  <c r="E12" i="2" s="1"/>
  <c r="I13" i="1"/>
  <c r="D12" i="2" s="1"/>
  <c r="H13" i="1"/>
  <c r="C12" i="2" s="1"/>
  <c r="G13" i="1"/>
  <c r="B12" i="2"/>
  <c r="B13" i="1"/>
  <c r="A12" i="2" s="1"/>
  <c r="C12" i="1"/>
  <c r="J11" i="2" s="1"/>
  <c r="N12" i="1"/>
  <c r="M12" i="1"/>
  <c r="H11" i="2" s="1"/>
  <c r="L12" i="1"/>
  <c r="G11" i="2" s="1"/>
  <c r="K12" i="1"/>
  <c r="F11" i="2"/>
  <c r="J12" i="1"/>
  <c r="E11" i="2" s="1"/>
  <c r="I12" i="1"/>
  <c r="D11" i="2"/>
  <c r="H12" i="1"/>
  <c r="C11" i="2" s="1"/>
  <c r="G12" i="1"/>
  <c r="B11" i="2" s="1"/>
  <c r="B12" i="1"/>
  <c r="B40" i="1"/>
  <c r="C40" i="1"/>
  <c r="J39" i="2" s="1"/>
  <c r="B36" i="1"/>
  <c r="A35" i="2" s="1"/>
  <c r="C36" i="1"/>
  <c r="B11" i="1"/>
  <c r="C11" i="1"/>
  <c r="B18" i="1"/>
  <c r="C18" i="1"/>
  <c r="B19" i="1"/>
  <c r="C19" i="1"/>
  <c r="B20" i="1"/>
  <c r="C20" i="1"/>
  <c r="B21" i="1"/>
  <c r="C21" i="1"/>
  <c r="J20" i="2" s="1"/>
  <c r="B22" i="1"/>
  <c r="C22" i="1"/>
  <c r="J21" i="2" s="1"/>
  <c r="B23" i="1"/>
  <c r="E23" i="1" s="1"/>
  <c r="C23" i="1"/>
  <c r="B24" i="1"/>
  <c r="A23" i="2" s="1"/>
  <c r="C24" i="1"/>
  <c r="B25" i="1"/>
  <c r="E25" i="1" s="1"/>
  <c r="C25" i="1"/>
  <c r="B26" i="1"/>
  <c r="C26" i="1"/>
  <c r="E26" i="1" s="1"/>
  <c r="B27" i="1"/>
  <c r="C27" i="1"/>
  <c r="J26" i="2" s="1"/>
  <c r="B28" i="1"/>
  <c r="C28" i="1"/>
  <c r="J27" i="2" s="1"/>
  <c r="B29" i="1"/>
  <c r="D29" i="1" s="1"/>
  <c r="C29" i="1"/>
  <c r="B30" i="1"/>
  <c r="D30" i="1" s="1"/>
  <c r="C30" i="1"/>
  <c r="B31" i="1"/>
  <c r="E31" i="1" s="1"/>
  <c r="C31" i="1"/>
  <c r="B32" i="1"/>
  <c r="E32" i="1" s="1"/>
  <c r="C32" i="1"/>
  <c r="B33" i="1"/>
  <c r="C33" i="1"/>
  <c r="E33" i="1"/>
  <c r="B34" i="1"/>
  <c r="A33" i="2" s="1"/>
  <c r="C34" i="1"/>
  <c r="E34" i="1" s="1"/>
  <c r="B35" i="1"/>
  <c r="C35" i="1"/>
  <c r="J34" i="2" s="1"/>
  <c r="B37" i="1"/>
  <c r="E37" i="1" s="1"/>
  <c r="C37" i="1"/>
  <c r="B38" i="1"/>
  <c r="D38" i="1" s="1"/>
  <c r="C38" i="1"/>
  <c r="B39" i="1"/>
  <c r="D39" i="1" s="1"/>
  <c r="C39" i="1"/>
  <c r="B10" i="1"/>
  <c r="C10" i="1"/>
  <c r="D10" i="1" s="1"/>
  <c r="O11" i="1"/>
  <c r="N11" i="1"/>
  <c r="O12" i="1"/>
  <c r="O13" i="1"/>
  <c r="Q13" i="1" s="1"/>
  <c r="O14" i="1"/>
  <c r="Q14" i="1" s="1"/>
  <c r="O15" i="1"/>
  <c r="O16" i="1"/>
  <c r="O17" i="1"/>
  <c r="Q17" i="1" s="1"/>
  <c r="O18" i="1"/>
  <c r="N18" i="1"/>
  <c r="I17" i="2" s="1"/>
  <c r="O19" i="1"/>
  <c r="Q19" i="1" s="1"/>
  <c r="N19" i="1"/>
  <c r="O20" i="1"/>
  <c r="N20" i="1"/>
  <c r="O21" i="1"/>
  <c r="N21" i="1"/>
  <c r="I20" i="2" s="1"/>
  <c r="O22" i="1"/>
  <c r="N22" i="1"/>
  <c r="I21" i="2" s="1"/>
  <c r="Q22" i="1"/>
  <c r="O23" i="1"/>
  <c r="N23" i="1"/>
  <c r="O24" i="1"/>
  <c r="N24" i="1"/>
  <c r="O25" i="1"/>
  <c r="N25" i="1"/>
  <c r="I24" i="2" s="1"/>
  <c r="O26" i="1"/>
  <c r="N26" i="1"/>
  <c r="O27" i="1"/>
  <c r="N27" i="1"/>
  <c r="I26" i="2" s="1"/>
  <c r="O28" i="1"/>
  <c r="N28" i="1"/>
  <c r="P28" i="1" s="1"/>
  <c r="O29" i="1"/>
  <c r="N29" i="1"/>
  <c r="O30" i="1"/>
  <c r="N30" i="1"/>
  <c r="I29" i="2" s="1"/>
  <c r="O31" i="1"/>
  <c r="N31" i="1"/>
  <c r="O32" i="1"/>
  <c r="N32" i="1"/>
  <c r="I31" i="2" s="1"/>
  <c r="O33" i="1"/>
  <c r="N33" i="1"/>
  <c r="O34" i="1"/>
  <c r="Q34" i="1" s="1"/>
  <c r="N34" i="1"/>
  <c r="O35" i="1"/>
  <c r="N35" i="1"/>
  <c r="I34" i="2" s="1"/>
  <c r="O36" i="1"/>
  <c r="N36" i="1"/>
  <c r="I35" i="2" s="1"/>
  <c r="O37" i="1"/>
  <c r="N37" i="1"/>
  <c r="I36" i="2" s="1"/>
  <c r="O38" i="1"/>
  <c r="Q38" i="1" s="1"/>
  <c r="N38" i="1"/>
  <c r="O39" i="1"/>
  <c r="N39" i="1"/>
  <c r="O40" i="1"/>
  <c r="N40" i="1"/>
  <c r="P40" i="1" s="1"/>
  <c r="O10" i="1"/>
  <c r="N10" i="1"/>
  <c r="Q10" i="1" s="1"/>
  <c r="M11" i="1"/>
  <c r="P12" i="1"/>
  <c r="P17" i="1"/>
  <c r="M18" i="1"/>
  <c r="H17" i="2" s="1"/>
  <c r="P18" i="1"/>
  <c r="M19" i="1"/>
  <c r="M20" i="1"/>
  <c r="H19" i="2" s="1"/>
  <c r="M21" i="1"/>
  <c r="H20" i="2" s="1"/>
  <c r="M22" i="1"/>
  <c r="M23" i="1"/>
  <c r="M24" i="1"/>
  <c r="M25" i="1"/>
  <c r="H24" i="2" s="1"/>
  <c r="M26" i="1"/>
  <c r="M27" i="1"/>
  <c r="M28" i="1"/>
  <c r="M29" i="1"/>
  <c r="H28" i="2" s="1"/>
  <c r="M30" i="1"/>
  <c r="H29" i="2" s="1"/>
  <c r="M31" i="1"/>
  <c r="P31" i="1" s="1"/>
  <c r="M32" i="1"/>
  <c r="H31" i="2" s="1"/>
  <c r="M33" i="1"/>
  <c r="H32" i="2" s="1"/>
  <c r="M34" i="1"/>
  <c r="H33" i="2" s="1"/>
  <c r="M35" i="1"/>
  <c r="M36" i="1"/>
  <c r="M37" i="1"/>
  <c r="H36" i="2" s="1"/>
  <c r="M38" i="1"/>
  <c r="H37" i="2" s="1"/>
  <c r="M39" i="1"/>
  <c r="P39" i="1" s="1"/>
  <c r="M40" i="1"/>
  <c r="M10" i="1"/>
  <c r="I10" i="2"/>
  <c r="H10" i="2"/>
  <c r="G20" i="9"/>
  <c r="B20" i="9"/>
  <c r="G15" i="9"/>
  <c r="G16" i="9"/>
  <c r="H17" i="9"/>
  <c r="G17" i="9"/>
  <c r="C17" i="9"/>
  <c r="B17" i="9"/>
  <c r="B15" i="9"/>
  <c r="L11" i="1"/>
  <c r="K11" i="1"/>
  <c r="J11" i="1"/>
  <c r="I11" i="1"/>
  <c r="H11" i="1"/>
  <c r="G11" i="1"/>
  <c r="F11" i="1" s="1"/>
  <c r="L10" i="1"/>
  <c r="K10" i="1"/>
  <c r="J10" i="1"/>
  <c r="I10" i="1"/>
  <c r="H10" i="1"/>
  <c r="G10" i="1"/>
  <c r="F10" i="1" s="1"/>
  <c r="H13" i="9"/>
  <c r="H12" i="9"/>
  <c r="H11" i="9"/>
  <c r="G13" i="9"/>
  <c r="G12" i="9"/>
  <c r="G11" i="9"/>
  <c r="B16" i="9"/>
  <c r="C13" i="9"/>
  <c r="B13" i="9"/>
  <c r="C12" i="9"/>
  <c r="C11" i="9"/>
  <c r="B12" i="9"/>
  <c r="B11" i="9"/>
  <c r="F15" i="1"/>
  <c r="F14" i="1"/>
  <c r="F13" i="1"/>
  <c r="F12" i="1"/>
  <c r="G18" i="1"/>
  <c r="B17" i="2" s="1"/>
  <c r="H18" i="1"/>
  <c r="C17" i="2" s="1"/>
  <c r="I18" i="1"/>
  <c r="D17" i="2" s="1"/>
  <c r="J18" i="1"/>
  <c r="E17" i="2"/>
  <c r="K18" i="1"/>
  <c r="F17" i="2" s="1"/>
  <c r="L18" i="1"/>
  <c r="G17" i="2" s="1"/>
  <c r="G19" i="1"/>
  <c r="B18" i="2"/>
  <c r="H19" i="1"/>
  <c r="C18" i="2" s="1"/>
  <c r="I19" i="1"/>
  <c r="D18" i="2"/>
  <c r="J19" i="1"/>
  <c r="E18" i="2" s="1"/>
  <c r="K19" i="1"/>
  <c r="F18" i="2" s="1"/>
  <c r="L19" i="1"/>
  <c r="G18" i="2" s="1"/>
  <c r="I18" i="2"/>
  <c r="G20" i="1"/>
  <c r="B19" i="2" s="1"/>
  <c r="H20" i="1"/>
  <c r="C19" i="2" s="1"/>
  <c r="I20" i="1"/>
  <c r="D19" i="2" s="1"/>
  <c r="J20" i="1"/>
  <c r="E19" i="2" s="1"/>
  <c r="K20" i="1"/>
  <c r="F19" i="2" s="1"/>
  <c r="L20" i="1"/>
  <c r="G19" i="2"/>
  <c r="I19" i="2"/>
  <c r="G21" i="1"/>
  <c r="B20" i="2" s="1"/>
  <c r="H21" i="1"/>
  <c r="C20" i="2" s="1"/>
  <c r="I21" i="1"/>
  <c r="D20" i="2"/>
  <c r="J21" i="1"/>
  <c r="E20" i="2" s="1"/>
  <c r="K21" i="1"/>
  <c r="F20" i="2"/>
  <c r="L21" i="1"/>
  <c r="G20" i="2" s="1"/>
  <c r="G22" i="1"/>
  <c r="B21" i="2" s="1"/>
  <c r="H22" i="1"/>
  <c r="C21" i="2" s="1"/>
  <c r="I22" i="1"/>
  <c r="D21" i="2" s="1"/>
  <c r="J22" i="1"/>
  <c r="E21" i="2" s="1"/>
  <c r="K22" i="1"/>
  <c r="F21" i="2" s="1"/>
  <c r="L22" i="1"/>
  <c r="G21" i="2" s="1"/>
  <c r="H21" i="2"/>
  <c r="G23" i="1"/>
  <c r="F23" i="1" s="1"/>
  <c r="B22" i="2"/>
  <c r="H23" i="1"/>
  <c r="C22" i="2" s="1"/>
  <c r="I23" i="1"/>
  <c r="D22" i="2" s="1"/>
  <c r="J23" i="1"/>
  <c r="E22" i="2" s="1"/>
  <c r="K23" i="1"/>
  <c r="F22" i="2" s="1"/>
  <c r="L23" i="1"/>
  <c r="G22" i="2" s="1"/>
  <c r="I22" i="2"/>
  <c r="G24" i="1"/>
  <c r="B23" i="2" s="1"/>
  <c r="H24" i="1"/>
  <c r="C23" i="2" s="1"/>
  <c r="I24" i="1"/>
  <c r="D23" i="2" s="1"/>
  <c r="J24" i="1"/>
  <c r="E23" i="2" s="1"/>
  <c r="K24" i="1"/>
  <c r="F23" i="2" s="1"/>
  <c r="L24" i="1"/>
  <c r="G23" i="2" s="1"/>
  <c r="H23" i="2"/>
  <c r="I23" i="2"/>
  <c r="G25" i="1"/>
  <c r="F25" i="1" s="1"/>
  <c r="B24" i="2"/>
  <c r="H25" i="1"/>
  <c r="C24" i="2" s="1"/>
  <c r="I25" i="1"/>
  <c r="D24" i="2" s="1"/>
  <c r="J25" i="1"/>
  <c r="E24" i="2" s="1"/>
  <c r="K25" i="1"/>
  <c r="F24" i="2" s="1"/>
  <c r="L25" i="1"/>
  <c r="G24" i="2" s="1"/>
  <c r="G26" i="1"/>
  <c r="B25" i="2" s="1"/>
  <c r="H26" i="1"/>
  <c r="C25" i="2" s="1"/>
  <c r="I26" i="1"/>
  <c r="D25" i="2" s="1"/>
  <c r="J26" i="1"/>
  <c r="E25" i="2"/>
  <c r="K26" i="1"/>
  <c r="F25" i="2" s="1"/>
  <c r="L26" i="1"/>
  <c r="G25" i="2"/>
  <c r="H25" i="2"/>
  <c r="G27" i="1"/>
  <c r="B26" i="2" s="1"/>
  <c r="H27" i="1"/>
  <c r="C26" i="2" s="1"/>
  <c r="I27" i="1"/>
  <c r="D26" i="2"/>
  <c r="J27" i="1"/>
  <c r="E26" i="2" s="1"/>
  <c r="K27" i="1"/>
  <c r="F26" i="2"/>
  <c r="L27" i="1"/>
  <c r="G26" i="2" s="1"/>
  <c r="G28" i="1"/>
  <c r="B27" i="2" s="1"/>
  <c r="H28" i="1"/>
  <c r="C27" i="2"/>
  <c r="I28" i="1"/>
  <c r="D27" i="2" s="1"/>
  <c r="J28" i="1"/>
  <c r="E27" i="2"/>
  <c r="K28" i="1"/>
  <c r="F27" i="2" s="1"/>
  <c r="L28" i="1"/>
  <c r="G27" i="2"/>
  <c r="H27" i="2"/>
  <c r="G29" i="1"/>
  <c r="B28" i="2" s="1"/>
  <c r="H29" i="1"/>
  <c r="C28" i="2" s="1"/>
  <c r="I29" i="1"/>
  <c r="D28" i="2" s="1"/>
  <c r="J29" i="1"/>
  <c r="E28" i="2" s="1"/>
  <c r="K29" i="1"/>
  <c r="F28" i="2"/>
  <c r="L29" i="1"/>
  <c r="G28" i="2" s="1"/>
  <c r="G30" i="1"/>
  <c r="B29" i="2" s="1"/>
  <c r="H30" i="1"/>
  <c r="C29" i="2"/>
  <c r="I30" i="1"/>
  <c r="D29" i="2" s="1"/>
  <c r="J30" i="1"/>
  <c r="E29" i="2" s="1"/>
  <c r="K30" i="1"/>
  <c r="F29" i="2" s="1"/>
  <c r="L30" i="1"/>
  <c r="G29" i="2" s="1"/>
  <c r="G31" i="1"/>
  <c r="B30" i="2" s="1"/>
  <c r="H31" i="1"/>
  <c r="C30" i="2" s="1"/>
  <c r="I31" i="1"/>
  <c r="D30" i="2" s="1"/>
  <c r="J31" i="1"/>
  <c r="E30" i="2" s="1"/>
  <c r="K31" i="1"/>
  <c r="F30" i="2"/>
  <c r="L31" i="1"/>
  <c r="G30" i="2" s="1"/>
  <c r="I30" i="2"/>
  <c r="G32" i="1"/>
  <c r="B31" i="2" s="1"/>
  <c r="H32" i="1"/>
  <c r="C31" i="2" s="1"/>
  <c r="I32" i="1"/>
  <c r="D31" i="2" s="1"/>
  <c r="J32" i="1"/>
  <c r="E31" i="2"/>
  <c r="K32" i="1"/>
  <c r="F31" i="2" s="1"/>
  <c r="L32" i="1"/>
  <c r="G31" i="2" s="1"/>
  <c r="G33" i="1"/>
  <c r="B32" i="2"/>
  <c r="H33" i="1"/>
  <c r="C32" i="2" s="1"/>
  <c r="I33" i="1"/>
  <c r="D32" i="2"/>
  <c r="J33" i="1"/>
  <c r="E32" i="2" s="1"/>
  <c r="K33" i="1"/>
  <c r="F32" i="2"/>
  <c r="L33" i="1"/>
  <c r="G32" i="2" s="1"/>
  <c r="G34" i="1"/>
  <c r="B33" i="2" s="1"/>
  <c r="H34" i="1"/>
  <c r="C33" i="2"/>
  <c r="I34" i="1"/>
  <c r="D33" i="2" s="1"/>
  <c r="J34" i="1"/>
  <c r="E33" i="2"/>
  <c r="K34" i="1"/>
  <c r="F33" i="2" s="1"/>
  <c r="L34" i="1"/>
  <c r="G33" i="2"/>
  <c r="I33" i="2"/>
  <c r="G35" i="1"/>
  <c r="F35" i="1" s="1"/>
  <c r="B34" i="2"/>
  <c r="H35" i="1"/>
  <c r="C34" i="2" s="1"/>
  <c r="I35" i="1"/>
  <c r="D34" i="2" s="1"/>
  <c r="J35" i="1"/>
  <c r="E34" i="2" s="1"/>
  <c r="K35" i="1"/>
  <c r="F34" i="2"/>
  <c r="L35" i="1"/>
  <c r="G34" i="2" s="1"/>
  <c r="G36" i="1"/>
  <c r="B35" i="2" s="1"/>
  <c r="H36" i="1"/>
  <c r="C35" i="2" s="1"/>
  <c r="I36" i="1"/>
  <c r="D35" i="2" s="1"/>
  <c r="J36" i="1"/>
  <c r="E35" i="2"/>
  <c r="K36" i="1"/>
  <c r="F35" i="2" s="1"/>
  <c r="L36" i="1"/>
  <c r="G35" i="2"/>
  <c r="H35" i="2"/>
  <c r="G37" i="1"/>
  <c r="B36" i="2" s="1"/>
  <c r="H37" i="1"/>
  <c r="C36" i="2" s="1"/>
  <c r="I37" i="1"/>
  <c r="D36" i="2"/>
  <c r="J37" i="1"/>
  <c r="E36" i="2" s="1"/>
  <c r="K37" i="1"/>
  <c r="F36" i="2" s="1"/>
  <c r="L37" i="1"/>
  <c r="G36" i="2"/>
  <c r="G38" i="1"/>
  <c r="B37" i="2" s="1"/>
  <c r="H38" i="1"/>
  <c r="C37" i="2" s="1"/>
  <c r="I38" i="1"/>
  <c r="D37" i="2" s="1"/>
  <c r="J38" i="1"/>
  <c r="E37" i="2" s="1"/>
  <c r="K38" i="1"/>
  <c r="F37" i="2" s="1"/>
  <c r="L38" i="1"/>
  <c r="G37" i="2"/>
  <c r="I37" i="2"/>
  <c r="G39" i="1"/>
  <c r="B38" i="2" s="1"/>
  <c r="H39" i="1"/>
  <c r="C38" i="2" s="1"/>
  <c r="I39" i="1"/>
  <c r="D38" i="2" s="1"/>
  <c r="J39" i="1"/>
  <c r="E38" i="2" s="1"/>
  <c r="K39" i="1"/>
  <c r="F38" i="2" s="1"/>
  <c r="L39" i="1"/>
  <c r="G38" i="2" s="1"/>
  <c r="I38" i="2"/>
  <c r="G40" i="1"/>
  <c r="F40" i="1" s="1"/>
  <c r="B39" i="2"/>
  <c r="H40" i="1"/>
  <c r="C39" i="2"/>
  <c r="I40" i="1"/>
  <c r="D39" i="2" s="1"/>
  <c r="J40" i="1"/>
  <c r="E39" i="2" s="1"/>
  <c r="K40" i="1"/>
  <c r="F39" i="2"/>
  <c r="L40" i="1"/>
  <c r="G39" i="2"/>
  <c r="H39" i="2"/>
  <c r="J17" i="2"/>
  <c r="J18" i="2"/>
  <c r="J19" i="2"/>
  <c r="J22" i="2"/>
  <c r="J23" i="2"/>
  <c r="J24" i="2"/>
  <c r="J28" i="2"/>
  <c r="J29" i="2"/>
  <c r="J30" i="2"/>
  <c r="J31" i="2"/>
  <c r="J32" i="2"/>
  <c r="J35" i="2"/>
  <c r="J36" i="2"/>
  <c r="J37" i="2"/>
  <c r="J38" i="2"/>
  <c r="A17" i="2"/>
  <c r="A18" i="2"/>
  <c r="A19" i="2"/>
  <c r="A22" i="2"/>
  <c r="A24" i="2"/>
  <c r="A25" i="2"/>
  <c r="A29" i="2"/>
  <c r="A31" i="2"/>
  <c r="A32" i="2"/>
  <c r="A36" i="2"/>
  <c r="A37" i="2"/>
  <c r="A38" i="2"/>
  <c r="A39" i="2"/>
  <c r="D6" i="1"/>
  <c r="D5" i="1"/>
  <c r="F19" i="1"/>
  <c r="F20" i="1"/>
  <c r="F22" i="1"/>
  <c r="F26" i="1"/>
  <c r="F27" i="1"/>
  <c r="F29" i="1"/>
  <c r="F30" i="1"/>
  <c r="F31" i="1"/>
  <c r="F32" i="1"/>
  <c r="F33" i="1"/>
  <c r="F34" i="1"/>
  <c r="F37" i="1"/>
  <c r="F39" i="1"/>
  <c r="F16" i="1"/>
  <c r="E35" i="1" l="1"/>
  <c r="P16" i="1"/>
  <c r="P20" i="1"/>
  <c r="E20" i="1"/>
  <c r="F24" i="1"/>
  <c r="E39" i="1"/>
  <c r="E19" i="1"/>
  <c r="P27" i="1"/>
  <c r="P34" i="1"/>
  <c r="Q26" i="1"/>
  <c r="E18" i="1"/>
  <c r="E28" i="1"/>
  <c r="D22" i="1"/>
  <c r="F21" i="1"/>
  <c r="A27" i="2"/>
  <c r="Q33" i="1"/>
  <c r="Q18" i="1"/>
  <c r="E24" i="1"/>
  <c r="E17" i="1"/>
  <c r="D21" i="1"/>
  <c r="I27" i="2"/>
  <c r="E38" i="1"/>
  <c r="E15" i="1"/>
  <c r="Q30" i="1"/>
  <c r="E27" i="1"/>
  <c r="P32" i="1"/>
  <c r="Q16" i="1"/>
  <c r="D31" i="1"/>
  <c r="F18" i="1"/>
  <c r="P22" i="1"/>
  <c r="Q24" i="1"/>
  <c r="D11" i="1"/>
  <c r="P30" i="1"/>
  <c r="Q15" i="1"/>
  <c r="E12" i="1"/>
  <c r="Q36" i="1"/>
  <c r="D17" i="1"/>
  <c r="A21" i="2"/>
  <c r="P35" i="1"/>
  <c r="P38" i="1"/>
  <c r="Q31" i="1"/>
  <c r="D37" i="1"/>
  <c r="D23" i="1"/>
  <c r="D36" i="1"/>
  <c r="F38" i="1"/>
  <c r="A20" i="2"/>
  <c r="Q40" i="1"/>
  <c r="P36" i="1"/>
  <c r="Q29" i="1"/>
  <c r="D34" i="1"/>
  <c r="D26" i="1"/>
  <c r="D18" i="1"/>
  <c r="E11" i="1"/>
  <c r="P14" i="1"/>
  <c r="Q12" i="1"/>
  <c r="F28" i="1"/>
  <c r="J33" i="2"/>
  <c r="J25" i="2"/>
  <c r="I25" i="2"/>
  <c r="P26" i="1"/>
  <c r="P13" i="1"/>
  <c r="Q39" i="1"/>
  <c r="Q32" i="1"/>
  <c r="E30" i="1"/>
  <c r="D28" i="1"/>
  <c r="E22" i="1"/>
  <c r="D20" i="1"/>
  <c r="A28" i="2"/>
  <c r="F36" i="1"/>
  <c r="I32" i="2"/>
  <c r="I39" i="2"/>
  <c r="P19" i="1"/>
  <c r="Q35" i="1"/>
  <c r="Q28" i="1"/>
  <c r="P24" i="1"/>
  <c r="P11" i="1"/>
  <c r="D33" i="1"/>
  <c r="D25" i="1"/>
  <c r="D16" i="1"/>
  <c r="E40" i="1"/>
  <c r="Q27" i="1"/>
  <c r="Q20" i="1"/>
  <c r="D35" i="1"/>
  <c r="E29" i="1"/>
  <c r="D27" i="1"/>
  <c r="E21" i="1"/>
  <c r="D19" i="1"/>
  <c r="E13" i="1"/>
  <c r="P23" i="1"/>
  <c r="Q37" i="1"/>
  <c r="Q23" i="1"/>
  <c r="E10" i="1"/>
  <c r="D32" i="1"/>
  <c r="D24" i="1"/>
  <c r="D13" i="1"/>
  <c r="I28" i="2"/>
  <c r="A34" i="2"/>
  <c r="A30" i="2"/>
  <c r="A26" i="2"/>
  <c r="H38" i="2"/>
  <c r="H34" i="2"/>
  <c r="H30" i="2"/>
  <c r="H26" i="2"/>
  <c r="H22" i="2"/>
  <c r="H18" i="2"/>
  <c r="D40" i="1"/>
  <c r="E16" i="1"/>
  <c r="D14" i="1"/>
  <c r="D12" i="1"/>
  <c r="E14" i="1"/>
  <c r="A11" i="2"/>
  <c r="I11" i="2"/>
  <c r="A14" i="2"/>
  <c r="P10" i="1"/>
  <c r="P37" i="1"/>
  <c r="P33" i="1"/>
  <c r="P29" i="1"/>
  <c r="P25" i="1"/>
  <c r="P21" i="1"/>
  <c r="Q25" i="1"/>
  <c r="Q21" i="1"/>
  <c r="Q11" i="1"/>
  <c r="E36" i="1"/>
</calcChain>
</file>

<file path=xl/sharedStrings.xml><?xml version="1.0" encoding="utf-8"?>
<sst xmlns="http://schemas.openxmlformats.org/spreadsheetml/2006/main" count="169" uniqueCount="101">
  <si>
    <t>Men: Ideal Body Weight (kilograms) = 56.2kg + 1.41kg for each inch over 5 feet</t>
  </si>
  <si>
    <t>Men: Ideal Body Weight (lbs) = 123.64 + 3.10lbs for each inch over 5 feet</t>
  </si>
  <si>
    <t>Women:Ideal Body Weight (lbs) = 116.82 + 2.99lbs for each inch over 5 feet</t>
  </si>
  <si>
    <t>Men (kg): Ideal Body Weight (kilograms) = 52kg + 1.9kg for each inch over 5 feet</t>
  </si>
  <si>
    <t>Women (kg): Ideal Body Weight (kilograms) = 49kg + 1.7kg for each inch over 5 feet</t>
  </si>
  <si>
    <t>Height</t>
  </si>
  <si>
    <t>Male</t>
  </si>
  <si>
    <t>Female</t>
  </si>
  <si>
    <t>http://www.halls.md/ideal-weight/met.htm</t>
  </si>
  <si>
    <t>http://www.wellness.com/reference/fitness/ideal-body-weight/</t>
  </si>
  <si>
    <t>Underweight</t>
  </si>
  <si>
    <t>Normal</t>
  </si>
  <si>
    <t>Overweight</t>
  </si>
  <si>
    <t>Obese</t>
  </si>
  <si>
    <t>Inches</t>
  </si>
  <si>
    <t>BMI 18.5</t>
  </si>
  <si>
    <t>BMI 25</t>
  </si>
  <si>
    <t>Devine Formula</t>
  </si>
  <si>
    <t>Ideal Weight Chart</t>
  </si>
  <si>
    <t>Robinson Formula</t>
  </si>
  <si>
    <t>Men: Ideal Body Weight (kilograms) = 50 + 2.3kg per inch over 5 feet</t>
  </si>
  <si>
    <t>Women: Ideal Body Weight (kilograms) = 45.5 + 2.3kg per inch over 5 feet</t>
  </si>
  <si>
    <t>Men: Ideal Body Weight (lbs) = 110 + 5.06lbs per inch over 5 feet</t>
  </si>
  <si>
    <t>Women: Ideal Body Weight (lbs) = 100.1 + 5.06lbs per inch over 5 feet</t>
  </si>
  <si>
    <t>Men (lb): Ideal Body Weight (pounds) = 114.4 + 4.18lbs for each inch over 5 feet</t>
  </si>
  <si>
    <t>Women (lb): Ideal Body Weight (kilograms) = 107.8lb + 3.74lbs for each inch over 5 feet</t>
  </si>
  <si>
    <t>Miller Formula</t>
  </si>
  <si>
    <t>Women:Ideal Body Weight (kilograms) = 53.1kg + 1.36kg for each inch over 5 feet</t>
  </si>
  <si>
    <t>by Vertex42.com</t>
  </si>
  <si>
    <t>Label</t>
  </si>
  <si>
    <t>Meters</t>
  </si>
  <si>
    <t>kg</t>
  </si>
  <si>
    <t>lbs</t>
  </si>
  <si>
    <t>=</t>
  </si>
  <si>
    <t xml:space="preserve">= </t>
  </si>
  <si>
    <t>BMI Range</t>
  </si>
  <si>
    <t>http://www.cdc.gov/healthyweight/assessing/bmi/adult_bmi/index.html</t>
  </si>
  <si>
    <t>http://www.halls.md/ideal-weight/body.htm</t>
  </si>
  <si>
    <t>Ideal Weight Chart Calculations</t>
  </si>
  <si>
    <t>© 2009 Vertex42 LLC</t>
  </si>
  <si>
    <t>inches</t>
  </si>
  <si>
    <t>meters</t>
  </si>
  <si>
    <t>W = (BMI*H^2)/703, W in pounds, H in inches</t>
  </si>
  <si>
    <t>BMI Range 18.5 to 25</t>
  </si>
  <si>
    <t>References</t>
  </si>
  <si>
    <t>Weights in lbs (kg)</t>
  </si>
  <si>
    <t>feet</t>
  </si>
  <si>
    <t>Below 18.5</t>
  </si>
  <si>
    <t>18.5 -24.9</t>
  </si>
  <si>
    <t>25 - 29.9</t>
  </si>
  <si>
    <t>30 &amp; Above</t>
  </si>
  <si>
    <t>BMI Formula</t>
  </si>
  <si>
    <t>Ideal Weight Calculator</t>
  </si>
  <si>
    <t>Devine</t>
  </si>
  <si>
    <t>Robinson</t>
  </si>
  <si>
    <t>Miller</t>
  </si>
  <si>
    <t>Women: W[lb] = 107.8 + 3.74*(H[in]-60)</t>
  </si>
  <si>
    <t>Men: W[lb] = 114.4 + 4.18*(H[in]-60)</t>
  </si>
  <si>
    <t>Men: W[lb] = 110 + 5.06*(H[in]-60)</t>
  </si>
  <si>
    <t>Women: W[lb] = 100.1 + 5.06*(H[in]-60)</t>
  </si>
  <si>
    <t>Status</t>
  </si>
  <si>
    <t>Men: W[lb] = 123.64 + 3.10*(H[in]-60)</t>
  </si>
  <si>
    <t>Women: W[lb] = 116.82 + 2.99*(H[in]-60)</t>
  </si>
  <si>
    <t>BMI 19</t>
  </si>
  <si>
    <t>Note: Height measured without shoes on. This table does not apply to children. Use only as a guide.</t>
  </si>
  <si>
    <t>Men</t>
  </si>
  <si>
    <t>Women</t>
  </si>
  <si>
    <t>Weight Conversion</t>
  </si>
  <si>
    <t>http://www.halls.md/body-mass-index/bmirefs.htm</t>
  </si>
  <si>
    <t>&lt; 19.1</t>
  </si>
  <si>
    <t>19.1 - 25.8</t>
  </si>
  <si>
    <t>25.8 - 27.3</t>
  </si>
  <si>
    <t>27.3 - 32.3</t>
  </si>
  <si>
    <t>&gt; 32.3</t>
  </si>
  <si>
    <t>&lt; 20.7</t>
  </si>
  <si>
    <t>20.7 - 26.4</t>
  </si>
  <si>
    <t>26.4 - 27.8</t>
  </si>
  <si>
    <t>27.8 - 31.1</t>
  </si>
  <si>
    <t>&gt; 31.1</t>
  </si>
  <si>
    <t>Marginally overweight</t>
  </si>
  <si>
    <t>W[lb] = (BMI*H[in]^2)/703</t>
  </si>
  <si>
    <r>
      <t xml:space="preserve">BMI </t>
    </r>
    <r>
      <rPr>
        <sz val="9"/>
        <color indexed="18"/>
        <rFont val="Tahoma"/>
        <family val="2"/>
      </rPr>
      <t>26.4|</t>
    </r>
    <r>
      <rPr>
        <sz val="9"/>
        <color indexed="16"/>
        <rFont val="Tahoma"/>
        <family val="2"/>
      </rPr>
      <t>25.8</t>
    </r>
  </si>
  <si>
    <t>CDC Definitions for BMI (Body Mass Index)</t>
  </si>
  <si>
    <t>NHANES II Definitions for BMI (Body Mass Index)</t>
  </si>
  <si>
    <t>Target BMI</t>
  </si>
  <si>
    <t>BMI 30</t>
  </si>
  <si>
    <t>For area chart</t>
  </si>
  <si>
    <t>Over</t>
  </si>
  <si>
    <t>Body Mass Index</t>
  </si>
  <si>
    <t>[42]</t>
  </si>
  <si>
    <t>This calculator uses some of the most common formulas for "ideal weight", most of which are based on just height and gender. For information and more advanced calculators that include other factors, see www.halls.md. This calculator should only be used as a general guide and does not apply to children.</t>
  </si>
  <si>
    <t>Note: This calculator does not account for age, frame size, etc. and does not apply to children.</t>
  </si>
  <si>
    <t>Ideal Weight Table</t>
  </si>
  <si>
    <t>The three most popular formulas for calculating ideal weight are the Devine, Robinson and Miller formulas. These formulas are primarily used for calculating medication dosages, and they are based only on height and gender. The table below shows the ideal weight calculated using these formulas as well as the weight associated with the Body Mass Index (BMI) ranging between 18.5 and 25, which is considered the "normal" range. This table should only be used as a general guide, and does not apply to children.</t>
  </si>
  <si>
    <t>Major</t>
  </si>
  <si>
    <t>Minor</t>
  </si>
  <si>
    <t>Vertical Gridlines</t>
  </si>
  <si>
    <t>Horizontal Gridlines</t>
  </si>
  <si>
    <t>Major(F)</t>
  </si>
  <si>
    <t>Major(M)</t>
  </si>
  <si>
    <t>X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</si>
</sst>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31" x14ac:knownFonts="1">
    <font>
      <sz val="10"/>
      <name val="Arial"/>
      <family val="2"/>
    </font>
    <font>
      <b/>
      <sz val="10"/>
      <name val="Verdana"/>
      <family val="2"/>
    </font>
    <font>
      <sz val="10"/>
      <name val="Verdana"/>
      <family val="2"/>
    </font>
    <font>
      <sz val="12"/>
      <name val="Verdana"/>
      <family val="2"/>
    </font>
    <font>
      <sz val="10"/>
      <name val="Verdana"/>
      <family val="2"/>
    </font>
    <font>
      <sz val="8"/>
      <name val="Verdana"/>
      <family val="2"/>
    </font>
    <font>
      <sz val="12"/>
      <name val="Arial"/>
      <family val="2"/>
    </font>
    <font>
      <sz val="9"/>
      <name val="Verdana"/>
      <family val="2"/>
    </font>
    <font>
      <sz val="8"/>
      <name val="Arial"/>
      <family val="2"/>
    </font>
    <font>
      <sz val="8"/>
      <name val="Arial"/>
      <family val="2"/>
    </font>
    <font>
      <b/>
      <sz val="18"/>
      <name val="Arial"/>
      <family val="2"/>
    </font>
    <font>
      <sz val="18"/>
      <name val="Arial"/>
      <family val="2"/>
    </font>
    <font>
      <sz val="10"/>
      <color indexed="9"/>
      <name val="Arial"/>
      <family val="2"/>
    </font>
    <font>
      <u/>
      <sz val="10"/>
      <color indexed="12"/>
      <name val="Tahoma"/>
      <family val="2"/>
    </font>
    <font>
      <sz val="10"/>
      <name val="Arial"/>
      <family val="2"/>
    </font>
    <font>
      <b/>
      <sz val="10"/>
      <name val="Verdana"/>
      <family val="2"/>
    </font>
    <font>
      <b/>
      <sz val="10"/>
      <name val="Tahoma"/>
      <family val="2"/>
    </font>
    <font>
      <b/>
      <sz val="10"/>
      <color indexed="9"/>
      <name val="Tahoma"/>
      <family val="2"/>
    </font>
    <font>
      <sz val="10"/>
      <name val="Tahoma"/>
      <family val="2"/>
    </font>
    <font>
      <b/>
      <sz val="8"/>
      <name val="Tahoma"/>
      <family val="2"/>
    </font>
    <font>
      <sz val="8"/>
      <name val="Tahoma"/>
      <family val="2"/>
    </font>
    <font>
      <b/>
      <sz val="12"/>
      <name val="Tahoma"/>
      <family val="2"/>
    </font>
    <font>
      <sz val="12"/>
      <name val="Tahoma"/>
      <family val="2"/>
    </font>
    <font>
      <sz val="9"/>
      <name val="Tahoma"/>
      <family val="2"/>
    </font>
    <font>
      <u/>
      <sz val="8"/>
      <color indexed="12"/>
      <name val="Arial"/>
      <family val="2"/>
    </font>
    <font>
      <u/>
      <sz val="8"/>
      <color indexed="12"/>
      <name val="Tahoma"/>
      <family val="2"/>
    </font>
    <font>
      <sz val="9"/>
      <color indexed="16"/>
      <name val="Tahoma"/>
      <family val="2"/>
    </font>
    <font>
      <sz val="9"/>
      <color indexed="18"/>
      <name val="Tahoma"/>
      <family val="2"/>
    </font>
    <font>
      <b/>
      <sz val="10"/>
      <name val="Arial"/>
      <family val="2"/>
    </font>
    <font>
      <sz val="10"/>
      <color indexed="9"/>
      <name val="Tahoma"/>
      <family val="2"/>
    </font>
    <font>
      <u/>
      <sz val="10"/>
      <color indexed="12"/>
      <name val="Arial"/>
      <family val="2"/>
    </font>
  </fonts>
  <fills count="12">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5"/>
        <bgColor indexed="64"/>
      </patternFill>
    </fill>
    <fill>
      <patternFill patternType="solid">
        <fgColor indexed="9"/>
        <bgColor indexed="64"/>
      </patternFill>
    </fill>
    <fill>
      <patternFill patternType="solid">
        <fgColor indexed="42"/>
        <bgColor indexed="64"/>
      </patternFill>
    </fill>
    <fill>
      <patternFill patternType="solid">
        <fgColor indexed="51"/>
        <bgColor indexed="64"/>
      </patternFill>
    </fill>
    <fill>
      <patternFill patternType="solid">
        <fgColor indexed="60"/>
        <bgColor indexed="64"/>
      </patternFill>
    </fill>
    <fill>
      <patternFill patternType="solid">
        <fgColor indexed="16"/>
        <bgColor indexed="64"/>
      </patternFill>
    </fill>
    <fill>
      <patternFill patternType="solid">
        <fgColor indexed="17"/>
        <bgColor indexed="64"/>
      </patternFill>
    </fill>
    <fill>
      <patternFill patternType="solid">
        <fgColor indexed="44"/>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alignment vertical="top"/>
      <protection locked="0"/>
    </xf>
  </cellStyleXfs>
  <cellXfs count="129">
    <xf numFmtId="0" fontId="0" fillId="0" borderId="0" xfId="0"/>
    <xf numFmtId="0" fontId="1" fillId="0" borderId="0" xfId="0" applyFont="1"/>
    <xf numFmtId="0" fontId="7" fillId="0" borderId="0" xfId="0" applyFont="1"/>
    <xf numFmtId="0" fontId="0" fillId="0" borderId="0" xfId="0" applyBorder="1"/>
    <xf numFmtId="0" fontId="1" fillId="0" borderId="0"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xf numFmtId="0" fontId="3" fillId="0" borderId="0" xfId="0" applyFont="1" applyFill="1" applyBorder="1" applyAlignment="1">
      <alignment wrapText="1"/>
    </xf>
    <xf numFmtId="0" fontId="2" fillId="0" borderId="0" xfId="0" applyFont="1" applyFill="1" applyBorder="1" applyAlignment="1">
      <alignment horizontal="left" vertical="top" wrapText="1"/>
    </xf>
    <xf numFmtId="0" fontId="4" fillId="0" borderId="0" xfId="0" applyFont="1" applyFill="1" applyBorder="1"/>
    <xf numFmtId="0" fontId="0" fillId="0" borderId="0" xfId="0" applyFill="1" applyBorder="1" applyAlignment="1"/>
    <xf numFmtId="0" fontId="0" fillId="0" borderId="0" xfId="0" applyBorder="1" applyAlignment="1"/>
    <xf numFmtId="0" fontId="2" fillId="0" borderId="0" xfId="0" applyFont="1" applyFill="1" applyBorder="1" applyAlignment="1"/>
    <xf numFmtId="0" fontId="2" fillId="0" borderId="0" xfId="0" applyFont="1" applyBorder="1" applyAlignment="1"/>
    <xf numFmtId="0" fontId="1" fillId="0" borderId="0" xfId="0" applyFont="1" applyFill="1" applyBorder="1"/>
    <xf numFmtId="0" fontId="1" fillId="0" borderId="0" xfId="0" applyFont="1" applyBorder="1"/>
    <xf numFmtId="0" fontId="2" fillId="0" borderId="0" xfId="0" applyFont="1" applyFill="1" applyBorder="1"/>
    <xf numFmtId="0" fontId="0" fillId="0" borderId="0" xfId="0" applyFill="1" applyBorder="1" applyAlignment="1">
      <alignment horizontal="center"/>
    </xf>
    <xf numFmtId="0" fontId="1" fillId="0" borderId="0" xfId="0" applyFont="1" applyFill="1" applyBorder="1" applyAlignment="1">
      <alignment horizontal="left"/>
    </xf>
    <xf numFmtId="0" fontId="2" fillId="0" borderId="0" xfId="0" applyFont="1" applyFill="1" applyBorder="1" applyAlignment="1">
      <alignment horizontal="left"/>
    </xf>
    <xf numFmtId="0" fontId="0" fillId="0" borderId="0" xfId="0" applyBorder="1" applyAlignment="1">
      <alignment horizontal="center"/>
    </xf>
    <xf numFmtId="0" fontId="14" fillId="0" borderId="0" xfId="0" applyFont="1" applyProtection="1"/>
    <xf numFmtId="0" fontId="9" fillId="0" borderId="0" xfId="0" applyFont="1" applyFill="1" applyBorder="1" applyAlignment="1">
      <alignment horizontal="right"/>
    </xf>
    <xf numFmtId="0" fontId="10" fillId="2" borderId="1" xfId="0" applyFont="1" applyFill="1" applyBorder="1" applyAlignment="1" applyProtection="1">
      <alignment vertical="center"/>
    </xf>
    <xf numFmtId="0" fontId="11" fillId="2" borderId="1" xfId="0" applyFont="1" applyFill="1" applyBorder="1" applyProtection="1"/>
    <xf numFmtId="0" fontId="12" fillId="2" borderId="1" xfId="0" applyFont="1" applyFill="1" applyBorder="1" applyProtection="1"/>
    <xf numFmtId="0" fontId="13" fillId="0" borderId="0" xfId="1" applyFont="1" applyAlignment="1" applyProtection="1">
      <alignment horizontal="left"/>
    </xf>
    <xf numFmtId="0" fontId="0" fillId="0" borderId="0" xfId="0" applyAlignment="1">
      <alignment horizontal="left"/>
    </xf>
    <xf numFmtId="164" fontId="0" fillId="0" borderId="0" xfId="0" applyNumberFormat="1" applyAlignment="1">
      <alignment horizontal="left"/>
    </xf>
    <xf numFmtId="165" fontId="0" fillId="0" borderId="0" xfId="0" applyNumberFormat="1" applyAlignment="1">
      <alignment horizontal="left"/>
    </xf>
    <xf numFmtId="2" fontId="0" fillId="0" borderId="0" xfId="0" applyNumberFormat="1" applyAlignment="1">
      <alignment horizontal="right"/>
    </xf>
    <xf numFmtId="0" fontId="0" fillId="0" borderId="2" xfId="0" applyBorder="1"/>
    <xf numFmtId="0" fontId="15" fillId="0" borderId="0" xfId="0" applyFont="1"/>
    <xf numFmtId="0" fontId="0" fillId="0" borderId="0" xfId="0" quotePrefix="1"/>
    <xf numFmtId="0" fontId="16" fillId="0" borderId="0" xfId="0" applyFont="1" applyFill="1" applyBorder="1" applyAlignment="1">
      <alignment horizontal="center"/>
    </xf>
    <xf numFmtId="0" fontId="18" fillId="0" borderId="1" xfId="0" applyFont="1" applyBorder="1" applyAlignment="1">
      <alignment horizontal="center"/>
    </xf>
    <xf numFmtId="0" fontId="16" fillId="0" borderId="1" xfId="0" applyFont="1" applyFill="1" applyBorder="1" applyAlignment="1">
      <alignment horizontal="left"/>
    </xf>
    <xf numFmtId="0" fontId="18" fillId="0" borderId="3" xfId="0" applyFont="1" applyFill="1" applyBorder="1" applyAlignment="1">
      <alignment horizontal="center"/>
    </xf>
    <xf numFmtId="1" fontId="20" fillId="3" borderId="3" xfId="0" applyNumberFormat="1" applyFont="1" applyFill="1" applyBorder="1" applyAlignment="1">
      <alignment horizontal="left"/>
    </xf>
    <xf numFmtId="1" fontId="20" fillId="4" borderId="3" xfId="0" applyNumberFormat="1" applyFont="1" applyFill="1" applyBorder="1" applyAlignment="1">
      <alignment horizontal="left"/>
    </xf>
    <xf numFmtId="1" fontId="20" fillId="2" borderId="3" xfId="0" applyNumberFormat="1" applyFont="1" applyFill="1" applyBorder="1" applyAlignment="1">
      <alignment horizontal="left"/>
    </xf>
    <xf numFmtId="2" fontId="18" fillId="0" borderId="3" xfId="0" applyNumberFormat="1" applyFont="1" applyFill="1" applyBorder="1" applyAlignment="1">
      <alignment horizontal="center"/>
    </xf>
    <xf numFmtId="0" fontId="16" fillId="0" borderId="3" xfId="0" applyFont="1" applyFill="1" applyBorder="1" applyAlignment="1">
      <alignment horizontal="center"/>
    </xf>
    <xf numFmtId="1" fontId="19" fillId="3" borderId="3" xfId="0" applyNumberFormat="1" applyFont="1" applyFill="1" applyBorder="1" applyAlignment="1">
      <alignment horizontal="left"/>
    </xf>
    <xf numFmtId="1" fontId="19" fillId="4" borderId="3" xfId="0" applyNumberFormat="1" applyFont="1" applyFill="1" applyBorder="1" applyAlignment="1">
      <alignment horizontal="left"/>
    </xf>
    <xf numFmtId="1" fontId="19" fillId="2" borderId="3" xfId="0" applyNumberFormat="1" applyFont="1" applyFill="1" applyBorder="1" applyAlignment="1">
      <alignment horizontal="left"/>
    </xf>
    <xf numFmtId="2" fontId="16" fillId="0" borderId="3" xfId="0" applyNumberFormat="1" applyFont="1" applyFill="1" applyBorder="1" applyAlignment="1">
      <alignment horizontal="center"/>
    </xf>
    <xf numFmtId="0" fontId="20" fillId="0" borderId="0" xfId="0" applyFont="1" applyFill="1" applyBorder="1"/>
    <xf numFmtId="0" fontId="18" fillId="0" borderId="0" xfId="0" applyFont="1" applyFill="1" applyBorder="1"/>
    <xf numFmtId="0" fontId="20" fillId="0" borderId="0" xfId="0" applyFont="1" applyFill="1" applyBorder="1" applyAlignment="1">
      <alignment horizontal="right"/>
    </xf>
    <xf numFmtId="0" fontId="18" fillId="0" borderId="0" xfId="0" applyFont="1"/>
    <xf numFmtId="0" fontId="18" fillId="0" borderId="0" xfId="0" applyFont="1" applyFill="1" applyBorder="1" applyAlignment="1">
      <alignment horizontal="center"/>
    </xf>
    <xf numFmtId="0" fontId="22" fillId="5" borderId="2" xfId="0" applyFont="1" applyFill="1" applyBorder="1" applyAlignment="1" applyProtection="1">
      <alignment horizontal="right"/>
      <protection locked="0"/>
    </xf>
    <xf numFmtId="0" fontId="22" fillId="5" borderId="4" xfId="0" applyFont="1" applyFill="1" applyBorder="1" applyAlignment="1" applyProtection="1">
      <alignment horizontal="right"/>
      <protection locked="0"/>
    </xf>
    <xf numFmtId="0" fontId="22" fillId="5" borderId="5" xfId="0" applyFont="1" applyFill="1" applyBorder="1" applyAlignment="1" applyProtection="1">
      <alignment horizontal="right"/>
      <protection locked="0"/>
    </xf>
    <xf numFmtId="0" fontId="0" fillId="0" borderId="0" xfId="0" applyProtection="1"/>
    <xf numFmtId="0" fontId="18" fillId="0" borderId="0" xfId="0" applyFont="1" applyFill="1" applyBorder="1" applyAlignment="1" applyProtection="1">
      <alignment vertical="top" wrapText="1"/>
    </xf>
    <xf numFmtId="0" fontId="18" fillId="0" borderId="0" xfId="0" applyFont="1" applyProtection="1"/>
    <xf numFmtId="0" fontId="22" fillId="2" borderId="6" xfId="0" applyFont="1" applyFill="1" applyBorder="1" applyProtection="1"/>
    <xf numFmtId="0" fontId="22" fillId="2" borderId="7" xfId="0" applyFont="1" applyFill="1" applyBorder="1" applyProtection="1"/>
    <xf numFmtId="0" fontId="22" fillId="2" borderId="8" xfId="0" applyFont="1" applyFill="1" applyBorder="1" applyProtection="1"/>
    <xf numFmtId="0" fontId="21" fillId="2" borderId="9" xfId="0" applyFont="1" applyFill="1" applyBorder="1" applyAlignment="1" applyProtection="1">
      <alignment horizontal="right"/>
    </xf>
    <xf numFmtId="0" fontId="22" fillId="2" borderId="0" xfId="0" applyFont="1" applyFill="1" applyBorder="1" applyProtection="1"/>
    <xf numFmtId="0" fontId="22" fillId="2" borderId="10" xfId="0" applyFont="1" applyFill="1" applyBorder="1" applyProtection="1"/>
    <xf numFmtId="0" fontId="22" fillId="2" borderId="9" xfId="0" applyFont="1" applyFill="1" applyBorder="1" applyProtection="1"/>
    <xf numFmtId="0" fontId="22" fillId="2" borderId="9" xfId="0" applyFont="1" applyFill="1" applyBorder="1" applyAlignment="1" applyProtection="1">
      <alignment horizontal="right"/>
    </xf>
    <xf numFmtId="0" fontId="22" fillId="2" borderId="0" xfId="0" applyFont="1" applyFill="1" applyBorder="1" applyAlignment="1" applyProtection="1">
      <alignment horizontal="right"/>
    </xf>
    <xf numFmtId="164" fontId="21" fillId="3" borderId="2" xfId="0" applyNumberFormat="1" applyFont="1" applyFill="1" applyBorder="1" applyAlignment="1" applyProtection="1">
      <alignment horizontal="right"/>
    </xf>
    <xf numFmtId="164" fontId="22" fillId="4" borderId="2" xfId="0" applyNumberFormat="1" applyFont="1" applyFill="1" applyBorder="1" applyAlignment="1" applyProtection="1">
      <alignment horizontal="right"/>
    </xf>
    <xf numFmtId="164" fontId="22" fillId="3" borderId="2" xfId="0" applyNumberFormat="1" applyFont="1" applyFill="1" applyBorder="1" applyAlignment="1" applyProtection="1">
      <alignment horizontal="right"/>
    </xf>
    <xf numFmtId="164" fontId="21" fillId="4" borderId="2" xfId="0" applyNumberFormat="1" applyFont="1" applyFill="1" applyBorder="1" applyAlignment="1" applyProtection="1">
      <alignment horizontal="right"/>
    </xf>
    <xf numFmtId="0" fontId="23" fillId="2" borderId="9" xfId="0" applyFont="1" applyFill="1" applyBorder="1" applyAlignment="1" applyProtection="1">
      <alignment horizontal="right"/>
    </xf>
    <xf numFmtId="0" fontId="22" fillId="2" borderId="11" xfId="0" applyFont="1" applyFill="1" applyBorder="1" applyProtection="1"/>
    <xf numFmtId="0" fontId="22" fillId="2" borderId="1" xfId="0" applyFont="1" applyFill="1" applyBorder="1" applyProtection="1"/>
    <xf numFmtId="0" fontId="22" fillId="2" borderId="12" xfId="0" applyFont="1" applyFill="1" applyBorder="1" applyProtection="1"/>
    <xf numFmtId="0" fontId="20" fillId="0" borderId="0" xfId="0" applyFont="1" applyProtection="1"/>
    <xf numFmtId="0" fontId="18" fillId="0" borderId="0" xfId="0" applyFont="1" applyAlignment="1" applyProtection="1">
      <alignment horizontal="center"/>
    </xf>
    <xf numFmtId="0" fontId="18" fillId="0" borderId="0" xfId="0" applyFont="1" applyAlignment="1" applyProtection="1"/>
    <xf numFmtId="0" fontId="18" fillId="0" borderId="1" xfId="0" applyFont="1" applyBorder="1" applyAlignment="1" applyProtection="1">
      <alignment horizontal="center"/>
    </xf>
    <xf numFmtId="0" fontId="25" fillId="0" borderId="0" xfId="1" applyFont="1" applyAlignment="1" applyProtection="1"/>
    <xf numFmtId="0" fontId="18" fillId="0" borderId="1" xfId="0" applyFont="1" applyBorder="1" applyAlignment="1" applyProtection="1"/>
    <xf numFmtId="0" fontId="16" fillId="0" borderId="0" xfId="0" applyFont="1" applyProtection="1"/>
    <xf numFmtId="0" fontId="18" fillId="0" borderId="0" xfId="0" applyFont="1" applyProtection="1"/>
    <xf numFmtId="0" fontId="23" fillId="0" borderId="0" xfId="0" applyFont="1" applyProtection="1"/>
    <xf numFmtId="164" fontId="22" fillId="6" borderId="2" xfId="0" applyNumberFormat="1" applyFont="1" applyFill="1" applyBorder="1" applyAlignment="1" applyProtection="1">
      <alignment horizontal="right"/>
    </xf>
    <xf numFmtId="0" fontId="18" fillId="0" borderId="0" xfId="0" applyFont="1" applyBorder="1" applyAlignment="1" applyProtection="1"/>
    <xf numFmtId="0" fontId="16" fillId="7" borderId="1" xfId="0" applyFont="1" applyFill="1" applyBorder="1" applyAlignment="1" applyProtection="1">
      <alignment horizontal="center"/>
    </xf>
    <xf numFmtId="2" fontId="0" fillId="0" borderId="0" xfId="0" applyNumberFormat="1"/>
    <xf numFmtId="165" fontId="0" fillId="4" borderId="0" xfId="0" applyNumberFormat="1" applyFill="1" applyAlignment="1">
      <alignment horizontal="left"/>
    </xf>
    <xf numFmtId="165" fontId="0" fillId="3" borderId="0" xfId="0" applyNumberFormat="1" applyFill="1" applyAlignment="1">
      <alignment horizontal="left"/>
    </xf>
    <xf numFmtId="2" fontId="0" fillId="3" borderId="0" xfId="0" applyNumberFormat="1" applyFill="1" applyAlignment="1">
      <alignment horizontal="right"/>
    </xf>
    <xf numFmtId="2" fontId="0" fillId="4" borderId="0" xfId="0" applyNumberFormat="1" applyFill="1" applyAlignment="1">
      <alignment horizontal="right"/>
    </xf>
    <xf numFmtId="0" fontId="15" fillId="0" borderId="0" xfId="0" applyFont="1" applyAlignment="1">
      <alignment horizontal="left"/>
    </xf>
    <xf numFmtId="0" fontId="28" fillId="0" borderId="0" xfId="0" applyFont="1" applyAlignment="1">
      <alignment horizontal="left"/>
    </xf>
    <xf numFmtId="0" fontId="28" fillId="0" borderId="0" xfId="0" applyFont="1" applyAlignment="1">
      <alignment horizontal="right"/>
    </xf>
    <xf numFmtId="0" fontId="28" fillId="0" borderId="0" xfId="0" applyFont="1"/>
    <xf numFmtId="0" fontId="15" fillId="0" borderId="0" xfId="0" applyFont="1" applyAlignment="1">
      <alignment horizontal="right"/>
    </xf>
    <xf numFmtId="0" fontId="29" fillId="0" borderId="0" xfId="0" applyFont="1" applyFill="1" applyBorder="1" applyAlignment="1">
      <alignment horizontal="center"/>
    </xf>
    <xf numFmtId="0" fontId="29" fillId="0" borderId="0" xfId="0" applyFont="1" applyProtection="1"/>
    <xf numFmtId="0" fontId="0" fillId="0" borderId="0" xfId="0" applyFill="1"/>
    <xf numFmtId="0" fontId="10" fillId="2" borderId="0" xfId="0" applyFont="1" applyFill="1" applyBorder="1" applyAlignment="1" applyProtection="1">
      <alignment vertical="center"/>
    </xf>
    <xf numFmtId="0" fontId="11" fillId="2" borderId="0" xfId="0" applyFont="1" applyFill="1" applyBorder="1" applyProtection="1"/>
    <xf numFmtId="0" fontId="6" fillId="2" borderId="0" xfId="0" applyFont="1" applyFill="1" applyBorder="1" applyProtection="1"/>
    <xf numFmtId="0" fontId="12" fillId="2" borderId="0" xfId="0" applyFont="1" applyFill="1" applyBorder="1" applyProtection="1"/>
    <xf numFmtId="0" fontId="24" fillId="0" borderId="0" xfId="1" applyFont="1" applyAlignment="1" applyProtection="1">
      <alignment horizontal="left"/>
    </xf>
    <xf numFmtId="0" fontId="20" fillId="0" borderId="0" xfId="0" applyFont="1" applyAlignment="1" applyProtection="1"/>
    <xf numFmtId="0" fontId="20" fillId="0" borderId="0" xfId="0" applyFont="1" applyBorder="1" applyAlignment="1" applyProtection="1"/>
    <xf numFmtId="0" fontId="20" fillId="0" borderId="1" xfId="0" applyFont="1" applyBorder="1" applyAlignment="1" applyProtection="1"/>
    <xf numFmtId="0" fontId="1" fillId="0" borderId="0" xfId="0" applyFont="1" applyAlignment="1">
      <alignment horizontal="right"/>
    </xf>
    <xf numFmtId="0" fontId="18" fillId="0" borderId="0" xfId="0" applyFont="1" applyFill="1" applyBorder="1" applyAlignment="1">
      <alignment horizontal="left" vertical="top" wrapText="1"/>
    </xf>
    <xf numFmtId="0" fontId="9" fillId="2" borderId="0" xfId="0" applyFont="1" applyFill="1" applyBorder="1" applyAlignment="1">
      <alignment horizontal="right" vertical="center"/>
    </xf>
    <xf numFmtId="0" fontId="17" fillId="8" borderId="0" xfId="0" applyFont="1" applyFill="1" applyBorder="1" applyAlignment="1">
      <alignment horizontal="center"/>
    </xf>
    <xf numFmtId="0" fontId="17" fillId="9" borderId="0" xfId="0" applyFont="1" applyFill="1" applyBorder="1" applyAlignment="1">
      <alignment horizontal="center"/>
    </xf>
    <xf numFmtId="0" fontId="17" fillId="10" borderId="0" xfId="0" applyFont="1" applyFill="1" applyBorder="1" applyAlignment="1">
      <alignment horizontal="center"/>
    </xf>
    <xf numFmtId="0" fontId="16" fillId="11" borderId="0" xfId="0" applyFont="1" applyFill="1" applyBorder="1" applyAlignment="1">
      <alignment horizontal="center"/>
    </xf>
    <xf numFmtId="0" fontId="21" fillId="0" borderId="0" xfId="0" applyFont="1" applyFill="1" applyBorder="1" applyAlignment="1">
      <alignment horizontal="center"/>
    </xf>
    <xf numFmtId="0" fontId="18" fillId="0" borderId="0" xfId="0" applyFont="1" applyFill="1" applyBorder="1" applyAlignment="1">
      <alignment horizontal="center"/>
    </xf>
    <xf numFmtId="0" fontId="18" fillId="0" borderId="0" xfId="0" applyFont="1" applyFill="1" applyBorder="1" applyAlignment="1" applyProtection="1">
      <alignment horizontal="left" vertical="top" wrapText="1"/>
    </xf>
    <xf numFmtId="0" fontId="16" fillId="7" borderId="1" xfId="0" applyFont="1" applyFill="1" applyBorder="1" applyAlignment="1" applyProtection="1">
      <alignment horizontal="left"/>
    </xf>
    <xf numFmtId="0" fontId="18" fillId="0" borderId="1" xfId="0" applyFont="1" applyBorder="1" applyAlignment="1" applyProtection="1">
      <alignment horizontal="left"/>
    </xf>
    <xf numFmtId="164" fontId="22" fillId="6" borderId="13" xfId="0" applyNumberFormat="1" applyFont="1" applyFill="1" applyBorder="1" applyAlignment="1" applyProtection="1">
      <alignment horizontal="center"/>
    </xf>
    <xf numFmtId="164" fontId="22" fillId="6" borderId="14" xfId="0" applyNumberFormat="1" applyFont="1" applyFill="1" applyBorder="1" applyAlignment="1" applyProtection="1">
      <alignment horizontal="center"/>
    </xf>
    <xf numFmtId="0" fontId="18" fillId="0" borderId="1" xfId="0" applyFont="1" applyBorder="1" applyAlignment="1" applyProtection="1">
      <alignment horizontal="center"/>
    </xf>
    <xf numFmtId="0" fontId="16" fillId="7" borderId="1" xfId="0" applyFont="1" applyFill="1" applyBorder="1" applyAlignment="1" applyProtection="1">
      <alignment horizontal="center"/>
    </xf>
    <xf numFmtId="0" fontId="18" fillId="0" borderId="0" xfId="0" applyFont="1" applyBorder="1" applyAlignment="1" applyProtection="1">
      <alignment horizontal="center"/>
    </xf>
    <xf numFmtId="0" fontId="18" fillId="0" borderId="0" xfId="0" applyFont="1" applyAlignment="1" applyProtection="1">
      <alignment horizontal="center"/>
    </xf>
    <xf numFmtId="0" fontId="18" fillId="0" borderId="0" xfId="0" applyFont="1" applyBorder="1" applyAlignment="1" applyProtection="1">
      <alignment horizontal="left"/>
    </xf>
    <xf numFmtId="0" fontId="18" fillId="0" borderId="0" xfId="0" applyFont="1" applyAlignment="1" applyProtection="1">
      <alignment horizontal="left"/>
    </xf>
    <xf numFmtId="0" fontId="9" fillId="2" borderId="1" xfId="0" applyFont="1" applyFill="1" applyBorder="1" applyAlignment="1">
      <alignment horizontal="right" vertical="center"/>
    </xf>
  </cellXfs>
  <cellStyles count="2">
    <cellStyle name="Hyperlink" xfId="1" builtinId="8"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66"/>
      <rgbColor rgb="00CC00CC"/>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CDCE6"/>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Ideal Weight Chart for MEN</a:t>
            </a:r>
          </a:p>
        </c:rich>
      </c:tx>
      <c:layout>
        <c:manualLayout>
          <c:xMode val="edge"/>
          <c:yMode val="edge"/>
          <c:x val="0.32092254149099186"/>
          <c:y val="1.2315285747101277E-2"/>
        </c:manualLayout>
      </c:layout>
      <c:overlay val="0"/>
      <c:spPr>
        <a:noFill/>
        <a:ln w="25400">
          <a:noFill/>
        </a:ln>
      </c:spPr>
    </c:title>
    <c:autoTitleDeleted val="0"/>
    <c:plotArea>
      <c:layout>
        <c:manualLayout>
          <c:layoutTarget val="inner"/>
          <c:xMode val="edge"/>
          <c:yMode val="edge"/>
          <c:x val="0.11702147921770975"/>
          <c:y val="8.3743943080288694E-2"/>
          <c:w val="0.75354740405343401"/>
          <c:h val="0.72660185907897534"/>
        </c:manualLayout>
      </c:layout>
      <c:areaChart>
        <c:grouping val="stacked"/>
        <c:varyColors val="0"/>
        <c:ser>
          <c:idx val="6"/>
          <c:order val="0"/>
          <c:tx>
            <c:v>Underweight</c:v>
          </c:tx>
          <c:spPr>
            <a:solidFill>
              <a:srgbClr val="FFFFCC"/>
            </a:solidFill>
            <a:ln w="25400">
              <a:noFill/>
            </a:ln>
          </c:spPr>
          <c:cat>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cat>
          <c:val>
            <c:numRef>
              <c:f>Calculations!$M$14:$M$40</c:f>
              <c:numCache>
                <c:formatCode>0.00</c:formatCode>
                <c:ptCount val="27"/>
                <c:pt idx="0">
                  <c:v>88.526315789473685</c:v>
                </c:pt>
                <c:pt idx="1">
                  <c:v>91.60526315789474</c:v>
                </c:pt>
                <c:pt idx="2">
                  <c:v>94.736842105263165</c:v>
                </c:pt>
                <c:pt idx="3">
                  <c:v>97.921052631578945</c:v>
                </c:pt>
                <c:pt idx="4">
                  <c:v>101.15789473684211</c:v>
                </c:pt>
                <c:pt idx="5">
                  <c:v>104.44736842105263</c:v>
                </c:pt>
                <c:pt idx="6">
                  <c:v>107.78947368421052</c:v>
                </c:pt>
                <c:pt idx="7">
                  <c:v>111.18421052631579</c:v>
                </c:pt>
                <c:pt idx="8">
                  <c:v>114.63157894736842</c:v>
                </c:pt>
                <c:pt idx="9">
                  <c:v>118.13157894736842</c:v>
                </c:pt>
                <c:pt idx="10">
                  <c:v>121.68421052631579</c:v>
                </c:pt>
                <c:pt idx="11">
                  <c:v>125.28947368421052</c:v>
                </c:pt>
                <c:pt idx="12">
                  <c:v>128.94736842105263</c:v>
                </c:pt>
                <c:pt idx="13">
                  <c:v>132.65789473684211</c:v>
                </c:pt>
                <c:pt idx="14">
                  <c:v>136.42105263157896</c:v>
                </c:pt>
                <c:pt idx="15">
                  <c:v>140.23684210526315</c:v>
                </c:pt>
                <c:pt idx="16">
                  <c:v>144.10526315789474</c:v>
                </c:pt>
                <c:pt idx="17">
                  <c:v>148.02631578947367</c:v>
                </c:pt>
                <c:pt idx="18">
                  <c:v>152</c:v>
                </c:pt>
                <c:pt idx="19">
                  <c:v>156.02631578947367</c:v>
                </c:pt>
                <c:pt idx="20">
                  <c:v>160.10526315789474</c:v>
                </c:pt>
                <c:pt idx="21">
                  <c:v>164.23684210526315</c:v>
                </c:pt>
                <c:pt idx="22">
                  <c:v>168.42105263157896</c:v>
                </c:pt>
                <c:pt idx="23">
                  <c:v>172.65789473684211</c:v>
                </c:pt>
                <c:pt idx="24">
                  <c:v>176.94736842105263</c:v>
                </c:pt>
                <c:pt idx="25">
                  <c:v>181.28947368421052</c:v>
                </c:pt>
                <c:pt idx="26">
                  <c:v>185.68421052631578</c:v>
                </c:pt>
              </c:numCache>
            </c:numRef>
          </c:val>
          <c:extLst>
            <c:ext xmlns:c16="http://schemas.microsoft.com/office/drawing/2014/chart" uri="{C3380CC4-5D6E-409C-BE32-E72D297353CC}">
              <c16:uniqueId val="{00000000-6826-4AA5-81E0-BE0FABCB9415}"/>
            </c:ext>
          </c:extLst>
        </c:ser>
        <c:ser>
          <c:idx val="0"/>
          <c:order val="1"/>
          <c:tx>
            <c:v>BMI 18.5-25</c:v>
          </c:tx>
          <c:spPr>
            <a:solidFill>
              <a:srgbClr val="D6F4D9"/>
            </a:solidFill>
            <a:ln w="12700">
              <a:solidFill>
                <a:srgbClr val="8394C9"/>
              </a:solidFill>
              <a:prstDash val="solid"/>
            </a:ln>
          </c:spPr>
          <c:cat>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cat>
          <c:val>
            <c:numRef>
              <c:f>Calculations!$P$14:$P$40</c:f>
              <c:numCache>
                <c:formatCode>0.00</c:formatCode>
                <c:ptCount val="27"/>
                <c:pt idx="0">
                  <c:v>31.103840682788046</c:v>
                </c:pt>
                <c:pt idx="1">
                  <c:v>32.185633001422474</c:v>
                </c:pt>
                <c:pt idx="2">
                  <c:v>33.285917496443815</c:v>
                </c:pt>
                <c:pt idx="3">
                  <c:v>34.404694167852071</c:v>
                </c:pt>
                <c:pt idx="4">
                  <c:v>35.541963015647212</c:v>
                </c:pt>
                <c:pt idx="5">
                  <c:v>36.697724039829296</c:v>
                </c:pt>
                <c:pt idx="6">
                  <c:v>37.871977240398309</c:v>
                </c:pt>
                <c:pt idx="7">
                  <c:v>39.064722617354178</c:v>
                </c:pt>
                <c:pt idx="8">
                  <c:v>40.275960170697019</c:v>
                </c:pt>
                <c:pt idx="9">
                  <c:v>41.505689900426731</c:v>
                </c:pt>
                <c:pt idx="10">
                  <c:v>42.753911806543371</c:v>
                </c:pt>
                <c:pt idx="11">
                  <c:v>44.020625889046954</c:v>
                </c:pt>
                <c:pt idx="12">
                  <c:v>45.305832147937423</c:v>
                </c:pt>
                <c:pt idx="13">
                  <c:v>46.609530583214791</c:v>
                </c:pt>
                <c:pt idx="14">
                  <c:v>47.931721194879088</c:v>
                </c:pt>
                <c:pt idx="15">
                  <c:v>49.272403982930314</c:v>
                </c:pt>
                <c:pt idx="16">
                  <c:v>50.631578947368411</c:v>
                </c:pt>
                <c:pt idx="17">
                  <c:v>52.009246088193464</c:v>
                </c:pt>
                <c:pt idx="18">
                  <c:v>53.405405405405418</c:v>
                </c:pt>
                <c:pt idx="19">
                  <c:v>54.820056899004271</c:v>
                </c:pt>
                <c:pt idx="20">
                  <c:v>56.253200568990053</c:v>
                </c:pt>
                <c:pt idx="21">
                  <c:v>57.704836415362735</c:v>
                </c:pt>
                <c:pt idx="22">
                  <c:v>59.174964438122316</c:v>
                </c:pt>
                <c:pt idx="23">
                  <c:v>60.663584637268855</c:v>
                </c:pt>
                <c:pt idx="24">
                  <c:v>62.170697012802265</c:v>
                </c:pt>
                <c:pt idx="25">
                  <c:v>63.696301564722631</c:v>
                </c:pt>
                <c:pt idx="26">
                  <c:v>65.24039829302987</c:v>
                </c:pt>
              </c:numCache>
            </c:numRef>
          </c:val>
          <c:extLst>
            <c:ext xmlns:c16="http://schemas.microsoft.com/office/drawing/2014/chart" uri="{C3380CC4-5D6E-409C-BE32-E72D297353CC}">
              <c16:uniqueId val="{00000001-6826-4AA5-81E0-BE0FABCB9415}"/>
            </c:ext>
          </c:extLst>
        </c:ser>
        <c:ser>
          <c:idx val="1"/>
          <c:order val="2"/>
          <c:tx>
            <c:v>Overweight</c:v>
          </c:tx>
          <c:spPr>
            <a:solidFill>
              <a:srgbClr val="FFFFCC"/>
            </a:solidFill>
            <a:ln w="25400">
              <a:noFill/>
            </a:ln>
          </c:spPr>
          <c:cat>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cat>
          <c:val>
            <c:numRef>
              <c:f>Calculations!$Q$14:$Q$40</c:f>
              <c:numCache>
                <c:formatCode>0.00</c:formatCode>
                <c:ptCount val="27"/>
                <c:pt idx="0">
                  <c:v>23.926031294452358</c:v>
                </c:pt>
                <c:pt idx="1">
                  <c:v>24.758179231863437</c:v>
                </c:pt>
                <c:pt idx="2">
                  <c:v>25.604551920341379</c:v>
                </c:pt>
                <c:pt idx="3">
                  <c:v>26.465149359886198</c:v>
                </c:pt>
                <c:pt idx="4">
                  <c:v>27.339971550497864</c:v>
                </c:pt>
                <c:pt idx="5">
                  <c:v>28.229018492176408</c:v>
                </c:pt>
                <c:pt idx="6">
                  <c:v>29.132290184921743</c:v>
                </c:pt>
                <c:pt idx="7">
                  <c:v>30.049786628734012</c:v>
                </c:pt>
                <c:pt idx="8">
                  <c:v>30.981507823613072</c:v>
                </c:pt>
                <c:pt idx="9">
                  <c:v>31.927453769559037</c:v>
                </c:pt>
                <c:pt idx="10">
                  <c:v>32.88762446657185</c:v>
                </c:pt>
                <c:pt idx="11">
                  <c:v>33.862019914651484</c:v>
                </c:pt>
                <c:pt idx="12">
                  <c:v>34.850640113797994</c:v>
                </c:pt>
                <c:pt idx="13">
                  <c:v>35.85348506401138</c:v>
                </c:pt>
                <c:pt idx="14">
                  <c:v>36.870554765291587</c:v>
                </c:pt>
                <c:pt idx="15">
                  <c:v>37.90184921763867</c:v>
                </c:pt>
                <c:pt idx="16">
                  <c:v>38.94736842105263</c:v>
                </c:pt>
                <c:pt idx="17">
                  <c:v>40.007112375533438</c:v>
                </c:pt>
                <c:pt idx="18">
                  <c:v>41.081081081081066</c:v>
                </c:pt>
                <c:pt idx="19">
                  <c:v>42.1692745376956</c:v>
                </c:pt>
                <c:pt idx="20">
                  <c:v>43.271692745376924</c:v>
                </c:pt>
                <c:pt idx="21">
                  <c:v>44.388335704125154</c:v>
                </c:pt>
                <c:pt idx="22">
                  <c:v>45.519203413940232</c:v>
                </c:pt>
                <c:pt idx="23">
                  <c:v>46.664295874822159</c:v>
                </c:pt>
                <c:pt idx="24">
                  <c:v>47.82361308677099</c:v>
                </c:pt>
                <c:pt idx="25">
                  <c:v>48.997155049786642</c:v>
                </c:pt>
                <c:pt idx="26">
                  <c:v>50.184921763869141</c:v>
                </c:pt>
              </c:numCache>
            </c:numRef>
          </c:val>
          <c:extLst>
            <c:ext xmlns:c16="http://schemas.microsoft.com/office/drawing/2014/chart" uri="{C3380CC4-5D6E-409C-BE32-E72D297353CC}">
              <c16:uniqueId val="{00000002-6826-4AA5-81E0-BE0FABCB9415}"/>
            </c:ext>
          </c:extLst>
        </c:ser>
        <c:dLbls>
          <c:showLegendKey val="0"/>
          <c:showVal val="0"/>
          <c:showCatName val="0"/>
          <c:showSerName val="0"/>
          <c:showPercent val="0"/>
          <c:showBubbleSize val="0"/>
        </c:dLbls>
        <c:axId val="147028608"/>
        <c:axId val="147588224"/>
      </c:areaChart>
      <c:lineChart>
        <c:grouping val="standard"/>
        <c:varyColors val="0"/>
        <c:ser>
          <c:idx val="7"/>
          <c:order val="3"/>
          <c:tx>
            <c:v>V_Major_Gridlines</c:v>
          </c:tx>
          <c:spPr>
            <a:ln w="19050">
              <a:noFill/>
            </a:ln>
          </c:spPr>
          <c:marker>
            <c:symbol val="none"/>
          </c:marker>
          <c:errBars>
            <c:errDir val="y"/>
            <c:errBarType val="plus"/>
            <c:errValType val="fixedVal"/>
            <c:noEndCap val="1"/>
            <c:val val="300"/>
            <c:spPr>
              <a:ln w="12700">
                <a:solidFill>
                  <a:schemeClr val="bg1">
                    <a:lumMod val="65000"/>
                  </a:schemeClr>
                </a:solidFill>
                <a:prstDash val="solid"/>
              </a:ln>
            </c:spPr>
          </c:errBars>
          <c:val>
            <c:numRef>
              <c:f>Calculations!$T$14:$T$40</c:f>
              <c:numCache>
                <c:formatCode>General</c:formatCode>
                <c:ptCount val="27"/>
                <c:pt idx="2">
                  <c:v>40</c:v>
                </c:pt>
                <c:pt idx="4">
                  <c:v>40</c:v>
                </c:pt>
                <c:pt idx="6">
                  <c:v>40</c:v>
                </c:pt>
                <c:pt idx="8">
                  <c:v>40</c:v>
                </c:pt>
                <c:pt idx="10">
                  <c:v>40</c:v>
                </c:pt>
                <c:pt idx="12">
                  <c:v>40</c:v>
                </c:pt>
                <c:pt idx="14">
                  <c:v>40</c:v>
                </c:pt>
                <c:pt idx="16">
                  <c:v>40</c:v>
                </c:pt>
                <c:pt idx="18">
                  <c:v>40</c:v>
                </c:pt>
                <c:pt idx="20">
                  <c:v>40</c:v>
                </c:pt>
                <c:pt idx="22">
                  <c:v>40</c:v>
                </c:pt>
                <c:pt idx="24">
                  <c:v>40</c:v>
                </c:pt>
                <c:pt idx="26">
                  <c:v>40</c:v>
                </c:pt>
              </c:numCache>
            </c:numRef>
          </c:val>
          <c:smooth val="0"/>
          <c:extLst>
            <c:ext xmlns:c16="http://schemas.microsoft.com/office/drawing/2014/chart" uri="{C3380CC4-5D6E-409C-BE32-E72D297353CC}">
              <c16:uniqueId val="{00000003-6826-4AA5-81E0-BE0FABCB9415}"/>
            </c:ext>
          </c:extLst>
        </c:ser>
        <c:ser>
          <c:idx val="8"/>
          <c:order val="4"/>
          <c:tx>
            <c:v>V_Minor_Gridlines</c:v>
          </c:tx>
          <c:spPr>
            <a:ln w="19050">
              <a:noFill/>
            </a:ln>
          </c:spPr>
          <c:marker>
            <c:symbol val="none"/>
          </c:marker>
          <c:errBars>
            <c:errDir val="y"/>
            <c:errBarType val="plus"/>
            <c:errValType val="fixedVal"/>
            <c:noEndCap val="1"/>
            <c:val val="300"/>
            <c:spPr>
              <a:ln w="12700">
                <a:solidFill>
                  <a:schemeClr val="bg1">
                    <a:lumMod val="65000"/>
                  </a:schemeClr>
                </a:solidFill>
                <a:prstDash val="sysDash"/>
              </a:ln>
            </c:spPr>
          </c:errBars>
          <c:val>
            <c:numRef>
              <c:f>Calculations!$U$14:$U$40</c:f>
              <c:numCache>
                <c:formatCode>General</c:formatCode>
                <c:ptCount val="27"/>
                <c:pt idx="1">
                  <c:v>40</c:v>
                </c:pt>
                <c:pt idx="3">
                  <c:v>40</c:v>
                </c:pt>
                <c:pt idx="5">
                  <c:v>40</c:v>
                </c:pt>
                <c:pt idx="7">
                  <c:v>40</c:v>
                </c:pt>
                <c:pt idx="9">
                  <c:v>40</c:v>
                </c:pt>
                <c:pt idx="11">
                  <c:v>40</c:v>
                </c:pt>
                <c:pt idx="13">
                  <c:v>40</c:v>
                </c:pt>
                <c:pt idx="15">
                  <c:v>40</c:v>
                </c:pt>
                <c:pt idx="17">
                  <c:v>40</c:v>
                </c:pt>
                <c:pt idx="19">
                  <c:v>40</c:v>
                </c:pt>
                <c:pt idx="21">
                  <c:v>40</c:v>
                </c:pt>
                <c:pt idx="23">
                  <c:v>40</c:v>
                </c:pt>
                <c:pt idx="25">
                  <c:v>40</c:v>
                </c:pt>
              </c:numCache>
            </c:numRef>
          </c:val>
          <c:smooth val="0"/>
          <c:extLst>
            <c:ext xmlns:c16="http://schemas.microsoft.com/office/drawing/2014/chart" uri="{C3380CC4-5D6E-409C-BE32-E72D297353CC}">
              <c16:uniqueId val="{00000004-6826-4AA5-81E0-BE0FABCB9415}"/>
            </c:ext>
          </c:extLst>
        </c:ser>
        <c:ser>
          <c:idx val="1"/>
          <c:order val="5"/>
          <c:tx>
            <c:strRef>
              <c:f>Calculations!$N$9</c:f>
              <c:strCache>
                <c:ptCount val="1"/>
                <c:pt idx="0">
                  <c:v>BMI 25</c:v>
                </c:pt>
              </c:strCache>
            </c:strRef>
          </c:tx>
          <c:spPr>
            <a:ln w="25400">
              <a:solidFill>
                <a:srgbClr val="8394C9"/>
              </a:solidFill>
              <a:prstDash val="solid"/>
            </a:ln>
          </c:spPr>
          <c:marker>
            <c:symbol val="none"/>
          </c:marker>
          <c:cat>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cat>
          <c:val>
            <c:numRef>
              <c:f>Calculations!$N$14:$N$40</c:f>
              <c:numCache>
                <c:formatCode>0.00</c:formatCode>
                <c:ptCount val="27"/>
                <c:pt idx="0">
                  <c:v>119.63015647226173</c:v>
                </c:pt>
                <c:pt idx="1">
                  <c:v>123.79089615931721</c:v>
                </c:pt>
                <c:pt idx="2">
                  <c:v>128.02275960170698</c:v>
                </c:pt>
                <c:pt idx="3">
                  <c:v>132.32574679943102</c:v>
                </c:pt>
                <c:pt idx="4">
                  <c:v>136.69985775248932</c:v>
                </c:pt>
                <c:pt idx="5">
                  <c:v>141.14509246088193</c:v>
                </c:pt>
                <c:pt idx="6">
                  <c:v>145.66145092460883</c:v>
                </c:pt>
                <c:pt idx="7">
                  <c:v>150.24893314366997</c:v>
                </c:pt>
                <c:pt idx="8">
                  <c:v>154.90753911806544</c:v>
                </c:pt>
                <c:pt idx="9">
                  <c:v>159.63726884779516</c:v>
                </c:pt>
                <c:pt idx="10">
                  <c:v>164.43812233285917</c:v>
                </c:pt>
                <c:pt idx="11">
                  <c:v>169.31009957325747</c:v>
                </c:pt>
                <c:pt idx="12">
                  <c:v>174.25320056899005</c:v>
                </c:pt>
                <c:pt idx="13">
                  <c:v>179.2674253200569</c:v>
                </c:pt>
                <c:pt idx="14">
                  <c:v>184.35277382645805</c:v>
                </c:pt>
                <c:pt idx="15">
                  <c:v>189.50924608819346</c:v>
                </c:pt>
                <c:pt idx="16">
                  <c:v>194.73684210526315</c:v>
                </c:pt>
                <c:pt idx="17">
                  <c:v>200.03556187766713</c:v>
                </c:pt>
                <c:pt idx="18">
                  <c:v>205.40540540540542</c:v>
                </c:pt>
                <c:pt idx="19">
                  <c:v>210.84637268847794</c:v>
                </c:pt>
                <c:pt idx="20">
                  <c:v>216.35846372688479</c:v>
                </c:pt>
                <c:pt idx="21">
                  <c:v>221.94167852062589</c:v>
                </c:pt>
                <c:pt idx="22">
                  <c:v>227.59601706970128</c:v>
                </c:pt>
                <c:pt idx="23">
                  <c:v>233.32147937411096</c:v>
                </c:pt>
                <c:pt idx="24">
                  <c:v>239.11806543385489</c:v>
                </c:pt>
                <c:pt idx="25">
                  <c:v>244.98577524893315</c:v>
                </c:pt>
                <c:pt idx="26">
                  <c:v>250.92460881934565</c:v>
                </c:pt>
              </c:numCache>
            </c:numRef>
          </c:val>
          <c:smooth val="0"/>
          <c:extLst>
            <c:ext xmlns:c16="http://schemas.microsoft.com/office/drawing/2014/chart" uri="{C3380CC4-5D6E-409C-BE32-E72D297353CC}">
              <c16:uniqueId val="{00000005-6826-4AA5-81E0-BE0FABCB9415}"/>
            </c:ext>
          </c:extLst>
        </c:ser>
        <c:ser>
          <c:idx val="0"/>
          <c:order val="11"/>
          <c:tx>
            <c:strRef>
              <c:f>Calculations!$M$9</c:f>
              <c:strCache>
                <c:ptCount val="1"/>
                <c:pt idx="0">
                  <c:v>BMI 18.5</c:v>
                </c:pt>
              </c:strCache>
            </c:strRef>
          </c:tx>
          <c:spPr>
            <a:ln w="25400">
              <a:solidFill>
                <a:srgbClr val="8394C9"/>
              </a:solidFill>
              <a:prstDash val="solid"/>
            </a:ln>
          </c:spPr>
          <c:marker>
            <c:symbol val="none"/>
          </c:marker>
          <c:cat>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cat>
          <c:val>
            <c:numRef>
              <c:f>Calculations!$M$14:$M$40</c:f>
              <c:numCache>
                <c:formatCode>0.00</c:formatCode>
                <c:ptCount val="27"/>
                <c:pt idx="0">
                  <c:v>88.526315789473685</c:v>
                </c:pt>
                <c:pt idx="1">
                  <c:v>91.60526315789474</c:v>
                </c:pt>
                <c:pt idx="2">
                  <c:v>94.736842105263165</c:v>
                </c:pt>
                <c:pt idx="3">
                  <c:v>97.921052631578945</c:v>
                </c:pt>
                <c:pt idx="4">
                  <c:v>101.15789473684211</c:v>
                </c:pt>
                <c:pt idx="5">
                  <c:v>104.44736842105263</c:v>
                </c:pt>
                <c:pt idx="6">
                  <c:v>107.78947368421052</c:v>
                </c:pt>
                <c:pt idx="7">
                  <c:v>111.18421052631579</c:v>
                </c:pt>
                <c:pt idx="8">
                  <c:v>114.63157894736842</c:v>
                </c:pt>
                <c:pt idx="9">
                  <c:v>118.13157894736842</c:v>
                </c:pt>
                <c:pt idx="10">
                  <c:v>121.68421052631579</c:v>
                </c:pt>
                <c:pt idx="11">
                  <c:v>125.28947368421052</c:v>
                </c:pt>
                <c:pt idx="12">
                  <c:v>128.94736842105263</c:v>
                </c:pt>
                <c:pt idx="13">
                  <c:v>132.65789473684211</c:v>
                </c:pt>
                <c:pt idx="14">
                  <c:v>136.42105263157896</c:v>
                </c:pt>
                <c:pt idx="15">
                  <c:v>140.23684210526315</c:v>
                </c:pt>
                <c:pt idx="16">
                  <c:v>144.10526315789474</c:v>
                </c:pt>
                <c:pt idx="17">
                  <c:v>148.02631578947367</c:v>
                </c:pt>
                <c:pt idx="18">
                  <c:v>152</c:v>
                </c:pt>
                <c:pt idx="19">
                  <c:v>156.02631578947367</c:v>
                </c:pt>
                <c:pt idx="20">
                  <c:v>160.10526315789474</c:v>
                </c:pt>
                <c:pt idx="21">
                  <c:v>164.23684210526315</c:v>
                </c:pt>
                <c:pt idx="22">
                  <c:v>168.42105263157896</c:v>
                </c:pt>
                <c:pt idx="23">
                  <c:v>172.65789473684211</c:v>
                </c:pt>
                <c:pt idx="24">
                  <c:v>176.94736842105263</c:v>
                </c:pt>
                <c:pt idx="25">
                  <c:v>181.28947368421052</c:v>
                </c:pt>
                <c:pt idx="26">
                  <c:v>185.68421052631578</c:v>
                </c:pt>
              </c:numCache>
            </c:numRef>
          </c:val>
          <c:smooth val="0"/>
          <c:extLst>
            <c:ext xmlns:c16="http://schemas.microsoft.com/office/drawing/2014/chart" uri="{C3380CC4-5D6E-409C-BE32-E72D297353CC}">
              <c16:uniqueId val="{00000006-6826-4AA5-81E0-BE0FABCB9415}"/>
            </c:ext>
          </c:extLst>
        </c:ser>
        <c:dLbls>
          <c:showLegendKey val="0"/>
          <c:showVal val="0"/>
          <c:showCatName val="0"/>
          <c:showSerName val="0"/>
          <c:showPercent val="0"/>
          <c:showBubbleSize val="0"/>
        </c:dLbls>
        <c:marker val="1"/>
        <c:smooth val="0"/>
        <c:axId val="147028608"/>
        <c:axId val="147588224"/>
      </c:lineChart>
      <c:lineChart>
        <c:grouping val="standard"/>
        <c:varyColors val="0"/>
        <c:ser>
          <c:idx val="5"/>
          <c:order val="10"/>
          <c:tx>
            <c:v>SecondaryAxis</c:v>
          </c:tx>
          <c:spPr>
            <a:ln w="19050">
              <a:noFill/>
            </a:ln>
          </c:spPr>
          <c:marker>
            <c:symbol val="none"/>
          </c:marker>
          <c:cat>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cat>
          <c:val>
            <c:numRef>
              <c:f>Calculations!$F$14:$F$40</c:f>
              <c:numCache>
                <c:formatCode>0.0</c:formatCode>
                <c:ptCount val="27"/>
                <c:pt idx="0">
                  <c:v>45.304805915599999</c:v>
                </c:pt>
                <c:pt idx="1">
                  <c:v>47.599983307800002</c:v>
                </c:pt>
                <c:pt idx="2">
                  <c:v>49.895160700000005</c:v>
                </c:pt>
                <c:pt idx="3">
                  <c:v>52.190338092200001</c:v>
                </c:pt>
                <c:pt idx="4">
                  <c:v>54.485515484400004</c:v>
                </c:pt>
                <c:pt idx="5">
                  <c:v>56.780692876600007</c:v>
                </c:pt>
                <c:pt idx="6">
                  <c:v>59.07587026880001</c:v>
                </c:pt>
                <c:pt idx="7">
                  <c:v>61.371047661000006</c:v>
                </c:pt>
                <c:pt idx="8">
                  <c:v>63.666225053200009</c:v>
                </c:pt>
                <c:pt idx="9">
                  <c:v>65.961402445399997</c:v>
                </c:pt>
                <c:pt idx="10">
                  <c:v>68.2565798376</c:v>
                </c:pt>
                <c:pt idx="11">
                  <c:v>70.551757229800003</c:v>
                </c:pt>
                <c:pt idx="12">
                  <c:v>72.846934622000006</c:v>
                </c:pt>
                <c:pt idx="13">
                  <c:v>75.142112014200009</c:v>
                </c:pt>
                <c:pt idx="14">
                  <c:v>77.437289406399998</c:v>
                </c:pt>
                <c:pt idx="15">
                  <c:v>79.732466798600001</c:v>
                </c:pt>
                <c:pt idx="16">
                  <c:v>82.02764419079999</c:v>
                </c:pt>
                <c:pt idx="17">
                  <c:v>84.322821582999993</c:v>
                </c:pt>
                <c:pt idx="18">
                  <c:v>86.617998975199995</c:v>
                </c:pt>
                <c:pt idx="19">
                  <c:v>88.913176367399998</c:v>
                </c:pt>
                <c:pt idx="20">
                  <c:v>91.208353759600001</c:v>
                </c:pt>
                <c:pt idx="21">
                  <c:v>93.503531151800004</c:v>
                </c:pt>
                <c:pt idx="22">
                  <c:v>95.798708543999993</c:v>
                </c:pt>
                <c:pt idx="23">
                  <c:v>98.093885936199996</c:v>
                </c:pt>
                <c:pt idx="24">
                  <c:v>100.3890633284</c:v>
                </c:pt>
                <c:pt idx="25">
                  <c:v>102.6842407206</c:v>
                </c:pt>
                <c:pt idx="26">
                  <c:v>104.9794181128</c:v>
                </c:pt>
              </c:numCache>
            </c:numRef>
          </c:val>
          <c:smooth val="0"/>
          <c:extLst>
            <c:ext xmlns:c16="http://schemas.microsoft.com/office/drawing/2014/chart" uri="{C3380CC4-5D6E-409C-BE32-E72D297353CC}">
              <c16:uniqueId val="{00000007-6826-4AA5-81E0-BE0FABCB9415}"/>
            </c:ext>
          </c:extLst>
        </c:ser>
        <c:dLbls>
          <c:showLegendKey val="0"/>
          <c:showVal val="0"/>
          <c:showCatName val="0"/>
          <c:showSerName val="0"/>
          <c:showPercent val="0"/>
          <c:showBubbleSize val="0"/>
        </c:dLbls>
        <c:marker val="1"/>
        <c:smooth val="0"/>
        <c:axId val="147644416"/>
        <c:axId val="147646336"/>
      </c:lineChart>
      <c:scatterChart>
        <c:scatterStyle val="lineMarker"/>
        <c:varyColors val="0"/>
        <c:ser>
          <c:idx val="10"/>
          <c:order val="6"/>
          <c:tx>
            <c:v>H_Minor_Gridlines</c:v>
          </c:tx>
          <c:spPr>
            <a:ln w="19050">
              <a:noFill/>
            </a:ln>
          </c:spPr>
          <c:marker>
            <c:symbol val="none"/>
          </c:marker>
          <c:errBars>
            <c:errDir val="x"/>
            <c:errBarType val="plus"/>
            <c:errValType val="fixedVal"/>
            <c:noEndCap val="1"/>
            <c:val val="26"/>
            <c:spPr>
              <a:ln w="12700">
                <a:solidFill>
                  <a:schemeClr val="bg1">
                    <a:lumMod val="65000"/>
                  </a:schemeClr>
                </a:solidFill>
                <a:prstDash val="sysDash"/>
              </a:ln>
            </c:spPr>
          </c:errBars>
          <c:xVal>
            <c:numRef>
              <c:f>Calculations!$X$10:$X$40</c:f>
              <c:numCache>
                <c:formatCode>General</c:formatCode>
                <c:ptCount val="3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xVal>
          <c:yVal>
            <c:numRef>
              <c:f>Calculations!$W$14:$W$40</c:f>
              <c:numCache>
                <c:formatCode>General</c:formatCode>
                <c:ptCount val="27"/>
                <c:pt idx="1">
                  <c:v>70</c:v>
                </c:pt>
                <c:pt idx="3">
                  <c:v>90</c:v>
                </c:pt>
                <c:pt idx="5">
                  <c:v>110</c:v>
                </c:pt>
                <c:pt idx="7">
                  <c:v>130</c:v>
                </c:pt>
                <c:pt idx="9">
                  <c:v>150</c:v>
                </c:pt>
                <c:pt idx="11">
                  <c:v>170</c:v>
                </c:pt>
                <c:pt idx="13">
                  <c:v>190</c:v>
                </c:pt>
                <c:pt idx="15">
                  <c:v>210</c:v>
                </c:pt>
                <c:pt idx="17">
                  <c:v>230</c:v>
                </c:pt>
                <c:pt idx="19">
                  <c:v>250</c:v>
                </c:pt>
                <c:pt idx="21">
                  <c:v>270</c:v>
                </c:pt>
                <c:pt idx="23">
                  <c:v>290</c:v>
                </c:pt>
                <c:pt idx="25">
                  <c:v>310</c:v>
                </c:pt>
              </c:numCache>
            </c:numRef>
          </c:yVal>
          <c:smooth val="0"/>
          <c:extLst>
            <c:ext xmlns:c16="http://schemas.microsoft.com/office/drawing/2014/chart" uri="{C3380CC4-5D6E-409C-BE32-E72D297353CC}">
              <c16:uniqueId val="{00000008-6826-4AA5-81E0-BE0FABCB9415}"/>
            </c:ext>
          </c:extLst>
        </c:ser>
        <c:ser>
          <c:idx val="9"/>
          <c:order val="7"/>
          <c:tx>
            <c:v>H_Major_Gridlines</c:v>
          </c:tx>
          <c:spPr>
            <a:ln w="19050">
              <a:noFill/>
            </a:ln>
          </c:spPr>
          <c:marker>
            <c:symbol val="none"/>
          </c:marker>
          <c:errBars>
            <c:errDir val="x"/>
            <c:errBarType val="plus"/>
            <c:errValType val="fixedVal"/>
            <c:noEndCap val="1"/>
            <c:val val="26"/>
            <c:spPr>
              <a:ln w="12700">
                <a:solidFill>
                  <a:schemeClr val="bg1">
                    <a:lumMod val="65000"/>
                  </a:schemeClr>
                </a:solidFill>
                <a:prstDash val="solid"/>
              </a:ln>
            </c:spPr>
          </c:errBars>
          <c:xVal>
            <c:numRef>
              <c:f>Calculations!$X$11:$X$40</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numCache>
            </c:numRef>
          </c:xVal>
          <c:yVal>
            <c:numRef>
              <c:f>Calculations!$V$14:$V$40</c:f>
              <c:numCache>
                <c:formatCode>General</c:formatCode>
                <c:ptCount val="27"/>
                <c:pt idx="0">
                  <c:v>60</c:v>
                </c:pt>
                <c:pt idx="2">
                  <c:v>80</c:v>
                </c:pt>
                <c:pt idx="4">
                  <c:v>100</c:v>
                </c:pt>
                <c:pt idx="6">
                  <c:v>120</c:v>
                </c:pt>
                <c:pt idx="8">
                  <c:v>140</c:v>
                </c:pt>
                <c:pt idx="10">
                  <c:v>160</c:v>
                </c:pt>
                <c:pt idx="12">
                  <c:v>180</c:v>
                </c:pt>
                <c:pt idx="14">
                  <c:v>200</c:v>
                </c:pt>
                <c:pt idx="16">
                  <c:v>220</c:v>
                </c:pt>
                <c:pt idx="18">
                  <c:v>240</c:v>
                </c:pt>
                <c:pt idx="20">
                  <c:v>260</c:v>
                </c:pt>
                <c:pt idx="22">
                  <c:v>280</c:v>
                </c:pt>
                <c:pt idx="24">
                  <c:v>300</c:v>
                </c:pt>
                <c:pt idx="26">
                  <c:v>320</c:v>
                </c:pt>
              </c:numCache>
            </c:numRef>
          </c:yVal>
          <c:smooth val="0"/>
          <c:extLst>
            <c:ext xmlns:c16="http://schemas.microsoft.com/office/drawing/2014/chart" uri="{C3380CC4-5D6E-409C-BE32-E72D297353CC}">
              <c16:uniqueId val="{00000009-6826-4AA5-81E0-BE0FABCB9415}"/>
            </c:ext>
          </c:extLst>
        </c:ser>
        <c:ser>
          <c:idx val="3"/>
          <c:order val="8"/>
          <c:tx>
            <c:strRef>
              <c:f>Calculations!$K$8</c:f>
              <c:strCache>
                <c:ptCount val="1"/>
                <c:pt idx="0">
                  <c:v>Miller Formula</c:v>
                </c:pt>
              </c:strCache>
            </c:strRef>
          </c:tx>
          <c:spPr>
            <a:ln w="38100">
              <a:solidFill>
                <a:srgbClr val="6B0C00"/>
              </a:solidFill>
              <a:prstDash val="solid"/>
            </a:ln>
          </c:spPr>
          <c:marker>
            <c:symbol val="none"/>
          </c:marker>
          <c:xVal>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xVal>
          <c:yVal>
            <c:numRef>
              <c:f>Calculations!$K$14:$K$40</c:f>
              <c:numCache>
                <c:formatCode>0.00</c:formatCode>
                <c:ptCount val="27"/>
                <c:pt idx="0">
                  <c:v>117.44</c:v>
                </c:pt>
                <c:pt idx="1">
                  <c:v>120.54</c:v>
                </c:pt>
                <c:pt idx="2">
                  <c:v>123.64</c:v>
                </c:pt>
                <c:pt idx="3">
                  <c:v>126.74</c:v>
                </c:pt>
                <c:pt idx="4">
                  <c:v>129.84</c:v>
                </c:pt>
                <c:pt idx="5">
                  <c:v>132.94</c:v>
                </c:pt>
                <c:pt idx="6">
                  <c:v>136.04</c:v>
                </c:pt>
                <c:pt idx="7">
                  <c:v>139.13999999999999</c:v>
                </c:pt>
                <c:pt idx="8">
                  <c:v>142.24</c:v>
                </c:pt>
                <c:pt idx="9">
                  <c:v>145.34</c:v>
                </c:pt>
                <c:pt idx="10">
                  <c:v>148.44</c:v>
                </c:pt>
                <c:pt idx="11">
                  <c:v>151.54</c:v>
                </c:pt>
                <c:pt idx="12">
                  <c:v>154.63999999999999</c:v>
                </c:pt>
                <c:pt idx="13">
                  <c:v>157.74</c:v>
                </c:pt>
                <c:pt idx="14">
                  <c:v>160.84</c:v>
                </c:pt>
                <c:pt idx="15">
                  <c:v>163.94</c:v>
                </c:pt>
                <c:pt idx="16">
                  <c:v>167.04</c:v>
                </c:pt>
                <c:pt idx="17">
                  <c:v>170.14</c:v>
                </c:pt>
                <c:pt idx="18">
                  <c:v>173.24</c:v>
                </c:pt>
                <c:pt idx="19">
                  <c:v>176.34</c:v>
                </c:pt>
                <c:pt idx="20">
                  <c:v>179.44</c:v>
                </c:pt>
                <c:pt idx="21">
                  <c:v>182.54</c:v>
                </c:pt>
                <c:pt idx="22">
                  <c:v>185.64</c:v>
                </c:pt>
                <c:pt idx="23">
                  <c:v>188.74</c:v>
                </c:pt>
                <c:pt idx="24">
                  <c:v>191.84</c:v>
                </c:pt>
                <c:pt idx="25">
                  <c:v>194.94</c:v>
                </c:pt>
                <c:pt idx="26">
                  <c:v>198.04000000000002</c:v>
                </c:pt>
              </c:numCache>
            </c:numRef>
          </c:yVal>
          <c:smooth val="0"/>
          <c:extLst>
            <c:ext xmlns:c16="http://schemas.microsoft.com/office/drawing/2014/chart" uri="{C3380CC4-5D6E-409C-BE32-E72D297353CC}">
              <c16:uniqueId val="{0000000A-6826-4AA5-81E0-BE0FABCB9415}"/>
            </c:ext>
          </c:extLst>
        </c:ser>
        <c:ser>
          <c:idx val="4"/>
          <c:order val="9"/>
          <c:tx>
            <c:strRef>
              <c:f>Calculations!$I$8</c:f>
              <c:strCache>
                <c:ptCount val="1"/>
                <c:pt idx="0">
                  <c:v>Robinson Formula</c:v>
                </c:pt>
              </c:strCache>
            </c:strRef>
          </c:tx>
          <c:spPr>
            <a:ln w="38100">
              <a:solidFill>
                <a:srgbClr val="006500"/>
              </a:solidFill>
              <a:prstDash val="solid"/>
            </a:ln>
          </c:spPr>
          <c:marker>
            <c:symbol val="none"/>
          </c:marker>
          <c:xVal>
            <c:strRef>
              <c:f>Calculations!$E$14:$E$40</c:f>
              <c:strCache>
                <c:ptCount val="27"/>
                <c:pt idx="0">
                  <c:v>4'10"
147cm</c:v>
                </c:pt>
                <c:pt idx="1">
                  <c:v>4'11"
150</c:v>
                </c:pt>
                <c:pt idx="2">
                  <c:v>5'0"
152</c:v>
                </c:pt>
                <c:pt idx="3">
                  <c:v>5'1"
155</c:v>
                </c:pt>
                <c:pt idx="4">
                  <c:v>5'2"
157</c:v>
                </c:pt>
                <c:pt idx="5">
                  <c:v>5'3"
160</c:v>
                </c:pt>
                <c:pt idx="6">
                  <c:v>5'4"
163</c:v>
                </c:pt>
                <c:pt idx="7">
                  <c:v>5'5"
165</c:v>
                </c:pt>
                <c:pt idx="8">
                  <c:v>5'6"
168</c:v>
                </c:pt>
                <c:pt idx="9">
                  <c:v>5'7"
170</c:v>
                </c:pt>
                <c:pt idx="10">
                  <c:v>5'8"
173</c:v>
                </c:pt>
                <c:pt idx="11">
                  <c:v>5'9"
175</c:v>
                </c:pt>
                <c:pt idx="12">
                  <c:v>5'10"
178</c:v>
                </c:pt>
                <c:pt idx="13">
                  <c:v>5'11"
180</c:v>
                </c:pt>
                <c:pt idx="14">
                  <c:v>6'0"
183</c:v>
                </c:pt>
                <c:pt idx="15">
                  <c:v>6'1"
185</c:v>
                </c:pt>
                <c:pt idx="16">
                  <c:v>6'2"
188</c:v>
                </c:pt>
                <c:pt idx="17">
                  <c:v>6'3"
191</c:v>
                </c:pt>
                <c:pt idx="18">
                  <c:v>6'4"
193</c:v>
                </c:pt>
                <c:pt idx="19">
                  <c:v>6'5"
196</c:v>
                </c:pt>
                <c:pt idx="20">
                  <c:v>6'6"
198</c:v>
                </c:pt>
                <c:pt idx="21">
                  <c:v>6'7"
201</c:v>
                </c:pt>
                <c:pt idx="22">
                  <c:v>6'8"
203</c:v>
                </c:pt>
                <c:pt idx="23">
                  <c:v>6'9"
206</c:v>
                </c:pt>
                <c:pt idx="24">
                  <c:v>6'10"
208</c:v>
                </c:pt>
                <c:pt idx="25">
                  <c:v>6'11"
211</c:v>
                </c:pt>
                <c:pt idx="26">
                  <c:v>7'0"
213cm</c:v>
                </c:pt>
              </c:strCache>
            </c:strRef>
          </c:xVal>
          <c:yVal>
            <c:numRef>
              <c:f>Calculations!$I$14:$I$40</c:f>
              <c:numCache>
                <c:formatCode>0.00</c:formatCode>
                <c:ptCount val="27"/>
                <c:pt idx="0">
                  <c:v>106.04</c:v>
                </c:pt>
                <c:pt idx="1">
                  <c:v>110.22</c:v>
                </c:pt>
                <c:pt idx="2">
                  <c:v>114.4</c:v>
                </c:pt>
                <c:pt idx="3">
                  <c:v>118.58000000000001</c:v>
                </c:pt>
                <c:pt idx="4">
                  <c:v>122.76</c:v>
                </c:pt>
                <c:pt idx="5">
                  <c:v>126.94</c:v>
                </c:pt>
                <c:pt idx="6">
                  <c:v>131.12</c:v>
                </c:pt>
                <c:pt idx="7">
                  <c:v>135.30000000000001</c:v>
                </c:pt>
                <c:pt idx="8">
                  <c:v>139.48000000000002</c:v>
                </c:pt>
                <c:pt idx="9">
                  <c:v>143.66</c:v>
                </c:pt>
                <c:pt idx="10">
                  <c:v>147.84</c:v>
                </c:pt>
                <c:pt idx="11">
                  <c:v>152.02000000000001</c:v>
                </c:pt>
                <c:pt idx="12">
                  <c:v>156.19999999999999</c:v>
                </c:pt>
                <c:pt idx="13">
                  <c:v>160.38</c:v>
                </c:pt>
                <c:pt idx="14">
                  <c:v>164.56</c:v>
                </c:pt>
                <c:pt idx="15">
                  <c:v>168.74</c:v>
                </c:pt>
                <c:pt idx="16">
                  <c:v>172.92000000000002</c:v>
                </c:pt>
                <c:pt idx="17">
                  <c:v>177.1</c:v>
                </c:pt>
                <c:pt idx="18">
                  <c:v>181.28</c:v>
                </c:pt>
                <c:pt idx="19">
                  <c:v>185.46</c:v>
                </c:pt>
                <c:pt idx="20">
                  <c:v>189.64</c:v>
                </c:pt>
                <c:pt idx="21">
                  <c:v>193.82</c:v>
                </c:pt>
                <c:pt idx="22">
                  <c:v>198</c:v>
                </c:pt>
                <c:pt idx="23">
                  <c:v>202.18</c:v>
                </c:pt>
                <c:pt idx="24">
                  <c:v>206.36</c:v>
                </c:pt>
                <c:pt idx="25">
                  <c:v>210.54</c:v>
                </c:pt>
                <c:pt idx="26">
                  <c:v>214.72</c:v>
                </c:pt>
              </c:numCache>
            </c:numRef>
          </c:yVal>
          <c:smooth val="0"/>
          <c:extLst>
            <c:ext xmlns:c16="http://schemas.microsoft.com/office/drawing/2014/chart" uri="{C3380CC4-5D6E-409C-BE32-E72D297353CC}">
              <c16:uniqueId val="{0000000B-6826-4AA5-81E0-BE0FABCB9415}"/>
            </c:ext>
          </c:extLst>
        </c:ser>
        <c:ser>
          <c:idx val="2"/>
          <c:order val="12"/>
          <c:tx>
            <c:strRef>
              <c:f>Calculations!$G$8</c:f>
              <c:strCache>
                <c:ptCount val="1"/>
                <c:pt idx="0">
                  <c:v>Devine Formula</c:v>
                </c:pt>
              </c:strCache>
            </c:strRef>
          </c:tx>
          <c:spPr>
            <a:ln w="38100">
              <a:solidFill>
                <a:srgbClr val="182C63"/>
              </a:solidFill>
              <a:prstDash val="solid"/>
            </a:ln>
          </c:spPr>
          <c:marker>
            <c:symbol val="none"/>
          </c:marker>
          <c:yVal>
            <c:numRef>
              <c:f>Calculations!$G$14:$G$40</c:f>
              <c:numCache>
                <c:formatCode>0.00</c:formatCode>
                <c:ptCount val="27"/>
                <c:pt idx="0">
                  <c:v>99.88</c:v>
                </c:pt>
                <c:pt idx="1">
                  <c:v>104.94</c:v>
                </c:pt>
                <c:pt idx="2">
                  <c:v>110</c:v>
                </c:pt>
                <c:pt idx="3">
                  <c:v>115.06</c:v>
                </c:pt>
                <c:pt idx="4">
                  <c:v>120.12</c:v>
                </c:pt>
                <c:pt idx="5">
                  <c:v>125.18</c:v>
                </c:pt>
                <c:pt idx="6">
                  <c:v>130.24</c:v>
                </c:pt>
                <c:pt idx="7">
                  <c:v>135.30000000000001</c:v>
                </c:pt>
                <c:pt idx="8">
                  <c:v>140.36000000000001</c:v>
                </c:pt>
                <c:pt idx="9">
                  <c:v>145.41999999999999</c:v>
                </c:pt>
                <c:pt idx="10">
                  <c:v>150.47999999999999</c:v>
                </c:pt>
                <c:pt idx="11">
                  <c:v>155.54</c:v>
                </c:pt>
                <c:pt idx="12">
                  <c:v>160.6</c:v>
                </c:pt>
                <c:pt idx="13">
                  <c:v>165.66</c:v>
                </c:pt>
                <c:pt idx="14">
                  <c:v>170.72</c:v>
                </c:pt>
                <c:pt idx="15">
                  <c:v>175.78</c:v>
                </c:pt>
                <c:pt idx="16">
                  <c:v>180.83999999999997</c:v>
                </c:pt>
                <c:pt idx="17">
                  <c:v>185.89999999999998</c:v>
                </c:pt>
                <c:pt idx="18">
                  <c:v>190.95999999999998</c:v>
                </c:pt>
                <c:pt idx="19">
                  <c:v>196.01999999999998</c:v>
                </c:pt>
                <c:pt idx="20">
                  <c:v>201.07999999999998</c:v>
                </c:pt>
                <c:pt idx="21">
                  <c:v>206.14</c:v>
                </c:pt>
                <c:pt idx="22">
                  <c:v>211.2</c:v>
                </c:pt>
                <c:pt idx="23">
                  <c:v>216.26</c:v>
                </c:pt>
                <c:pt idx="24">
                  <c:v>221.32</c:v>
                </c:pt>
                <c:pt idx="25">
                  <c:v>226.38</c:v>
                </c:pt>
                <c:pt idx="26">
                  <c:v>231.44</c:v>
                </c:pt>
              </c:numCache>
            </c:numRef>
          </c:yVal>
          <c:smooth val="0"/>
          <c:extLst>
            <c:ext xmlns:c16="http://schemas.microsoft.com/office/drawing/2014/chart" uri="{C3380CC4-5D6E-409C-BE32-E72D297353CC}">
              <c16:uniqueId val="{0000000C-6826-4AA5-81E0-BE0FABCB9415}"/>
            </c:ext>
          </c:extLst>
        </c:ser>
        <c:dLbls>
          <c:showLegendKey val="0"/>
          <c:showVal val="0"/>
          <c:showCatName val="0"/>
          <c:showSerName val="0"/>
          <c:showPercent val="0"/>
          <c:showBubbleSize val="0"/>
        </c:dLbls>
        <c:axId val="147028608"/>
        <c:axId val="147588224"/>
      </c:scatterChart>
      <c:catAx>
        <c:axId val="14702860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u="none" strike="noStrike" baseline="0">
                    <a:solidFill>
                      <a:srgbClr val="000000"/>
                    </a:solidFill>
                    <a:latin typeface="Arial"/>
                    <a:cs typeface="Arial"/>
                  </a:rPr>
                  <a:t>Height</a:t>
                </a:r>
                <a:r>
                  <a:rPr lang="en-US" sz="1100" b="0" i="0" u="none" strike="noStrike" baseline="0">
                    <a:solidFill>
                      <a:srgbClr val="000000"/>
                    </a:solidFill>
                    <a:latin typeface="Arial"/>
                    <a:cs typeface="Arial"/>
                  </a:rPr>
                  <a:t> (no shoes)</a:t>
                </a:r>
              </a:p>
            </c:rich>
          </c:tx>
          <c:layout>
            <c:manualLayout>
              <c:xMode val="edge"/>
              <c:yMode val="edge"/>
              <c:x val="0.37766022838442692"/>
              <c:y val="0.9187203167337553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975" b="0" i="0" u="none" strike="noStrike" baseline="0">
                <a:solidFill>
                  <a:srgbClr val="000000"/>
                </a:solidFill>
                <a:latin typeface="Tahoma"/>
                <a:ea typeface="Tahoma"/>
                <a:cs typeface="Tahoma"/>
              </a:defRPr>
            </a:pPr>
            <a:endParaRPr lang="en-US"/>
          </a:p>
        </c:txPr>
        <c:crossAx val="147588224"/>
        <c:crosses val="autoZero"/>
        <c:auto val="1"/>
        <c:lblAlgn val="ctr"/>
        <c:lblOffset val="100"/>
        <c:tickLblSkip val="2"/>
        <c:tickMarkSkip val="2"/>
        <c:noMultiLvlLbl val="0"/>
      </c:catAx>
      <c:valAx>
        <c:axId val="147588224"/>
        <c:scaling>
          <c:orientation val="minMax"/>
          <c:max val="260"/>
          <c:min val="80"/>
        </c:scaling>
        <c:delete val="0"/>
        <c:axPos val="l"/>
        <c:title>
          <c:tx>
            <c:rich>
              <a:bodyPr/>
              <a:lstStyle/>
              <a:p>
                <a:pPr>
                  <a:defRPr sz="1100" b="1" i="0" u="none" strike="noStrike" baseline="0">
                    <a:solidFill>
                      <a:srgbClr val="000000"/>
                    </a:solidFill>
                    <a:latin typeface="Arial"/>
                    <a:ea typeface="Arial"/>
                    <a:cs typeface="Arial"/>
                  </a:defRPr>
                </a:pPr>
                <a:r>
                  <a:rPr lang="en-US"/>
                  <a:t>Weight (lbs)</a:t>
                </a:r>
              </a:p>
            </c:rich>
          </c:tx>
          <c:layout>
            <c:manualLayout>
              <c:xMode val="edge"/>
              <c:yMode val="edge"/>
              <c:x val="1.0638316292519068E-2"/>
              <c:y val="0.3374388294705750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Tahoma"/>
                <a:ea typeface="Tahoma"/>
                <a:cs typeface="Tahoma"/>
              </a:defRPr>
            </a:pPr>
            <a:endParaRPr lang="en-US"/>
          </a:p>
        </c:txPr>
        <c:crossAx val="147028608"/>
        <c:crosses val="autoZero"/>
        <c:crossBetween val="midCat"/>
        <c:majorUnit val="20"/>
        <c:minorUnit val="10"/>
      </c:valAx>
      <c:catAx>
        <c:axId val="147644416"/>
        <c:scaling>
          <c:orientation val="minMax"/>
        </c:scaling>
        <c:delete val="1"/>
        <c:axPos val="t"/>
        <c:numFmt formatCode="General" sourceLinked="1"/>
        <c:majorTickMark val="out"/>
        <c:minorTickMark val="none"/>
        <c:tickLblPos val="nextTo"/>
        <c:crossAx val="147646336"/>
        <c:crosses val="max"/>
        <c:auto val="1"/>
        <c:lblAlgn val="ctr"/>
        <c:lblOffset val="100"/>
        <c:noMultiLvlLbl val="0"/>
      </c:catAx>
      <c:valAx>
        <c:axId val="147646336"/>
        <c:scaling>
          <c:orientation val="minMax"/>
          <c:max val="117.934"/>
          <c:min val="36.287390000000002"/>
        </c:scaling>
        <c:delete val="0"/>
        <c:axPos val="r"/>
        <c:title>
          <c:tx>
            <c:rich>
              <a:bodyPr/>
              <a:lstStyle/>
              <a:p>
                <a:pPr>
                  <a:defRPr sz="1100" b="1" i="0" u="none" strike="noStrike" baseline="0">
                    <a:solidFill>
                      <a:srgbClr val="000000"/>
                    </a:solidFill>
                    <a:latin typeface="Arial"/>
                    <a:ea typeface="Arial"/>
                    <a:cs typeface="Arial"/>
                  </a:defRPr>
                </a:pPr>
                <a:r>
                  <a:rPr lang="en-US"/>
                  <a:t>Weight (kg)</a:t>
                </a:r>
              </a:p>
            </c:rich>
          </c:tx>
          <c:layout>
            <c:manualLayout>
              <c:xMode val="edge"/>
              <c:yMode val="edge"/>
              <c:x val="0.93971793917251767"/>
              <c:y val="0.34236494376941551"/>
            </c:manualLayout>
          </c:layout>
          <c:overlay val="0"/>
          <c:spPr>
            <a:noFill/>
            <a:ln w="25400">
              <a:noFill/>
            </a:ln>
          </c:spPr>
        </c:title>
        <c:numFmt formatCode="0.0" sourceLinked="0"/>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47644416"/>
        <c:crosses val="max"/>
        <c:crossBetween val="midCat"/>
        <c:majorUnit val="9.0718499999999995"/>
      </c:valAx>
      <c:spPr>
        <a:solidFill>
          <a:srgbClr val="FFFFFF"/>
        </a:solidFill>
        <a:ln w="25400">
          <a:noFill/>
        </a:ln>
      </c:spPr>
    </c:plotArea>
    <c:legend>
      <c:legendPos val="r"/>
      <c:legendEntry>
        <c:idx val="0"/>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13475200637190821"/>
          <c:y val="0.10837451457449124"/>
          <c:w val="0.28191538175175529"/>
          <c:h val="0.20689680055130147"/>
        </c:manualLayout>
      </c:layout>
      <c:overlay val="0"/>
      <c:spPr>
        <a:solidFill>
          <a:srgbClr val="FFFFFF"/>
        </a:solidFill>
        <a:ln w="3175">
          <a:solidFill>
            <a:srgbClr val="B2B2B2"/>
          </a:solidFill>
          <a:prstDash val="solid"/>
        </a:ln>
      </c:spPr>
      <c:txPr>
        <a:bodyPr/>
        <a:lstStyle/>
        <a:p>
          <a:pPr>
            <a:defRPr sz="9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E4E8F3"/>
    </a:solidFill>
    <a:ln w="6350">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Ideal Weight Chart for WOMEN</a:t>
            </a:r>
          </a:p>
        </c:rich>
      </c:tx>
      <c:layout>
        <c:manualLayout>
          <c:xMode val="edge"/>
          <c:yMode val="edge"/>
          <c:x val="0.29911530274759984"/>
          <c:y val="1.2285012285012284E-2"/>
        </c:manualLayout>
      </c:layout>
      <c:overlay val="0"/>
      <c:spPr>
        <a:noFill/>
        <a:ln w="25400">
          <a:noFill/>
        </a:ln>
      </c:spPr>
    </c:title>
    <c:autoTitleDeleted val="0"/>
    <c:plotArea>
      <c:layout>
        <c:manualLayout>
          <c:layoutTarget val="inner"/>
          <c:xMode val="edge"/>
          <c:yMode val="edge"/>
          <c:x val="0.1168142602446248"/>
          <c:y val="8.3538083538083535E-2"/>
          <c:w val="0.75398295248803282"/>
          <c:h val="0.72727272727272729"/>
        </c:manualLayout>
      </c:layout>
      <c:areaChart>
        <c:grouping val="stacked"/>
        <c:varyColors val="0"/>
        <c:ser>
          <c:idx val="6"/>
          <c:order val="0"/>
          <c:tx>
            <c:v>Underweight</c:v>
          </c:tx>
          <c:spPr>
            <a:solidFill>
              <a:srgbClr val="FFFFCC"/>
            </a:solidFill>
            <a:ln w="25400">
              <a:noFill/>
            </a:ln>
          </c:spPr>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Calculations!$M$12:$M$36</c:f>
              <c:numCache>
                <c:formatCode>0.00</c:formatCode>
                <c:ptCount val="25"/>
                <c:pt idx="0">
                  <c:v>82.526315789473685</c:v>
                </c:pt>
                <c:pt idx="1">
                  <c:v>85.5</c:v>
                </c:pt>
                <c:pt idx="2">
                  <c:v>88.526315789473685</c:v>
                </c:pt>
                <c:pt idx="3">
                  <c:v>91.60526315789474</c:v>
                </c:pt>
                <c:pt idx="4">
                  <c:v>94.736842105263165</c:v>
                </c:pt>
                <c:pt idx="5">
                  <c:v>97.921052631578945</c:v>
                </c:pt>
                <c:pt idx="6">
                  <c:v>101.15789473684211</c:v>
                </c:pt>
                <c:pt idx="7">
                  <c:v>104.44736842105263</c:v>
                </c:pt>
                <c:pt idx="8">
                  <c:v>107.78947368421052</c:v>
                </c:pt>
                <c:pt idx="9">
                  <c:v>111.18421052631579</c:v>
                </c:pt>
                <c:pt idx="10">
                  <c:v>114.63157894736842</c:v>
                </c:pt>
                <c:pt idx="11">
                  <c:v>118.13157894736842</c:v>
                </c:pt>
                <c:pt idx="12">
                  <c:v>121.68421052631579</c:v>
                </c:pt>
                <c:pt idx="13">
                  <c:v>125.28947368421052</c:v>
                </c:pt>
                <c:pt idx="14">
                  <c:v>128.94736842105263</c:v>
                </c:pt>
                <c:pt idx="15">
                  <c:v>132.65789473684211</c:v>
                </c:pt>
                <c:pt idx="16">
                  <c:v>136.42105263157896</c:v>
                </c:pt>
                <c:pt idx="17">
                  <c:v>140.23684210526315</c:v>
                </c:pt>
                <c:pt idx="18">
                  <c:v>144.10526315789474</c:v>
                </c:pt>
                <c:pt idx="19">
                  <c:v>148.02631578947367</c:v>
                </c:pt>
                <c:pt idx="20">
                  <c:v>152</c:v>
                </c:pt>
                <c:pt idx="21">
                  <c:v>156.02631578947367</c:v>
                </c:pt>
                <c:pt idx="22">
                  <c:v>160.10526315789474</c:v>
                </c:pt>
                <c:pt idx="23">
                  <c:v>164.23684210526315</c:v>
                </c:pt>
                <c:pt idx="24">
                  <c:v>168.42105263157896</c:v>
                </c:pt>
              </c:numCache>
            </c:numRef>
          </c:val>
          <c:extLst>
            <c:ext xmlns:c16="http://schemas.microsoft.com/office/drawing/2014/chart" uri="{C3380CC4-5D6E-409C-BE32-E72D297353CC}">
              <c16:uniqueId val="{00000000-70C8-45FE-A1EC-E336C0C2970C}"/>
            </c:ext>
          </c:extLst>
        </c:ser>
        <c:ser>
          <c:idx val="0"/>
          <c:order val="1"/>
          <c:tx>
            <c:v>BMI 18.5-25</c:v>
          </c:tx>
          <c:spPr>
            <a:solidFill>
              <a:srgbClr val="D6F4D9"/>
            </a:solidFill>
            <a:ln w="12700">
              <a:solidFill>
                <a:srgbClr val="8394C9"/>
              </a:solidFill>
              <a:prstDash val="solid"/>
            </a:ln>
          </c:spPr>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Calculations!$P$12:$P$36</c:f>
              <c:numCache>
                <c:formatCode>0.00</c:formatCode>
                <c:ptCount val="25"/>
                <c:pt idx="0">
                  <c:v>28.995732574679948</c:v>
                </c:pt>
                <c:pt idx="1">
                  <c:v>30.040540540540547</c:v>
                </c:pt>
                <c:pt idx="2">
                  <c:v>31.103840682788046</c:v>
                </c:pt>
                <c:pt idx="3">
                  <c:v>32.185633001422474</c:v>
                </c:pt>
                <c:pt idx="4">
                  <c:v>33.285917496443815</c:v>
                </c:pt>
                <c:pt idx="5">
                  <c:v>34.404694167852071</c:v>
                </c:pt>
                <c:pt idx="6">
                  <c:v>35.541963015647212</c:v>
                </c:pt>
                <c:pt idx="7">
                  <c:v>36.697724039829296</c:v>
                </c:pt>
                <c:pt idx="8">
                  <c:v>37.871977240398309</c:v>
                </c:pt>
                <c:pt idx="9">
                  <c:v>39.064722617354178</c:v>
                </c:pt>
                <c:pt idx="10">
                  <c:v>40.275960170697019</c:v>
                </c:pt>
                <c:pt idx="11">
                  <c:v>41.505689900426731</c:v>
                </c:pt>
                <c:pt idx="12">
                  <c:v>42.753911806543371</c:v>
                </c:pt>
                <c:pt idx="13">
                  <c:v>44.020625889046954</c:v>
                </c:pt>
                <c:pt idx="14">
                  <c:v>45.305832147937423</c:v>
                </c:pt>
                <c:pt idx="15">
                  <c:v>46.609530583214791</c:v>
                </c:pt>
                <c:pt idx="16">
                  <c:v>47.931721194879088</c:v>
                </c:pt>
                <c:pt idx="17">
                  <c:v>49.272403982930314</c:v>
                </c:pt>
                <c:pt idx="18">
                  <c:v>50.631578947368411</c:v>
                </c:pt>
                <c:pt idx="19">
                  <c:v>52.009246088193464</c:v>
                </c:pt>
                <c:pt idx="20">
                  <c:v>53.405405405405418</c:v>
                </c:pt>
                <c:pt idx="21">
                  <c:v>54.820056899004271</c:v>
                </c:pt>
                <c:pt idx="22">
                  <c:v>56.253200568990053</c:v>
                </c:pt>
                <c:pt idx="23">
                  <c:v>57.704836415362735</c:v>
                </c:pt>
                <c:pt idx="24">
                  <c:v>59.174964438122316</c:v>
                </c:pt>
              </c:numCache>
            </c:numRef>
          </c:val>
          <c:extLst>
            <c:ext xmlns:c16="http://schemas.microsoft.com/office/drawing/2014/chart" uri="{C3380CC4-5D6E-409C-BE32-E72D297353CC}">
              <c16:uniqueId val="{00000001-70C8-45FE-A1EC-E336C0C2970C}"/>
            </c:ext>
          </c:extLst>
        </c:ser>
        <c:ser>
          <c:idx val="1"/>
          <c:order val="2"/>
          <c:tx>
            <c:v>Overweight</c:v>
          </c:tx>
          <c:spPr>
            <a:solidFill>
              <a:srgbClr val="FFFFCC"/>
            </a:solidFill>
            <a:ln w="25400">
              <a:noFill/>
            </a:ln>
          </c:spPr>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Calculations!$Q$12:$Q$36</c:f>
              <c:numCache>
                <c:formatCode>0.00</c:formatCode>
                <c:ptCount val="25"/>
                <c:pt idx="0">
                  <c:v>22.304409672830715</c:v>
                </c:pt>
                <c:pt idx="1">
                  <c:v>23.108108108108098</c:v>
                </c:pt>
                <c:pt idx="2">
                  <c:v>23.926031294452358</c:v>
                </c:pt>
                <c:pt idx="3">
                  <c:v>24.758179231863437</c:v>
                </c:pt>
                <c:pt idx="4">
                  <c:v>25.604551920341379</c:v>
                </c:pt>
                <c:pt idx="5">
                  <c:v>26.465149359886198</c:v>
                </c:pt>
                <c:pt idx="6">
                  <c:v>27.339971550497864</c:v>
                </c:pt>
                <c:pt idx="7">
                  <c:v>28.229018492176408</c:v>
                </c:pt>
                <c:pt idx="8">
                  <c:v>29.132290184921743</c:v>
                </c:pt>
                <c:pt idx="9">
                  <c:v>30.049786628734012</c:v>
                </c:pt>
                <c:pt idx="10">
                  <c:v>30.981507823613072</c:v>
                </c:pt>
                <c:pt idx="11">
                  <c:v>31.927453769559037</c:v>
                </c:pt>
                <c:pt idx="12">
                  <c:v>32.88762446657185</c:v>
                </c:pt>
                <c:pt idx="13">
                  <c:v>33.862019914651484</c:v>
                </c:pt>
                <c:pt idx="14">
                  <c:v>34.850640113797994</c:v>
                </c:pt>
                <c:pt idx="15">
                  <c:v>35.85348506401138</c:v>
                </c:pt>
                <c:pt idx="16">
                  <c:v>36.870554765291587</c:v>
                </c:pt>
                <c:pt idx="17">
                  <c:v>37.90184921763867</c:v>
                </c:pt>
                <c:pt idx="18">
                  <c:v>38.94736842105263</c:v>
                </c:pt>
                <c:pt idx="19">
                  <c:v>40.007112375533438</c:v>
                </c:pt>
                <c:pt idx="20">
                  <c:v>41.081081081081066</c:v>
                </c:pt>
                <c:pt idx="21">
                  <c:v>42.1692745376956</c:v>
                </c:pt>
                <c:pt idx="22">
                  <c:v>43.271692745376924</c:v>
                </c:pt>
                <c:pt idx="23">
                  <c:v>44.388335704125154</c:v>
                </c:pt>
                <c:pt idx="24">
                  <c:v>45.519203413940232</c:v>
                </c:pt>
              </c:numCache>
            </c:numRef>
          </c:val>
          <c:extLst>
            <c:ext xmlns:c16="http://schemas.microsoft.com/office/drawing/2014/chart" uri="{C3380CC4-5D6E-409C-BE32-E72D297353CC}">
              <c16:uniqueId val="{00000002-70C8-45FE-A1EC-E336C0C2970C}"/>
            </c:ext>
          </c:extLst>
        </c:ser>
        <c:dLbls>
          <c:showLegendKey val="0"/>
          <c:showVal val="0"/>
          <c:showCatName val="0"/>
          <c:showSerName val="0"/>
          <c:showPercent val="0"/>
          <c:showBubbleSize val="0"/>
        </c:dLbls>
        <c:axId val="190792064"/>
        <c:axId val="190794368"/>
      </c:areaChart>
      <c:lineChart>
        <c:grouping val="standard"/>
        <c:varyColors val="0"/>
        <c:ser>
          <c:idx val="7"/>
          <c:order val="3"/>
          <c:tx>
            <c:v>V_Major_Gridlines</c:v>
          </c:tx>
          <c:spPr>
            <a:ln w="19050">
              <a:noFill/>
            </a:ln>
          </c:spPr>
          <c:marker>
            <c:symbol val="none"/>
          </c:marker>
          <c:errBars>
            <c:errDir val="y"/>
            <c:errBarType val="plus"/>
            <c:errValType val="fixedVal"/>
            <c:noEndCap val="1"/>
            <c:val val="300"/>
            <c:spPr>
              <a:ln w="12700">
                <a:solidFill>
                  <a:schemeClr val="bg1">
                    <a:lumMod val="65000"/>
                  </a:schemeClr>
                </a:solidFill>
                <a:prstDash val="solid"/>
              </a:ln>
            </c:spPr>
          </c:errBars>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Calculations!$S$12:$S$36</c:f>
              <c:numCache>
                <c:formatCode>General</c:formatCode>
                <c:ptCount val="25"/>
                <c:pt idx="2">
                  <c:v>40</c:v>
                </c:pt>
                <c:pt idx="4">
                  <c:v>40</c:v>
                </c:pt>
                <c:pt idx="6">
                  <c:v>40</c:v>
                </c:pt>
                <c:pt idx="8">
                  <c:v>40</c:v>
                </c:pt>
                <c:pt idx="10">
                  <c:v>40</c:v>
                </c:pt>
                <c:pt idx="12">
                  <c:v>40</c:v>
                </c:pt>
                <c:pt idx="14">
                  <c:v>40</c:v>
                </c:pt>
                <c:pt idx="16">
                  <c:v>40</c:v>
                </c:pt>
                <c:pt idx="18">
                  <c:v>40</c:v>
                </c:pt>
                <c:pt idx="20">
                  <c:v>40</c:v>
                </c:pt>
                <c:pt idx="22">
                  <c:v>40</c:v>
                </c:pt>
                <c:pt idx="24">
                  <c:v>40</c:v>
                </c:pt>
              </c:numCache>
            </c:numRef>
          </c:val>
          <c:smooth val="0"/>
          <c:extLst>
            <c:ext xmlns:c16="http://schemas.microsoft.com/office/drawing/2014/chart" uri="{C3380CC4-5D6E-409C-BE32-E72D297353CC}">
              <c16:uniqueId val="{00000003-70C8-45FE-A1EC-E336C0C2970C}"/>
            </c:ext>
          </c:extLst>
        </c:ser>
        <c:ser>
          <c:idx val="8"/>
          <c:order val="4"/>
          <c:tx>
            <c:v>V_Minor_Gridlines</c:v>
          </c:tx>
          <c:spPr>
            <a:ln w="19050">
              <a:noFill/>
            </a:ln>
          </c:spPr>
          <c:marker>
            <c:symbol val="none"/>
          </c:marker>
          <c:errBars>
            <c:errDir val="y"/>
            <c:errBarType val="plus"/>
            <c:errValType val="fixedVal"/>
            <c:noEndCap val="1"/>
            <c:val val="300"/>
            <c:spPr>
              <a:ln w="12700">
                <a:solidFill>
                  <a:schemeClr val="bg1">
                    <a:lumMod val="65000"/>
                  </a:schemeClr>
                </a:solidFill>
                <a:prstDash val="sysDash"/>
              </a:ln>
            </c:spPr>
          </c:errBars>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Calculations!$U$12:$U$36</c:f>
              <c:numCache>
                <c:formatCode>General</c:formatCode>
                <c:ptCount val="25"/>
                <c:pt idx="1">
                  <c:v>40</c:v>
                </c:pt>
                <c:pt idx="3">
                  <c:v>40</c:v>
                </c:pt>
                <c:pt idx="5">
                  <c:v>40</c:v>
                </c:pt>
                <c:pt idx="7">
                  <c:v>40</c:v>
                </c:pt>
                <c:pt idx="9">
                  <c:v>40</c:v>
                </c:pt>
                <c:pt idx="11">
                  <c:v>40</c:v>
                </c:pt>
                <c:pt idx="13">
                  <c:v>40</c:v>
                </c:pt>
                <c:pt idx="15">
                  <c:v>40</c:v>
                </c:pt>
                <c:pt idx="17">
                  <c:v>40</c:v>
                </c:pt>
                <c:pt idx="19">
                  <c:v>40</c:v>
                </c:pt>
                <c:pt idx="21">
                  <c:v>40</c:v>
                </c:pt>
                <c:pt idx="23">
                  <c:v>40</c:v>
                </c:pt>
              </c:numCache>
            </c:numRef>
          </c:val>
          <c:smooth val="0"/>
          <c:extLst>
            <c:ext xmlns:c16="http://schemas.microsoft.com/office/drawing/2014/chart" uri="{C3380CC4-5D6E-409C-BE32-E72D297353CC}">
              <c16:uniqueId val="{00000004-70C8-45FE-A1EC-E336C0C2970C}"/>
            </c:ext>
          </c:extLst>
        </c:ser>
        <c:ser>
          <c:idx val="1"/>
          <c:order val="5"/>
          <c:tx>
            <c:strRef>
              <c:f>Calculations!$N$9</c:f>
              <c:strCache>
                <c:ptCount val="1"/>
                <c:pt idx="0">
                  <c:v>BMI 25</c:v>
                </c:pt>
              </c:strCache>
            </c:strRef>
          </c:tx>
          <c:spPr>
            <a:ln w="25400">
              <a:solidFill>
                <a:srgbClr val="8394C9"/>
              </a:solidFill>
              <a:prstDash val="solid"/>
            </a:ln>
          </c:spPr>
          <c:marker>
            <c:symbol val="none"/>
          </c:marker>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Calculations!$N$12:$N$36</c:f>
              <c:numCache>
                <c:formatCode>0.00</c:formatCode>
                <c:ptCount val="25"/>
                <c:pt idx="0">
                  <c:v>111.52204836415363</c:v>
                </c:pt>
                <c:pt idx="1">
                  <c:v>115.54054054054055</c:v>
                </c:pt>
                <c:pt idx="2">
                  <c:v>119.63015647226173</c:v>
                </c:pt>
                <c:pt idx="3">
                  <c:v>123.79089615931721</c:v>
                </c:pt>
                <c:pt idx="4">
                  <c:v>128.02275960170698</c:v>
                </c:pt>
                <c:pt idx="5">
                  <c:v>132.32574679943102</c:v>
                </c:pt>
                <c:pt idx="6">
                  <c:v>136.69985775248932</c:v>
                </c:pt>
                <c:pt idx="7">
                  <c:v>141.14509246088193</c:v>
                </c:pt>
                <c:pt idx="8">
                  <c:v>145.66145092460883</c:v>
                </c:pt>
                <c:pt idx="9">
                  <c:v>150.24893314366997</c:v>
                </c:pt>
                <c:pt idx="10">
                  <c:v>154.90753911806544</c:v>
                </c:pt>
                <c:pt idx="11">
                  <c:v>159.63726884779516</c:v>
                </c:pt>
                <c:pt idx="12">
                  <c:v>164.43812233285917</c:v>
                </c:pt>
                <c:pt idx="13">
                  <c:v>169.31009957325747</c:v>
                </c:pt>
                <c:pt idx="14">
                  <c:v>174.25320056899005</c:v>
                </c:pt>
                <c:pt idx="15">
                  <c:v>179.2674253200569</c:v>
                </c:pt>
                <c:pt idx="16">
                  <c:v>184.35277382645805</c:v>
                </c:pt>
                <c:pt idx="17">
                  <c:v>189.50924608819346</c:v>
                </c:pt>
                <c:pt idx="18">
                  <c:v>194.73684210526315</c:v>
                </c:pt>
                <c:pt idx="19">
                  <c:v>200.03556187766713</c:v>
                </c:pt>
                <c:pt idx="20">
                  <c:v>205.40540540540542</c:v>
                </c:pt>
                <c:pt idx="21">
                  <c:v>210.84637268847794</c:v>
                </c:pt>
                <c:pt idx="22">
                  <c:v>216.35846372688479</c:v>
                </c:pt>
                <c:pt idx="23">
                  <c:v>221.94167852062589</c:v>
                </c:pt>
                <c:pt idx="24">
                  <c:v>227.59601706970128</c:v>
                </c:pt>
              </c:numCache>
            </c:numRef>
          </c:val>
          <c:smooth val="0"/>
          <c:extLst>
            <c:ext xmlns:c16="http://schemas.microsoft.com/office/drawing/2014/chart" uri="{C3380CC4-5D6E-409C-BE32-E72D297353CC}">
              <c16:uniqueId val="{00000005-70C8-45FE-A1EC-E336C0C2970C}"/>
            </c:ext>
          </c:extLst>
        </c:ser>
        <c:ser>
          <c:idx val="0"/>
          <c:order val="8"/>
          <c:tx>
            <c:strRef>
              <c:f>Calculations!$M$9</c:f>
              <c:strCache>
                <c:ptCount val="1"/>
                <c:pt idx="0">
                  <c:v>BMI 18.5</c:v>
                </c:pt>
              </c:strCache>
            </c:strRef>
          </c:tx>
          <c:spPr>
            <a:ln w="25400">
              <a:solidFill>
                <a:srgbClr val="8394C9"/>
              </a:solidFill>
              <a:prstDash val="solid"/>
            </a:ln>
          </c:spPr>
          <c:marker>
            <c:symbol val="none"/>
          </c:marker>
          <c:cat>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cat>
          <c:val>
            <c:numRef>
              <c:f>Calculations!$M$12:$M$36</c:f>
              <c:numCache>
                <c:formatCode>0.00</c:formatCode>
                <c:ptCount val="25"/>
                <c:pt idx="0">
                  <c:v>82.526315789473685</c:v>
                </c:pt>
                <c:pt idx="1">
                  <c:v>85.5</c:v>
                </c:pt>
                <c:pt idx="2">
                  <c:v>88.526315789473685</c:v>
                </c:pt>
                <c:pt idx="3">
                  <c:v>91.60526315789474</c:v>
                </c:pt>
                <c:pt idx="4">
                  <c:v>94.736842105263165</c:v>
                </c:pt>
                <c:pt idx="5">
                  <c:v>97.921052631578945</c:v>
                </c:pt>
                <c:pt idx="6">
                  <c:v>101.15789473684211</c:v>
                </c:pt>
                <c:pt idx="7">
                  <c:v>104.44736842105263</c:v>
                </c:pt>
                <c:pt idx="8">
                  <c:v>107.78947368421052</c:v>
                </c:pt>
                <c:pt idx="9">
                  <c:v>111.18421052631579</c:v>
                </c:pt>
                <c:pt idx="10">
                  <c:v>114.63157894736842</c:v>
                </c:pt>
                <c:pt idx="11">
                  <c:v>118.13157894736842</c:v>
                </c:pt>
                <c:pt idx="12">
                  <c:v>121.68421052631579</c:v>
                </c:pt>
                <c:pt idx="13">
                  <c:v>125.28947368421052</c:v>
                </c:pt>
                <c:pt idx="14">
                  <c:v>128.94736842105263</c:v>
                </c:pt>
                <c:pt idx="15">
                  <c:v>132.65789473684211</c:v>
                </c:pt>
                <c:pt idx="16">
                  <c:v>136.42105263157896</c:v>
                </c:pt>
                <c:pt idx="17">
                  <c:v>140.23684210526315</c:v>
                </c:pt>
                <c:pt idx="18">
                  <c:v>144.10526315789474</c:v>
                </c:pt>
                <c:pt idx="19">
                  <c:v>148.02631578947367</c:v>
                </c:pt>
                <c:pt idx="20">
                  <c:v>152</c:v>
                </c:pt>
                <c:pt idx="21">
                  <c:v>156.02631578947367</c:v>
                </c:pt>
                <c:pt idx="22">
                  <c:v>160.10526315789474</c:v>
                </c:pt>
                <c:pt idx="23">
                  <c:v>164.23684210526315</c:v>
                </c:pt>
                <c:pt idx="24">
                  <c:v>168.42105263157896</c:v>
                </c:pt>
              </c:numCache>
            </c:numRef>
          </c:val>
          <c:smooth val="0"/>
          <c:extLst>
            <c:ext xmlns:c16="http://schemas.microsoft.com/office/drawing/2014/chart" uri="{C3380CC4-5D6E-409C-BE32-E72D297353CC}">
              <c16:uniqueId val="{00000006-70C8-45FE-A1EC-E336C0C2970C}"/>
            </c:ext>
          </c:extLst>
        </c:ser>
        <c:dLbls>
          <c:showLegendKey val="0"/>
          <c:showVal val="0"/>
          <c:showCatName val="0"/>
          <c:showSerName val="0"/>
          <c:showPercent val="0"/>
          <c:showBubbleSize val="0"/>
        </c:dLbls>
        <c:marker val="1"/>
        <c:smooth val="0"/>
        <c:axId val="190792064"/>
        <c:axId val="190794368"/>
      </c:lineChart>
      <c:lineChart>
        <c:grouping val="standard"/>
        <c:varyColors val="0"/>
        <c:ser>
          <c:idx val="5"/>
          <c:order val="7"/>
          <c:tx>
            <c:v>SecondaryAxis</c:v>
          </c:tx>
          <c:spPr>
            <a:ln w="19050">
              <a:noFill/>
            </a:ln>
          </c:spPr>
          <c:marker>
            <c:symbol val="none"/>
          </c:marker>
          <c:cat>
            <c:strRef>
              <c:f>Calculations!$E$12:$E$36</c:f>
              <c:strCache>
                <c:ptCount val="25"/>
                <c:pt idx="0">
                  <c:v>4'8"
142</c:v>
                </c:pt>
                <c:pt idx="1">
                  <c:v>4'9"
145</c:v>
                </c:pt>
                <c:pt idx="2">
                  <c:v>4'10"
147cm</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v>
                </c:pt>
              </c:strCache>
            </c:strRef>
          </c:cat>
          <c:val>
            <c:numRef>
              <c:f>Calculations!$F$12:$F$36</c:f>
              <c:numCache>
                <c:formatCode>0.0</c:formatCode>
                <c:ptCount val="25"/>
                <c:pt idx="0">
                  <c:v>40.714451131200008</c:v>
                </c:pt>
                <c:pt idx="1">
                  <c:v>43.009628523399996</c:v>
                </c:pt>
                <c:pt idx="2">
                  <c:v>45.304805915599999</c:v>
                </c:pt>
                <c:pt idx="3">
                  <c:v>47.599983307800002</c:v>
                </c:pt>
                <c:pt idx="4">
                  <c:v>49.895160700000005</c:v>
                </c:pt>
                <c:pt idx="5">
                  <c:v>52.190338092200001</c:v>
                </c:pt>
                <c:pt idx="6">
                  <c:v>54.485515484400004</c:v>
                </c:pt>
                <c:pt idx="7">
                  <c:v>56.780692876600007</c:v>
                </c:pt>
                <c:pt idx="8">
                  <c:v>59.07587026880001</c:v>
                </c:pt>
                <c:pt idx="9">
                  <c:v>61.371047661000006</c:v>
                </c:pt>
                <c:pt idx="10">
                  <c:v>63.666225053200009</c:v>
                </c:pt>
                <c:pt idx="11">
                  <c:v>65.961402445399997</c:v>
                </c:pt>
                <c:pt idx="12">
                  <c:v>68.2565798376</c:v>
                </c:pt>
                <c:pt idx="13">
                  <c:v>70.551757229800003</c:v>
                </c:pt>
                <c:pt idx="14">
                  <c:v>72.846934622000006</c:v>
                </c:pt>
                <c:pt idx="15">
                  <c:v>75.142112014200009</c:v>
                </c:pt>
                <c:pt idx="16">
                  <c:v>77.437289406399998</c:v>
                </c:pt>
                <c:pt idx="17">
                  <c:v>79.732466798600001</c:v>
                </c:pt>
                <c:pt idx="18">
                  <c:v>82.02764419079999</c:v>
                </c:pt>
                <c:pt idx="19">
                  <c:v>84.322821582999993</c:v>
                </c:pt>
                <c:pt idx="20">
                  <c:v>86.617998975199995</c:v>
                </c:pt>
                <c:pt idx="21">
                  <c:v>88.913176367399998</c:v>
                </c:pt>
                <c:pt idx="22">
                  <c:v>91.208353759600001</c:v>
                </c:pt>
                <c:pt idx="23">
                  <c:v>93.503531151800004</c:v>
                </c:pt>
                <c:pt idx="24">
                  <c:v>95.798708543999993</c:v>
                </c:pt>
              </c:numCache>
            </c:numRef>
          </c:val>
          <c:smooth val="0"/>
          <c:extLst>
            <c:ext xmlns:c16="http://schemas.microsoft.com/office/drawing/2014/chart" uri="{C3380CC4-5D6E-409C-BE32-E72D297353CC}">
              <c16:uniqueId val="{00000007-70C8-45FE-A1EC-E336C0C2970C}"/>
            </c:ext>
          </c:extLst>
        </c:ser>
        <c:dLbls>
          <c:showLegendKey val="0"/>
          <c:showVal val="0"/>
          <c:showCatName val="0"/>
          <c:showSerName val="0"/>
          <c:showPercent val="0"/>
          <c:showBubbleSize val="0"/>
        </c:dLbls>
        <c:marker val="1"/>
        <c:smooth val="0"/>
        <c:axId val="197158016"/>
        <c:axId val="197159552"/>
      </c:lineChart>
      <c:scatterChart>
        <c:scatterStyle val="lineMarker"/>
        <c:varyColors val="0"/>
        <c:ser>
          <c:idx val="10"/>
          <c:order val="6"/>
          <c:tx>
            <c:v>H_Minor_Gridlines</c:v>
          </c:tx>
          <c:spPr>
            <a:ln w="19050">
              <a:noFill/>
            </a:ln>
          </c:spPr>
          <c:marker>
            <c:symbol val="none"/>
          </c:marker>
          <c:errBars>
            <c:errDir val="x"/>
            <c:errBarType val="plus"/>
            <c:errValType val="fixedVal"/>
            <c:noEndCap val="1"/>
            <c:val val="24"/>
            <c:spPr>
              <a:ln w="12700">
                <a:solidFill>
                  <a:schemeClr val="bg1">
                    <a:lumMod val="65000"/>
                  </a:schemeClr>
                </a:solidFill>
                <a:prstDash val="sysDash"/>
              </a:ln>
            </c:spPr>
          </c:errBars>
          <c:xVal>
            <c:numRef>
              <c:f>Calculations!$X$12:$X$36</c:f>
              <c:numCache>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xVal>
          <c:yVal>
            <c:numRef>
              <c:f>Calculations!$W$12:$W$36</c:f>
              <c:numCache>
                <c:formatCode>General</c:formatCode>
                <c:ptCount val="25"/>
                <c:pt idx="1">
                  <c:v>50</c:v>
                </c:pt>
                <c:pt idx="3">
                  <c:v>70</c:v>
                </c:pt>
                <c:pt idx="5">
                  <c:v>90</c:v>
                </c:pt>
                <c:pt idx="7">
                  <c:v>110</c:v>
                </c:pt>
                <c:pt idx="9">
                  <c:v>130</c:v>
                </c:pt>
                <c:pt idx="11">
                  <c:v>150</c:v>
                </c:pt>
                <c:pt idx="13">
                  <c:v>170</c:v>
                </c:pt>
                <c:pt idx="15">
                  <c:v>190</c:v>
                </c:pt>
                <c:pt idx="17">
                  <c:v>210</c:v>
                </c:pt>
                <c:pt idx="19">
                  <c:v>230</c:v>
                </c:pt>
                <c:pt idx="21">
                  <c:v>250</c:v>
                </c:pt>
                <c:pt idx="23">
                  <c:v>270</c:v>
                </c:pt>
              </c:numCache>
            </c:numRef>
          </c:yVal>
          <c:smooth val="0"/>
          <c:extLst>
            <c:ext xmlns:c16="http://schemas.microsoft.com/office/drawing/2014/chart" uri="{C3380CC4-5D6E-409C-BE32-E72D297353CC}">
              <c16:uniqueId val="{00000008-70C8-45FE-A1EC-E336C0C2970C}"/>
            </c:ext>
          </c:extLst>
        </c:ser>
        <c:ser>
          <c:idx val="9"/>
          <c:order val="9"/>
          <c:tx>
            <c:v>H_Major_Gridlines</c:v>
          </c:tx>
          <c:spPr>
            <a:ln w="19050">
              <a:noFill/>
            </a:ln>
          </c:spPr>
          <c:marker>
            <c:symbol val="none"/>
          </c:marker>
          <c:errBars>
            <c:errDir val="x"/>
            <c:errBarType val="plus"/>
            <c:errValType val="fixedVal"/>
            <c:noEndCap val="1"/>
            <c:val val="24"/>
            <c:spPr>
              <a:ln w="12700">
                <a:solidFill>
                  <a:schemeClr val="bg1">
                    <a:lumMod val="65000"/>
                  </a:schemeClr>
                </a:solidFill>
                <a:prstDash val="solid"/>
              </a:ln>
            </c:spPr>
          </c:errBars>
          <c:xVal>
            <c:numRef>
              <c:f>Calculations!$X$12:$X$36</c:f>
              <c:numCache>
                <c:formatCode>General</c:formatCode>
                <c:ptCount val="2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numCache>
            </c:numRef>
          </c:xVal>
          <c:yVal>
            <c:numRef>
              <c:f>Calculations!$V$12:$V$36</c:f>
              <c:numCache>
                <c:formatCode>General</c:formatCode>
                <c:ptCount val="25"/>
                <c:pt idx="0">
                  <c:v>40</c:v>
                </c:pt>
                <c:pt idx="2">
                  <c:v>60</c:v>
                </c:pt>
                <c:pt idx="4">
                  <c:v>80</c:v>
                </c:pt>
                <c:pt idx="6">
                  <c:v>100</c:v>
                </c:pt>
                <c:pt idx="8">
                  <c:v>120</c:v>
                </c:pt>
                <c:pt idx="10">
                  <c:v>140</c:v>
                </c:pt>
                <c:pt idx="12">
                  <c:v>160</c:v>
                </c:pt>
                <c:pt idx="14">
                  <c:v>180</c:v>
                </c:pt>
                <c:pt idx="16">
                  <c:v>200</c:v>
                </c:pt>
                <c:pt idx="18">
                  <c:v>220</c:v>
                </c:pt>
                <c:pt idx="20">
                  <c:v>240</c:v>
                </c:pt>
                <c:pt idx="22">
                  <c:v>260</c:v>
                </c:pt>
                <c:pt idx="24">
                  <c:v>280</c:v>
                </c:pt>
              </c:numCache>
            </c:numRef>
          </c:yVal>
          <c:smooth val="0"/>
          <c:extLst>
            <c:ext xmlns:c16="http://schemas.microsoft.com/office/drawing/2014/chart" uri="{C3380CC4-5D6E-409C-BE32-E72D297353CC}">
              <c16:uniqueId val="{00000009-70C8-45FE-A1EC-E336C0C2970C}"/>
            </c:ext>
          </c:extLst>
        </c:ser>
        <c:ser>
          <c:idx val="3"/>
          <c:order val="10"/>
          <c:tx>
            <c:strRef>
              <c:f>Calculations!$K$8</c:f>
              <c:strCache>
                <c:ptCount val="1"/>
                <c:pt idx="0">
                  <c:v>Miller Formula</c:v>
                </c:pt>
              </c:strCache>
            </c:strRef>
          </c:tx>
          <c:spPr>
            <a:ln w="38100">
              <a:solidFill>
                <a:srgbClr val="6B0C00"/>
              </a:solidFill>
              <a:prstDash val="solid"/>
            </a:ln>
          </c:spPr>
          <c:marker>
            <c:symbol val="none"/>
          </c:marker>
          <c:xVal>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xVal>
          <c:yVal>
            <c:numRef>
              <c:f>Calculations!$L$12:$L$36</c:f>
              <c:numCache>
                <c:formatCode>0.00</c:formatCode>
                <c:ptCount val="25"/>
                <c:pt idx="0">
                  <c:v>104.85999999999999</c:v>
                </c:pt>
                <c:pt idx="1">
                  <c:v>107.85</c:v>
                </c:pt>
                <c:pt idx="2">
                  <c:v>110.83999999999999</c:v>
                </c:pt>
                <c:pt idx="3">
                  <c:v>113.83</c:v>
                </c:pt>
                <c:pt idx="4">
                  <c:v>116.82</c:v>
                </c:pt>
                <c:pt idx="5">
                  <c:v>119.80999999999999</c:v>
                </c:pt>
                <c:pt idx="6">
                  <c:v>122.8</c:v>
                </c:pt>
                <c:pt idx="7">
                  <c:v>125.78999999999999</c:v>
                </c:pt>
                <c:pt idx="8">
                  <c:v>128.78</c:v>
                </c:pt>
                <c:pt idx="9">
                  <c:v>131.76999999999998</c:v>
                </c:pt>
                <c:pt idx="10">
                  <c:v>134.76</c:v>
                </c:pt>
                <c:pt idx="11">
                  <c:v>137.75</c:v>
                </c:pt>
                <c:pt idx="12">
                  <c:v>140.74</c:v>
                </c:pt>
                <c:pt idx="13">
                  <c:v>143.72999999999999</c:v>
                </c:pt>
                <c:pt idx="14">
                  <c:v>146.72</c:v>
                </c:pt>
                <c:pt idx="15">
                  <c:v>149.70999999999998</c:v>
                </c:pt>
                <c:pt idx="16">
                  <c:v>152.69999999999999</c:v>
                </c:pt>
                <c:pt idx="17">
                  <c:v>155.69</c:v>
                </c:pt>
                <c:pt idx="18">
                  <c:v>158.68</c:v>
                </c:pt>
                <c:pt idx="19">
                  <c:v>161.66999999999999</c:v>
                </c:pt>
                <c:pt idx="20">
                  <c:v>164.66</c:v>
                </c:pt>
                <c:pt idx="21">
                  <c:v>167.65</c:v>
                </c:pt>
                <c:pt idx="22">
                  <c:v>170.64</c:v>
                </c:pt>
                <c:pt idx="23">
                  <c:v>173.63</c:v>
                </c:pt>
                <c:pt idx="24">
                  <c:v>176.62</c:v>
                </c:pt>
              </c:numCache>
            </c:numRef>
          </c:yVal>
          <c:smooth val="0"/>
          <c:extLst>
            <c:ext xmlns:c16="http://schemas.microsoft.com/office/drawing/2014/chart" uri="{C3380CC4-5D6E-409C-BE32-E72D297353CC}">
              <c16:uniqueId val="{0000000A-70C8-45FE-A1EC-E336C0C2970C}"/>
            </c:ext>
          </c:extLst>
        </c:ser>
        <c:ser>
          <c:idx val="4"/>
          <c:order val="11"/>
          <c:tx>
            <c:strRef>
              <c:f>Calculations!$I$8</c:f>
              <c:strCache>
                <c:ptCount val="1"/>
                <c:pt idx="0">
                  <c:v>Robinson Formula</c:v>
                </c:pt>
              </c:strCache>
            </c:strRef>
          </c:tx>
          <c:spPr>
            <a:ln w="38100">
              <a:solidFill>
                <a:srgbClr val="085108"/>
              </a:solidFill>
              <a:prstDash val="solid"/>
            </a:ln>
          </c:spPr>
          <c:marker>
            <c:symbol val="none"/>
          </c:marker>
          <c:xVal>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xVal>
          <c:yVal>
            <c:numRef>
              <c:f>Calculations!$J$12:$J$36</c:f>
              <c:numCache>
                <c:formatCode>0.00</c:formatCode>
                <c:ptCount val="25"/>
                <c:pt idx="0">
                  <c:v>92.84</c:v>
                </c:pt>
                <c:pt idx="1">
                  <c:v>96.58</c:v>
                </c:pt>
                <c:pt idx="2">
                  <c:v>100.32</c:v>
                </c:pt>
                <c:pt idx="3">
                  <c:v>104.06</c:v>
                </c:pt>
                <c:pt idx="4">
                  <c:v>107.8</c:v>
                </c:pt>
                <c:pt idx="5">
                  <c:v>111.53999999999999</c:v>
                </c:pt>
                <c:pt idx="6">
                  <c:v>115.28</c:v>
                </c:pt>
                <c:pt idx="7">
                  <c:v>119.02</c:v>
                </c:pt>
                <c:pt idx="8">
                  <c:v>122.75999999999999</c:v>
                </c:pt>
                <c:pt idx="9">
                  <c:v>126.5</c:v>
                </c:pt>
                <c:pt idx="10">
                  <c:v>130.24</c:v>
                </c:pt>
                <c:pt idx="11">
                  <c:v>133.97999999999999</c:v>
                </c:pt>
                <c:pt idx="12">
                  <c:v>137.72</c:v>
                </c:pt>
                <c:pt idx="13">
                  <c:v>141.46</c:v>
                </c:pt>
                <c:pt idx="14">
                  <c:v>145.19999999999999</c:v>
                </c:pt>
                <c:pt idx="15">
                  <c:v>148.94</c:v>
                </c:pt>
                <c:pt idx="16">
                  <c:v>152.68</c:v>
                </c:pt>
                <c:pt idx="17">
                  <c:v>156.42000000000002</c:v>
                </c:pt>
                <c:pt idx="18">
                  <c:v>160.16</c:v>
                </c:pt>
                <c:pt idx="19">
                  <c:v>163.9</c:v>
                </c:pt>
                <c:pt idx="20">
                  <c:v>167.64</c:v>
                </c:pt>
                <c:pt idx="21">
                  <c:v>171.38</c:v>
                </c:pt>
                <c:pt idx="22">
                  <c:v>175.12</c:v>
                </c:pt>
                <c:pt idx="23">
                  <c:v>178.86</c:v>
                </c:pt>
                <c:pt idx="24">
                  <c:v>182.60000000000002</c:v>
                </c:pt>
              </c:numCache>
            </c:numRef>
          </c:yVal>
          <c:smooth val="0"/>
          <c:extLst>
            <c:ext xmlns:c16="http://schemas.microsoft.com/office/drawing/2014/chart" uri="{C3380CC4-5D6E-409C-BE32-E72D297353CC}">
              <c16:uniqueId val="{0000000B-70C8-45FE-A1EC-E336C0C2970C}"/>
            </c:ext>
          </c:extLst>
        </c:ser>
        <c:ser>
          <c:idx val="2"/>
          <c:order val="12"/>
          <c:tx>
            <c:strRef>
              <c:f>Calculations!$G$8</c:f>
              <c:strCache>
                <c:ptCount val="1"/>
                <c:pt idx="0">
                  <c:v>Devine Formula</c:v>
                </c:pt>
              </c:strCache>
            </c:strRef>
          </c:tx>
          <c:spPr>
            <a:ln w="38100">
              <a:solidFill>
                <a:srgbClr val="182C63"/>
              </a:solidFill>
              <a:prstDash val="solid"/>
            </a:ln>
          </c:spPr>
          <c:marker>
            <c:symbol val="none"/>
          </c:marker>
          <c:xVal>
            <c:strRef>
              <c:f>Calculations!$D$12:$D$36</c:f>
              <c:strCache>
                <c:ptCount val="25"/>
                <c:pt idx="0">
                  <c:v>4'8"
142cm</c:v>
                </c:pt>
                <c:pt idx="1">
                  <c:v>4'9"
145</c:v>
                </c:pt>
                <c:pt idx="2">
                  <c:v>4'10"
147</c:v>
                </c:pt>
                <c:pt idx="3">
                  <c:v>4'11"
150</c:v>
                </c:pt>
                <c:pt idx="4">
                  <c:v>5'0"
152</c:v>
                </c:pt>
                <c:pt idx="5">
                  <c:v>5'1"
155</c:v>
                </c:pt>
                <c:pt idx="6">
                  <c:v>5'2"
157</c:v>
                </c:pt>
                <c:pt idx="7">
                  <c:v>5'3"
160</c:v>
                </c:pt>
                <c:pt idx="8">
                  <c:v>5'4"
163</c:v>
                </c:pt>
                <c:pt idx="9">
                  <c:v>5'5"
165</c:v>
                </c:pt>
                <c:pt idx="10">
                  <c:v>5'6"
168</c:v>
                </c:pt>
                <c:pt idx="11">
                  <c:v>5'7"
170</c:v>
                </c:pt>
                <c:pt idx="12">
                  <c:v>5'8"
173</c:v>
                </c:pt>
                <c:pt idx="13">
                  <c:v>5'9"
175</c:v>
                </c:pt>
                <c:pt idx="14">
                  <c:v>5'10"
178</c:v>
                </c:pt>
                <c:pt idx="15">
                  <c:v>5'11"
180</c:v>
                </c:pt>
                <c:pt idx="16">
                  <c:v>6'0"
183</c:v>
                </c:pt>
                <c:pt idx="17">
                  <c:v>6'1"
185</c:v>
                </c:pt>
                <c:pt idx="18">
                  <c:v>6'2"
188</c:v>
                </c:pt>
                <c:pt idx="19">
                  <c:v>6'3"
191</c:v>
                </c:pt>
                <c:pt idx="20">
                  <c:v>6'4"
193</c:v>
                </c:pt>
                <c:pt idx="21">
                  <c:v>6'5"
196</c:v>
                </c:pt>
                <c:pt idx="22">
                  <c:v>6'6"
198</c:v>
                </c:pt>
                <c:pt idx="23">
                  <c:v>6'7"
201</c:v>
                </c:pt>
                <c:pt idx="24">
                  <c:v>6'8"
203cm</c:v>
                </c:pt>
              </c:strCache>
            </c:strRef>
          </c:xVal>
          <c:yVal>
            <c:numRef>
              <c:f>Calculations!$H$12:$H$36</c:f>
              <c:numCache>
                <c:formatCode>0.00</c:formatCode>
                <c:ptCount val="25"/>
                <c:pt idx="0">
                  <c:v>79.86</c:v>
                </c:pt>
                <c:pt idx="1">
                  <c:v>84.919999999999987</c:v>
                </c:pt>
                <c:pt idx="2">
                  <c:v>89.97999999999999</c:v>
                </c:pt>
                <c:pt idx="3">
                  <c:v>95.039999999999992</c:v>
                </c:pt>
                <c:pt idx="4">
                  <c:v>100.1</c:v>
                </c:pt>
                <c:pt idx="5">
                  <c:v>105.16</c:v>
                </c:pt>
                <c:pt idx="6">
                  <c:v>110.22</c:v>
                </c:pt>
                <c:pt idx="7">
                  <c:v>115.28</c:v>
                </c:pt>
                <c:pt idx="8">
                  <c:v>120.33999999999999</c:v>
                </c:pt>
                <c:pt idx="9">
                  <c:v>125.39999999999999</c:v>
                </c:pt>
                <c:pt idx="10">
                  <c:v>130.45999999999998</c:v>
                </c:pt>
                <c:pt idx="11">
                  <c:v>135.51999999999998</c:v>
                </c:pt>
                <c:pt idx="12">
                  <c:v>140.57999999999998</c:v>
                </c:pt>
                <c:pt idx="13">
                  <c:v>145.63999999999999</c:v>
                </c:pt>
                <c:pt idx="14">
                  <c:v>150.69999999999999</c:v>
                </c:pt>
                <c:pt idx="15">
                  <c:v>155.76</c:v>
                </c:pt>
                <c:pt idx="16">
                  <c:v>160.82</c:v>
                </c:pt>
                <c:pt idx="17">
                  <c:v>165.88</c:v>
                </c:pt>
                <c:pt idx="18">
                  <c:v>170.94</c:v>
                </c:pt>
                <c:pt idx="19">
                  <c:v>176</c:v>
                </c:pt>
                <c:pt idx="20">
                  <c:v>181.06</c:v>
                </c:pt>
                <c:pt idx="21">
                  <c:v>186.12</c:v>
                </c:pt>
                <c:pt idx="22">
                  <c:v>191.18</c:v>
                </c:pt>
                <c:pt idx="23">
                  <c:v>196.23999999999998</c:v>
                </c:pt>
                <c:pt idx="24">
                  <c:v>201.29999999999998</c:v>
                </c:pt>
              </c:numCache>
            </c:numRef>
          </c:yVal>
          <c:smooth val="0"/>
          <c:extLst>
            <c:ext xmlns:c16="http://schemas.microsoft.com/office/drawing/2014/chart" uri="{C3380CC4-5D6E-409C-BE32-E72D297353CC}">
              <c16:uniqueId val="{0000000C-70C8-45FE-A1EC-E336C0C2970C}"/>
            </c:ext>
          </c:extLst>
        </c:ser>
        <c:dLbls>
          <c:showLegendKey val="0"/>
          <c:showVal val="0"/>
          <c:showCatName val="0"/>
          <c:showSerName val="0"/>
          <c:showPercent val="0"/>
          <c:showBubbleSize val="0"/>
        </c:dLbls>
        <c:axId val="190792064"/>
        <c:axId val="190794368"/>
      </c:scatterChart>
      <c:catAx>
        <c:axId val="190792064"/>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sz="1100" b="1" i="0" u="none" strike="noStrike" baseline="0">
                    <a:solidFill>
                      <a:srgbClr val="000000"/>
                    </a:solidFill>
                    <a:latin typeface="Arial"/>
                    <a:cs typeface="Arial"/>
                  </a:rPr>
                  <a:t>Height</a:t>
                </a:r>
                <a:r>
                  <a:rPr lang="en-US" sz="1100" b="0" i="0" u="none" strike="noStrike" baseline="0">
                    <a:solidFill>
                      <a:srgbClr val="000000"/>
                    </a:solidFill>
                    <a:latin typeface="Arial"/>
                    <a:cs typeface="Arial"/>
                  </a:rPr>
                  <a:t> (no shoes)</a:t>
                </a:r>
              </a:p>
            </c:rich>
          </c:tx>
          <c:layout>
            <c:manualLayout>
              <c:xMode val="edge"/>
              <c:yMode val="edge"/>
              <c:x val="0.37876138927802583"/>
              <c:y val="0.91891891891891897"/>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975" b="0" i="0" u="none" strike="noStrike" baseline="0">
                <a:solidFill>
                  <a:srgbClr val="000000"/>
                </a:solidFill>
                <a:latin typeface="Tahoma"/>
                <a:ea typeface="Tahoma"/>
                <a:cs typeface="Tahoma"/>
              </a:defRPr>
            </a:pPr>
            <a:endParaRPr lang="en-US"/>
          </a:p>
        </c:txPr>
        <c:crossAx val="190794368"/>
        <c:crosses val="autoZero"/>
        <c:auto val="1"/>
        <c:lblAlgn val="ctr"/>
        <c:lblOffset val="100"/>
        <c:tickLblSkip val="2"/>
        <c:tickMarkSkip val="2"/>
        <c:noMultiLvlLbl val="0"/>
      </c:catAx>
      <c:valAx>
        <c:axId val="190794368"/>
        <c:scaling>
          <c:orientation val="minMax"/>
          <c:max val="240"/>
          <c:min val="80"/>
        </c:scaling>
        <c:delete val="0"/>
        <c:axPos val="l"/>
        <c:title>
          <c:tx>
            <c:rich>
              <a:bodyPr/>
              <a:lstStyle/>
              <a:p>
                <a:pPr>
                  <a:defRPr sz="1100" b="1" i="0" u="none" strike="noStrike" baseline="0">
                    <a:solidFill>
                      <a:srgbClr val="000000"/>
                    </a:solidFill>
                    <a:latin typeface="Arial"/>
                    <a:ea typeface="Arial"/>
                    <a:cs typeface="Arial"/>
                  </a:defRPr>
                </a:pPr>
                <a:r>
                  <a:rPr lang="en-US"/>
                  <a:t>Weight (lbs)</a:t>
                </a:r>
              </a:p>
            </c:rich>
          </c:tx>
          <c:layout>
            <c:manualLayout>
              <c:xMode val="edge"/>
              <c:yMode val="edge"/>
              <c:x val="1.0619478204056799E-2"/>
              <c:y val="0.3390663390663390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Tahoma"/>
                <a:ea typeface="Tahoma"/>
                <a:cs typeface="Tahoma"/>
              </a:defRPr>
            </a:pPr>
            <a:endParaRPr lang="en-US"/>
          </a:p>
        </c:txPr>
        <c:crossAx val="190792064"/>
        <c:crosses val="autoZero"/>
        <c:crossBetween val="midCat"/>
        <c:majorUnit val="20"/>
        <c:minorUnit val="10"/>
      </c:valAx>
      <c:catAx>
        <c:axId val="197158016"/>
        <c:scaling>
          <c:orientation val="minMax"/>
        </c:scaling>
        <c:delete val="1"/>
        <c:axPos val="t"/>
        <c:numFmt formatCode="General" sourceLinked="1"/>
        <c:majorTickMark val="out"/>
        <c:minorTickMark val="none"/>
        <c:tickLblPos val="nextTo"/>
        <c:crossAx val="197159552"/>
        <c:crosses val="max"/>
        <c:auto val="1"/>
        <c:lblAlgn val="ctr"/>
        <c:lblOffset val="100"/>
        <c:noMultiLvlLbl val="0"/>
      </c:catAx>
      <c:valAx>
        <c:axId val="197159552"/>
        <c:scaling>
          <c:orientation val="minMax"/>
          <c:max val="108.8622"/>
          <c:min val="36.287390000000002"/>
        </c:scaling>
        <c:delete val="0"/>
        <c:axPos val="r"/>
        <c:title>
          <c:tx>
            <c:rich>
              <a:bodyPr/>
              <a:lstStyle/>
              <a:p>
                <a:pPr>
                  <a:defRPr sz="1100" b="1" i="0" u="none" strike="noStrike" baseline="0">
                    <a:solidFill>
                      <a:srgbClr val="000000"/>
                    </a:solidFill>
                    <a:latin typeface="Arial"/>
                    <a:ea typeface="Arial"/>
                    <a:cs typeface="Arial"/>
                  </a:defRPr>
                </a:pPr>
                <a:r>
                  <a:rPr lang="en-US"/>
                  <a:t>Weight (kg)</a:t>
                </a:r>
              </a:p>
            </c:rich>
          </c:tx>
          <c:layout>
            <c:manualLayout>
              <c:xMode val="edge"/>
              <c:yMode val="edge"/>
              <c:x val="0.93982382105902673"/>
              <c:y val="0.34398034398034399"/>
            </c:manualLayout>
          </c:layout>
          <c:overlay val="0"/>
          <c:spPr>
            <a:noFill/>
            <a:ln w="25400">
              <a:noFill/>
            </a:ln>
          </c:spPr>
        </c:title>
        <c:numFmt formatCode="0.0" sourceLinked="0"/>
        <c:majorTickMark val="out"/>
        <c:minorTickMark val="none"/>
        <c:tickLblPos val="nextTo"/>
        <c:spPr>
          <a:ln w="12700">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97158016"/>
        <c:crosses val="max"/>
        <c:crossBetween val="midCat"/>
        <c:majorUnit val="9.0718499999999995"/>
      </c:valAx>
      <c:spPr>
        <a:solidFill>
          <a:srgbClr val="FFFFFF"/>
        </a:solidFill>
        <a:ln w="25400">
          <a:noFill/>
        </a:ln>
      </c:spPr>
    </c:plotArea>
    <c:legend>
      <c:legendPos val="r"/>
      <c:legendEntry>
        <c:idx val="0"/>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ayout>
        <c:manualLayout>
          <c:xMode val="edge"/>
          <c:yMode val="edge"/>
          <c:x val="0.13982312968674787"/>
          <c:y val="0.11302211302211303"/>
          <c:w val="0.28141617240750522"/>
          <c:h val="0.21621621621621623"/>
        </c:manualLayout>
      </c:layout>
      <c:overlay val="0"/>
      <c:spPr>
        <a:solidFill>
          <a:srgbClr val="FFFFFF"/>
        </a:solidFill>
        <a:ln w="3175">
          <a:solidFill>
            <a:srgbClr val="B2B2B2"/>
          </a:solidFill>
          <a:prstDash val="solid"/>
        </a:ln>
      </c:spPr>
      <c:txPr>
        <a:bodyPr/>
        <a:lstStyle/>
        <a:p>
          <a:pPr>
            <a:defRPr sz="9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CDCE6"/>
    </a:solidFill>
    <a:ln w="6350">
      <a:noFill/>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vertex42.com/#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www.vertex42.com/#www.vertex42.com"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42</xdr:row>
      <xdr:rowOff>0</xdr:rowOff>
    </xdr:from>
    <xdr:to>
      <xdr:col>9</xdr:col>
      <xdr:colOff>190500</xdr:colOff>
      <xdr:row>65</xdr:row>
      <xdr:rowOff>142875</xdr:rowOff>
    </xdr:to>
    <xdr:graphicFrame macro="">
      <xdr:nvGraphicFramePr>
        <xdr:cNvPr id="1051" name="Chart 27">
          <a:extLst>
            <a:ext uri="{FF2B5EF4-FFF2-40B4-BE49-F238E27FC236}">
              <a16:creationId xmlns:a16="http://schemas.microsoft.com/office/drawing/2014/main" id="{00000000-0008-0000-0000-00001B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67</xdr:row>
      <xdr:rowOff>9525</xdr:rowOff>
    </xdr:from>
    <xdr:to>
      <xdr:col>9</xdr:col>
      <xdr:colOff>200025</xdr:colOff>
      <xdr:row>91</xdr:row>
      <xdr:rowOff>0</xdr:rowOff>
    </xdr:to>
    <xdr:graphicFrame macro="">
      <xdr:nvGraphicFramePr>
        <xdr:cNvPr id="1052" name="Chart 28">
          <a:extLst>
            <a:ext uri="{FF2B5EF4-FFF2-40B4-BE49-F238E27FC236}">
              <a16:creationId xmlns:a16="http://schemas.microsoft.com/office/drawing/2014/main" id="{00000000-0008-0000-0000-00001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0.00885</cdr:x>
      <cdr:y>0.94358</cdr:y>
    </cdr:from>
    <cdr:to>
      <cdr:x>0.22667</cdr:x>
      <cdr:y>0.98771</cdr:y>
    </cdr:to>
    <cdr:sp macro="" textlink="">
      <cdr:nvSpPr>
        <cdr:cNvPr id="189441"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0800" y="3661116"/>
          <a:ext cx="1172254" cy="1711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l" rtl="0">
            <a:defRPr sz="1000"/>
          </a:pPr>
          <a:endParaRPr lang="en-US" sz="800" b="0" i="0" u="sng" strike="noStrike" baseline="0">
            <a:solidFill>
              <a:srgbClr val="0000FF"/>
            </a:solidFill>
            <a:latin typeface="Arial"/>
            <a:cs typeface="Arial"/>
          </a:endParaRPr>
        </a:p>
      </cdr:txBody>
    </cdr:sp>
  </cdr:relSizeAnchor>
  <cdr:relSizeAnchor xmlns:cdr="http://schemas.openxmlformats.org/drawingml/2006/chartDrawing">
    <cdr:from>
      <cdr:x>0.77283</cdr:x>
      <cdr:y>0.94358</cdr:y>
    </cdr:from>
    <cdr:to>
      <cdr:x>0.99115</cdr:x>
      <cdr:y>0.98771</cdr:y>
    </cdr:to>
    <cdr:sp macro="" textlink="">
      <cdr:nvSpPr>
        <cdr:cNvPr id="189442" name="Text Box 2"/>
        <cdr:cNvSpPr txBox="1">
          <a:spLocks xmlns:a="http://schemas.openxmlformats.org/drawingml/2006/main" noChangeArrowheads="1"/>
        </cdr:cNvSpPr>
      </cdr:nvSpPr>
      <cdr:spPr bwMode="auto">
        <a:xfrm xmlns:a="http://schemas.openxmlformats.org/drawingml/2006/main">
          <a:off x="4162278" y="3661116"/>
          <a:ext cx="1174897" cy="1711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r" rtl="0">
            <a:defRPr sz="1000"/>
          </a:pPr>
          <a:endParaRPr lang="en-US" sz="800" b="0" i="0" u="none" strike="noStrike" baseline="0">
            <a:solidFill>
              <a:srgbClr val="000000"/>
            </a:solidFill>
            <a:latin typeface="Arial"/>
            <a:cs typeface="Arial"/>
          </a:endParaRPr>
        </a:p>
      </cdr:txBody>
    </cdr:sp>
  </cdr:relSizeAnchor>
  <cdr:relSizeAnchor xmlns:cdr="http://schemas.openxmlformats.org/drawingml/2006/chartDrawing">
    <cdr:from>
      <cdr:x>0.6751</cdr:x>
      <cdr:y>0.57194</cdr:y>
    </cdr:from>
    <cdr:to>
      <cdr:x>0.80132</cdr:x>
      <cdr:y>0.60974</cdr:y>
    </cdr:to>
    <cdr:sp macro="" textlink="">
      <cdr:nvSpPr>
        <cdr:cNvPr id="189443" name="Text Box 3"/>
        <cdr:cNvSpPr txBox="1">
          <a:spLocks xmlns:a="http://schemas.openxmlformats.org/drawingml/2006/main" noChangeArrowheads="1"/>
        </cdr:cNvSpPr>
      </cdr:nvSpPr>
      <cdr:spPr bwMode="auto">
        <a:xfrm xmlns:a="http://schemas.openxmlformats.org/drawingml/2006/main">
          <a:off x="3636284" y="2220393"/>
          <a:ext cx="679299" cy="14653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CC" mc:Ignorable="a14" a14:legacySpreadsheetColorIndex="43"/>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Underweight</a:t>
          </a:r>
        </a:p>
      </cdr:txBody>
    </cdr:sp>
  </cdr:relSizeAnchor>
  <cdr:relSizeAnchor xmlns:cdr="http://schemas.openxmlformats.org/drawingml/2006/chartDrawing">
    <cdr:from>
      <cdr:x>0.50589</cdr:x>
      <cdr:y>0.25956</cdr:y>
    </cdr:from>
    <cdr:to>
      <cdr:x>0.61861</cdr:x>
      <cdr:y>0.29882</cdr:y>
    </cdr:to>
    <cdr:sp macro="" textlink="">
      <cdr:nvSpPr>
        <cdr:cNvPr id="189444" name="Text Box 4"/>
        <cdr:cNvSpPr txBox="1">
          <a:spLocks xmlns:a="http://schemas.openxmlformats.org/drawingml/2006/main" noChangeArrowheads="1"/>
        </cdr:cNvSpPr>
      </cdr:nvSpPr>
      <cdr:spPr bwMode="auto">
        <a:xfrm xmlns:a="http://schemas.openxmlformats.org/drawingml/2006/main">
          <a:off x="2725706" y="1009391"/>
          <a:ext cx="606611" cy="15220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CC" mc:Ignorable="a14" a14:legacySpreadsheetColorIndex="43"/>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Overweight</a:t>
          </a:r>
        </a:p>
      </cdr:txBody>
    </cdr:sp>
  </cdr:relSizeAnchor>
</c:userShapes>
</file>

<file path=xl/drawings/drawing3.xml><?xml version="1.0" encoding="utf-8"?>
<c:userShapes xmlns:c="http://schemas.openxmlformats.org/drawingml/2006/chart">
  <cdr:relSizeAnchor xmlns:cdr="http://schemas.openxmlformats.org/drawingml/2006/chartDrawing">
    <cdr:from>
      <cdr:x>0.00883</cdr:x>
      <cdr:y>0.9436</cdr:y>
    </cdr:from>
    <cdr:to>
      <cdr:x>0.22642</cdr:x>
      <cdr:y>0.98775</cdr:y>
    </cdr:to>
    <cdr:sp macro="" textlink="">
      <cdr:nvSpPr>
        <cdr:cNvPr id="210945"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50800" y="3670210"/>
          <a:ext cx="1173042" cy="1715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l" rtl="0">
            <a:defRPr sz="1000"/>
          </a:pPr>
          <a:endParaRPr lang="en-US" sz="800" b="0" i="0" u="sng" strike="noStrike" baseline="0">
            <a:solidFill>
              <a:srgbClr val="0000FF"/>
            </a:solidFill>
            <a:latin typeface="Arial"/>
            <a:cs typeface="Arial"/>
          </a:endParaRPr>
        </a:p>
      </cdr:txBody>
    </cdr:sp>
  </cdr:relSizeAnchor>
  <cdr:relSizeAnchor xmlns:cdr="http://schemas.openxmlformats.org/drawingml/2006/chartDrawing">
    <cdr:from>
      <cdr:x>0.77309</cdr:x>
      <cdr:y>0.9436</cdr:y>
    </cdr:from>
    <cdr:to>
      <cdr:x>0.99117</cdr:x>
      <cdr:y>0.98775</cdr:y>
    </cdr:to>
    <cdr:sp macro="" textlink="">
      <cdr:nvSpPr>
        <cdr:cNvPr id="210946" name="Text Box 2"/>
        <cdr:cNvSpPr txBox="1">
          <a:spLocks xmlns:a="http://schemas.openxmlformats.org/drawingml/2006/main" noChangeArrowheads="1"/>
        </cdr:cNvSpPr>
      </cdr:nvSpPr>
      <cdr:spPr bwMode="auto">
        <a:xfrm xmlns:a="http://schemas.openxmlformats.org/drawingml/2006/main">
          <a:off x="4171010" y="3670210"/>
          <a:ext cx="1175690" cy="1715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r" rtl="0">
            <a:defRPr sz="1000"/>
          </a:pPr>
          <a:endParaRPr lang="en-US" sz="800" b="0" i="0" u="none" strike="noStrike" baseline="0">
            <a:solidFill>
              <a:srgbClr val="000000"/>
            </a:solidFill>
            <a:latin typeface="Arial"/>
            <a:cs typeface="Arial"/>
          </a:endParaRPr>
        </a:p>
      </cdr:txBody>
    </cdr:sp>
  </cdr:relSizeAnchor>
  <cdr:relSizeAnchor xmlns:cdr="http://schemas.openxmlformats.org/drawingml/2006/chartDrawing">
    <cdr:from>
      <cdr:x>0.50123</cdr:x>
      <cdr:y>0.2871</cdr:y>
    </cdr:from>
    <cdr:to>
      <cdr:x>0.6142</cdr:x>
      <cdr:y>0.32709</cdr:y>
    </cdr:to>
    <cdr:sp macro="" textlink="">
      <cdr:nvSpPr>
        <cdr:cNvPr id="210947" name="Text Box 3"/>
        <cdr:cNvSpPr txBox="1">
          <a:spLocks xmlns:a="http://schemas.openxmlformats.org/drawingml/2006/main" noChangeArrowheads="1"/>
        </cdr:cNvSpPr>
      </cdr:nvSpPr>
      <cdr:spPr bwMode="auto">
        <a:xfrm xmlns:a="http://schemas.openxmlformats.org/drawingml/2006/main">
          <a:off x="2705370" y="1118900"/>
          <a:ext cx="609028" cy="155429"/>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CC" mc:Ignorable="a14" a14:legacySpreadsheetColorIndex="43"/>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Overweight</a:t>
          </a:r>
        </a:p>
      </cdr:txBody>
    </cdr:sp>
  </cdr:relSizeAnchor>
  <cdr:relSizeAnchor xmlns:cdr="http://schemas.openxmlformats.org/drawingml/2006/chartDrawing">
    <cdr:from>
      <cdr:x>0.66012</cdr:x>
      <cdr:y>0.57731</cdr:y>
    </cdr:from>
    <cdr:to>
      <cdr:x>0.77383</cdr:x>
      <cdr:y>0.61803</cdr:y>
    </cdr:to>
    <cdr:sp macro="" textlink="">
      <cdr:nvSpPr>
        <cdr:cNvPr id="210948" name="Text Box 4"/>
        <cdr:cNvSpPr txBox="1">
          <a:spLocks xmlns:a="http://schemas.openxmlformats.org/drawingml/2006/main" noChangeArrowheads="1"/>
        </cdr:cNvSpPr>
      </cdr:nvSpPr>
      <cdr:spPr bwMode="auto">
        <a:xfrm xmlns:a="http://schemas.openxmlformats.org/drawingml/2006/main">
          <a:off x="3561982" y="2246708"/>
          <a:ext cx="613000" cy="158272"/>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CC" mc:Ignorable="a14" a14:legacySpreadsheetColorIndex="43"/>
        </a:solidFill>
        <a:ln xmlns:a="http://schemas.openxmlformats.org/drawingml/2006/main">
          <a:noFill/>
        </a:ln>
        <a:effectLst xmlns:a="http://schemas.openxmlformats.org/drawingml/2006/main"/>
        <a:extLst xmlns:a="http://schemas.openxmlformats.org/drawingml/2006/main">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0" tIns="0" rIns="0" bIns="0" anchor="ctr" upright="1"/>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Underweight</a:t>
          </a:r>
        </a:p>
      </cdr:txBody>
    </cdr:sp>
  </cdr:relSizeAnchor>
</c:userShapes>
</file>

<file path=xl/theme/theme1.xml><?xml version="1.0" encoding="utf-8"?>
<a:theme xmlns:a="http://schemas.openxmlformats.org/drawingml/2006/main" name="Office Theme">
  <a:themeElements>
    <a:clrScheme name="V42 - TRUE BLUE(purple) CLASSIC">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vertex42.com/ExcelTemplates/ideal-weigh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zoomScaleNormal="100" workbookViewId="0">
      <selection activeCell="J40" sqref="J40"/>
    </sheetView>
  </sheetViews>
  <sheetFormatPr defaultColWidth="11.140625" defaultRowHeight="12.75" x14ac:dyDescent="0.2"/>
  <cols>
    <col min="1" max="1" width="8.28515625" style="3" customWidth="1"/>
    <col min="2" max="9" width="9.7109375" style="3" customWidth="1"/>
    <col min="10" max="10" width="8.42578125" style="20" customWidth="1"/>
    <col min="11" max="16384" width="11.140625" style="3"/>
  </cols>
  <sheetData>
    <row r="1" spans="1:11" ht="30" customHeight="1" x14ac:dyDescent="0.35">
      <c r="A1" s="100" t="s">
        <v>18</v>
      </c>
      <c r="B1" s="101"/>
      <c r="C1" s="101"/>
      <c r="D1" s="101"/>
      <c r="E1" s="102"/>
      <c r="F1" s="101"/>
      <c r="G1" s="103"/>
      <c r="H1" s="103"/>
      <c r="I1" s="110"/>
      <c r="J1" s="110"/>
      <c r="K1" s="6"/>
    </row>
    <row r="2" spans="1:11" ht="15" x14ac:dyDescent="0.2">
      <c r="A2" s="104"/>
      <c r="B2" s="21"/>
      <c r="C2" s="21"/>
      <c r="D2" s="21"/>
      <c r="E2" s="21"/>
      <c r="F2" s="21"/>
      <c r="G2" s="21"/>
      <c r="I2" s="7"/>
      <c r="J2" s="22"/>
      <c r="K2" s="6"/>
    </row>
    <row r="4" spans="1:11" ht="67.5" customHeight="1" x14ac:dyDescent="0.2">
      <c r="A4" s="109" t="s">
        <v>93</v>
      </c>
      <c r="B4" s="109"/>
      <c r="C4" s="109"/>
      <c r="D4" s="109"/>
      <c r="E4" s="109"/>
      <c r="F4" s="109"/>
      <c r="G4" s="109"/>
      <c r="H4" s="109"/>
      <c r="I4" s="109"/>
      <c r="J4" s="109"/>
      <c r="K4" s="8"/>
    </row>
    <row r="5" spans="1:11" x14ac:dyDescent="0.2">
      <c r="A5" s="48"/>
      <c r="B5" s="50"/>
      <c r="C5" s="48"/>
      <c r="D5" s="48"/>
      <c r="E5" s="48"/>
      <c r="F5" s="48"/>
      <c r="G5" s="48"/>
      <c r="H5" s="48"/>
      <c r="I5" s="48"/>
      <c r="J5" s="51"/>
      <c r="K5" s="6"/>
    </row>
    <row r="6" spans="1:11" ht="15" x14ac:dyDescent="0.2">
      <c r="A6" s="115" t="s">
        <v>92</v>
      </c>
      <c r="B6" s="115"/>
      <c r="C6" s="115"/>
      <c r="D6" s="115"/>
      <c r="E6" s="115"/>
      <c r="F6" s="115"/>
      <c r="G6" s="115"/>
      <c r="H6" s="115"/>
      <c r="I6" s="115"/>
      <c r="J6" s="115"/>
      <c r="K6" s="6"/>
    </row>
    <row r="7" spans="1:11" x14ac:dyDescent="0.2">
      <c r="A7" s="48"/>
      <c r="B7" s="48"/>
      <c r="C7" s="48"/>
      <c r="D7" s="48"/>
      <c r="E7" s="116" t="s">
        <v>45</v>
      </c>
      <c r="F7" s="116"/>
      <c r="G7" s="48"/>
      <c r="H7" s="48"/>
      <c r="I7" s="48"/>
      <c r="J7" s="97" t="s">
        <v>89</v>
      </c>
      <c r="K7" s="6"/>
    </row>
    <row r="8" spans="1:11" x14ac:dyDescent="0.2">
      <c r="A8" s="48"/>
      <c r="B8" s="48"/>
      <c r="C8" s="48"/>
      <c r="D8" s="48"/>
      <c r="E8" s="48"/>
      <c r="F8" s="48"/>
      <c r="G8" s="48"/>
      <c r="H8" s="48"/>
      <c r="I8" s="48"/>
      <c r="J8" s="51"/>
      <c r="K8" s="6"/>
    </row>
    <row r="9" spans="1:11" s="11" customFormat="1" ht="14.1" customHeight="1" x14ac:dyDescent="0.2">
      <c r="A9" s="34" t="s">
        <v>5</v>
      </c>
      <c r="B9" s="111" t="s">
        <v>17</v>
      </c>
      <c r="C9" s="111"/>
      <c r="D9" s="113" t="s">
        <v>19</v>
      </c>
      <c r="E9" s="113"/>
      <c r="F9" s="112" t="s">
        <v>26</v>
      </c>
      <c r="G9" s="112"/>
      <c r="H9" s="114" t="s">
        <v>88</v>
      </c>
      <c r="I9" s="114"/>
      <c r="J9" s="34" t="s">
        <v>5</v>
      </c>
      <c r="K9" s="10"/>
    </row>
    <row r="10" spans="1:11" s="13" customFormat="1" ht="14.1" customHeight="1" x14ac:dyDescent="0.2">
      <c r="A10" s="35" t="s">
        <v>40</v>
      </c>
      <c r="B10" s="36" t="s">
        <v>65</v>
      </c>
      <c r="C10" s="36" t="s">
        <v>66</v>
      </c>
      <c r="D10" s="36" t="s">
        <v>65</v>
      </c>
      <c r="E10" s="36" t="s">
        <v>66</v>
      </c>
      <c r="F10" s="36" t="s">
        <v>65</v>
      </c>
      <c r="G10" s="36" t="s">
        <v>66</v>
      </c>
      <c r="H10" s="36" t="str">
        <f>Calculations!M9</f>
        <v>BMI 18.5</v>
      </c>
      <c r="I10" s="36" t="str">
        <f>Calculations!N9</f>
        <v>BMI 25</v>
      </c>
      <c r="J10" s="35" t="s">
        <v>41</v>
      </c>
      <c r="K10" s="12"/>
    </row>
    <row r="11" spans="1:11" s="15" customFormat="1" ht="14.1" customHeight="1" x14ac:dyDescent="0.2">
      <c r="A11" s="42" t="str">
        <f>Calculations!B12</f>
        <v>4'8"</v>
      </c>
      <c r="B11" s="43" t="str">
        <f>ROUND(Calculations!G12,0)&amp;" ("&amp;TEXT(ROUND(Calculations!G12*0.45359237,1),"0.0")&amp;")"</f>
        <v>90 (40.7)</v>
      </c>
      <c r="C11" s="44" t="str">
        <f>ROUND(Calculations!H12,0)&amp;" ("&amp;TEXT(ROUND(Calculations!H12*0.45359237,1),"0.0")&amp;")"</f>
        <v>80 (36.2)</v>
      </c>
      <c r="D11" s="43" t="str">
        <f>ROUND(Calculations!I12,0)&amp;" ("&amp;TEXT(ROUND(Calculations!I12*0.45359237,1),"0.0")&amp;")"</f>
        <v>98 (44.3)</v>
      </c>
      <c r="E11" s="44" t="str">
        <f>ROUND(Calculations!J12,0)&amp;" ("&amp;TEXT(ROUND(Calculations!J12*0.45359237,1),"0.0")&amp;")"</f>
        <v>93 (42.1)</v>
      </c>
      <c r="F11" s="43" t="str">
        <f>ROUND(Calculations!K12,0)&amp;" ("&amp;TEXT(ROUND(Calculations!K12*0.45359237,1),"0.0")&amp;")"</f>
        <v>111 (50.5)</v>
      </c>
      <c r="G11" s="44" t="str">
        <f>ROUND(Calculations!L12,0)&amp;" ("&amp;TEXT(ROUND(Calculations!L12*0.45359237,1),"0.0")&amp;")"</f>
        <v>105 (47.6)</v>
      </c>
      <c r="H11" s="45" t="str">
        <f>ROUND(Calculations!M12,0)&amp;" ("&amp;TEXT(ROUND(Calculations!M12*0.45359237,1),"0.0")&amp;")"</f>
        <v>83 (37.4)</v>
      </c>
      <c r="I11" s="45" t="str">
        <f>ROUND(Calculations!N12,0)&amp;" ("&amp;TEXT(ROUND(Calculations!N12*0.45359237,1),"0.0")&amp;")"</f>
        <v>112 (50.6)</v>
      </c>
      <c r="J11" s="46">
        <f>Calculations!C12</f>
        <v>1.4224000000000001</v>
      </c>
      <c r="K11" s="14"/>
    </row>
    <row r="12" spans="1:11" ht="14.1" customHeight="1" x14ac:dyDescent="0.2">
      <c r="A12" s="37" t="str">
        <f>Calculations!B13</f>
        <v>4'9"</v>
      </c>
      <c r="B12" s="38" t="str">
        <f>ROUND(Calculations!G13,0)&amp;" ("&amp;TEXT(ROUND(Calculations!G13*0.45359237,1),"0.0")&amp;")"</f>
        <v>95 (43.0)</v>
      </c>
      <c r="C12" s="39" t="str">
        <f>ROUND(Calculations!H13,0)&amp;" ("&amp;TEXT(ROUND(Calculations!H13*0.45359237,1),"0.0")&amp;")"</f>
        <v>85 (38.5)</v>
      </c>
      <c r="D12" s="38" t="str">
        <f>ROUND(Calculations!I13,0)&amp;" ("&amp;TEXT(ROUND(Calculations!I13*0.45359237,1),"0.0")&amp;")"</f>
        <v>102 (46.2)</v>
      </c>
      <c r="E12" s="39" t="str">
        <f>ROUND(Calculations!J13,0)&amp;" ("&amp;TEXT(ROUND(Calculations!J13*0.45359237,1),"0.0")&amp;")"</f>
        <v>97 (43.8)</v>
      </c>
      <c r="F12" s="38" t="str">
        <f>ROUND(Calculations!K13,0)&amp;" ("&amp;TEXT(ROUND(Calculations!K13*0.45359237,1),"0.0")&amp;")"</f>
        <v>114 (51.9)</v>
      </c>
      <c r="G12" s="39" t="str">
        <f>ROUND(Calculations!L13,0)&amp;" ("&amp;TEXT(ROUND(Calculations!L13*0.45359237,1),"0.0")&amp;")"</f>
        <v>108 (48.9)</v>
      </c>
      <c r="H12" s="40" t="str">
        <f>ROUND(Calculations!M13,0)&amp;" ("&amp;TEXT(ROUND(Calculations!M13*0.45359237,1),"0.0")&amp;")"</f>
        <v>86 (38.8)</v>
      </c>
      <c r="I12" s="40" t="str">
        <f>ROUND(Calculations!N13,0)&amp;" ("&amp;TEXT(ROUND(Calculations!N13*0.45359237,1),"0.0")&amp;")"</f>
        <v>116 (52.4)</v>
      </c>
      <c r="J12" s="41">
        <f>Calculations!C13</f>
        <v>1.4478</v>
      </c>
      <c r="K12" s="6"/>
    </row>
    <row r="13" spans="1:11" s="15" customFormat="1" ht="14.1" customHeight="1" x14ac:dyDescent="0.2">
      <c r="A13" s="42" t="str">
        <f>Calculations!B14</f>
        <v>4'10"</v>
      </c>
      <c r="B13" s="43" t="str">
        <f>ROUND(Calculations!G14,0)&amp;" ("&amp;TEXT(ROUND(Calculations!G14*0.45359237,1),"0.0")&amp;")"</f>
        <v>100 (45.3)</v>
      </c>
      <c r="C13" s="44" t="str">
        <f>ROUND(Calculations!H14,0)&amp;" ("&amp;TEXT(ROUND(Calculations!H14*0.45359237,1),"0.0")&amp;")"</f>
        <v>90 (40.8)</v>
      </c>
      <c r="D13" s="43" t="str">
        <f>ROUND(Calculations!I14,0)&amp;" ("&amp;TEXT(ROUND(Calculations!I14*0.45359237,1),"0.0")&amp;")"</f>
        <v>106 (48.1)</v>
      </c>
      <c r="E13" s="44" t="str">
        <f>ROUND(Calculations!J14,0)&amp;" ("&amp;TEXT(ROUND(Calculations!J14*0.45359237,1),"0.0")&amp;")"</f>
        <v>100 (45.5)</v>
      </c>
      <c r="F13" s="43" t="str">
        <f>ROUND(Calculations!K14,0)&amp;" ("&amp;TEXT(ROUND(Calculations!K14*0.45359237,1),"0.0")&amp;")"</f>
        <v>117 (53.3)</v>
      </c>
      <c r="G13" s="44" t="str">
        <f>ROUND(Calculations!L14,0)&amp;" ("&amp;TEXT(ROUND(Calculations!L14*0.45359237,1),"0.0")&amp;")"</f>
        <v>111 (50.3)</v>
      </c>
      <c r="H13" s="45" t="str">
        <f>ROUND(Calculations!M14,0)&amp;" ("&amp;TEXT(ROUND(Calculations!M14*0.45359237,1),"0.0")&amp;")"</f>
        <v>89 (40.2)</v>
      </c>
      <c r="I13" s="45" t="str">
        <f>ROUND(Calculations!N14,0)&amp;" ("&amp;TEXT(ROUND(Calculations!N14*0.45359237,1),"0.0")&amp;")"</f>
        <v>120 (54.3)</v>
      </c>
      <c r="J13" s="46">
        <f>Calculations!C14</f>
        <v>1.4731999999999998</v>
      </c>
      <c r="K13" s="14"/>
    </row>
    <row r="14" spans="1:11" ht="14.1" customHeight="1" x14ac:dyDescent="0.2">
      <c r="A14" s="37" t="str">
        <f>Calculations!B15</f>
        <v>4'11"</v>
      </c>
      <c r="B14" s="38" t="str">
        <f>ROUND(Calculations!G15,0)&amp;" ("&amp;TEXT(ROUND(Calculations!G15*0.45359237,1),"0.0")&amp;")"</f>
        <v>105 (47.6)</v>
      </c>
      <c r="C14" s="39" t="str">
        <f>ROUND(Calculations!H15,0)&amp;" ("&amp;TEXT(ROUND(Calculations!H15*0.45359237,1),"0.0")&amp;")"</f>
        <v>95 (43.1)</v>
      </c>
      <c r="D14" s="38" t="str">
        <f>ROUND(Calculations!I15,0)&amp;" ("&amp;TEXT(ROUND(Calculations!I15*0.45359237,1),"0.0")&amp;")"</f>
        <v>110 (50.0)</v>
      </c>
      <c r="E14" s="39" t="str">
        <f>ROUND(Calculations!J15,0)&amp;" ("&amp;TEXT(ROUND(Calculations!J15*0.45359237,1),"0.0")&amp;")"</f>
        <v>104 (47.2)</v>
      </c>
      <c r="F14" s="38" t="str">
        <f>ROUND(Calculations!K15,0)&amp;" ("&amp;TEXT(ROUND(Calculations!K15*0.45359237,1),"0.0")&amp;")"</f>
        <v>121 (54.7)</v>
      </c>
      <c r="G14" s="39" t="str">
        <f>ROUND(Calculations!L15,0)&amp;" ("&amp;TEXT(ROUND(Calculations!L15*0.45359237,1),"0.0")&amp;")"</f>
        <v>114 (51.6)</v>
      </c>
      <c r="H14" s="40" t="str">
        <f>ROUND(Calculations!M15,0)&amp;" ("&amp;TEXT(ROUND(Calculations!M15*0.45359237,1),"0.0")&amp;")"</f>
        <v>92 (41.6)</v>
      </c>
      <c r="I14" s="40" t="str">
        <f>ROUND(Calculations!N15,0)&amp;" ("&amp;TEXT(ROUND(Calculations!N15*0.45359237,1),"0.0")&amp;")"</f>
        <v>124 (56.2)</v>
      </c>
      <c r="J14" s="41">
        <f>Calculations!C15</f>
        <v>1.4986000000000002</v>
      </c>
      <c r="K14" s="6"/>
    </row>
    <row r="15" spans="1:11" s="15" customFormat="1" ht="14.1" customHeight="1" x14ac:dyDescent="0.2">
      <c r="A15" s="42" t="str">
        <f>Calculations!B16</f>
        <v>5'0"</v>
      </c>
      <c r="B15" s="43" t="str">
        <f>ROUND(Calculations!G16,0)&amp;" ("&amp;TEXT(ROUND(Calculations!G16*0.45359237,1),"0.0")&amp;")"</f>
        <v>110 (49.9)</v>
      </c>
      <c r="C15" s="44" t="str">
        <f>ROUND(Calculations!H16,0)&amp;" ("&amp;TEXT(ROUND(Calculations!H16*0.45359237,1),"0.0")&amp;")"</f>
        <v>100 (45.4)</v>
      </c>
      <c r="D15" s="43" t="str">
        <f>ROUND(Calculations!I16,0)&amp;" ("&amp;TEXT(ROUND(Calculations!I16*0.45359237,1),"0.0")&amp;")"</f>
        <v>114 (51.9)</v>
      </c>
      <c r="E15" s="44" t="str">
        <f>ROUND(Calculations!J16,0)&amp;" ("&amp;TEXT(ROUND(Calculations!J16*0.45359237,1),"0.0")&amp;")"</f>
        <v>108 (48.9)</v>
      </c>
      <c r="F15" s="43" t="str">
        <f>ROUND(Calculations!K16,0)&amp;" ("&amp;TEXT(ROUND(Calculations!K16*0.45359237,1),"0.0")&amp;")"</f>
        <v>124 (56.1)</v>
      </c>
      <c r="G15" s="44" t="str">
        <f>ROUND(Calculations!L16,0)&amp;" ("&amp;TEXT(ROUND(Calculations!L16*0.45359237,1),"0.0")&amp;")"</f>
        <v>117 (53.0)</v>
      </c>
      <c r="H15" s="45" t="str">
        <f>ROUND(Calculations!M16,0)&amp;" ("&amp;TEXT(ROUND(Calculations!M16*0.45359237,1),"0.0")&amp;")"</f>
        <v>95 (43.0)</v>
      </c>
      <c r="I15" s="45" t="str">
        <f>ROUND(Calculations!N16,0)&amp;" ("&amp;TEXT(ROUND(Calculations!N16*0.45359237,1),"0.0")&amp;")"</f>
        <v>128 (58.1)</v>
      </c>
      <c r="J15" s="46">
        <f>Calculations!C16</f>
        <v>1.524</v>
      </c>
      <c r="K15" s="14"/>
    </row>
    <row r="16" spans="1:11" ht="14.1" customHeight="1" x14ac:dyDescent="0.2">
      <c r="A16" s="37" t="str">
        <f>Calculations!B17</f>
        <v>5'1"</v>
      </c>
      <c r="B16" s="38" t="str">
        <f>ROUND(Calculations!G17,0)&amp;" ("&amp;TEXT(ROUND(Calculations!G17*0.45359237,1),"0.0")&amp;")"</f>
        <v>115 (52.2)</v>
      </c>
      <c r="C16" s="39" t="str">
        <f>ROUND(Calculations!H17,0)&amp;" ("&amp;TEXT(ROUND(Calculations!H17*0.45359237,1),"0.0")&amp;")"</f>
        <v>105 (47.7)</v>
      </c>
      <c r="D16" s="38" t="str">
        <f>ROUND(Calculations!I17,0)&amp;" ("&amp;TEXT(ROUND(Calculations!I17*0.45359237,1),"0.0")&amp;")"</f>
        <v>119 (53.8)</v>
      </c>
      <c r="E16" s="39" t="str">
        <f>ROUND(Calculations!J17,0)&amp;" ("&amp;TEXT(ROUND(Calculations!J17*0.45359237,1),"0.0")&amp;")"</f>
        <v>112 (50.6)</v>
      </c>
      <c r="F16" s="38" t="str">
        <f>ROUND(Calculations!K17,0)&amp;" ("&amp;TEXT(ROUND(Calculations!K17*0.45359237,1),"0.0")&amp;")"</f>
        <v>127 (57.5)</v>
      </c>
      <c r="G16" s="39" t="str">
        <f>ROUND(Calculations!L17,0)&amp;" ("&amp;TEXT(ROUND(Calculations!L17*0.45359237,1),"0.0")&amp;")"</f>
        <v>120 (54.3)</v>
      </c>
      <c r="H16" s="40" t="str">
        <f>ROUND(Calculations!M17,0)&amp;" ("&amp;TEXT(ROUND(Calculations!M17*0.45359237,1),"0.0")&amp;")"</f>
        <v>98 (44.4)</v>
      </c>
      <c r="I16" s="40" t="str">
        <f>ROUND(Calculations!N17,0)&amp;" ("&amp;TEXT(ROUND(Calculations!N17*0.45359237,1),"0.0")&amp;")"</f>
        <v>132 (60.0)</v>
      </c>
      <c r="J16" s="41">
        <f>Calculations!C17</f>
        <v>1.5493999999999999</v>
      </c>
      <c r="K16" s="6"/>
    </row>
    <row r="17" spans="1:11" s="15" customFormat="1" ht="14.1" customHeight="1" x14ac:dyDescent="0.2">
      <c r="A17" s="42" t="str">
        <f>Calculations!B18</f>
        <v>5'2"</v>
      </c>
      <c r="B17" s="43" t="str">
        <f>ROUND(Calculations!G18,0)&amp;" ("&amp;TEXT(ROUND(Calculations!G18*0.45359237,1),"0.0")&amp;")"</f>
        <v>120 (54.5)</v>
      </c>
      <c r="C17" s="44" t="str">
        <f>ROUND(Calculations!H18,0)&amp;" ("&amp;TEXT(ROUND(Calculations!H18*0.45359237,1),"0.0")&amp;")"</f>
        <v>110 (50.0)</v>
      </c>
      <c r="D17" s="43" t="str">
        <f>ROUND(Calculations!I18,0)&amp;" ("&amp;TEXT(ROUND(Calculations!I18*0.45359237,1),"0.0")&amp;")"</f>
        <v>123 (55.7)</v>
      </c>
      <c r="E17" s="44" t="str">
        <f>ROUND(Calculations!J18,0)&amp;" ("&amp;TEXT(ROUND(Calculations!J18*0.45359237,1),"0.0")&amp;")"</f>
        <v>115 (52.3)</v>
      </c>
      <c r="F17" s="43" t="str">
        <f>ROUND(Calculations!K18,0)&amp;" ("&amp;TEXT(ROUND(Calculations!K18*0.45359237,1),"0.0")&amp;")"</f>
        <v>130 (58.9)</v>
      </c>
      <c r="G17" s="44" t="str">
        <f>ROUND(Calculations!L18,0)&amp;" ("&amp;TEXT(ROUND(Calculations!L18*0.45359237,1),"0.0")&amp;")"</f>
        <v>123 (55.7)</v>
      </c>
      <c r="H17" s="45" t="str">
        <f>ROUND(Calculations!M18,0)&amp;" ("&amp;TEXT(ROUND(Calculations!M18*0.45359237,1),"0.0")&amp;")"</f>
        <v>101 (45.9)</v>
      </c>
      <c r="I17" s="45" t="str">
        <f>ROUND(Calculations!N18,0)&amp;" ("&amp;TEXT(ROUND(Calculations!N18*0.45359237,1),"0.0")&amp;")"</f>
        <v>137 (62.0)</v>
      </c>
      <c r="J17" s="46">
        <f>Calculations!C18</f>
        <v>1.5748</v>
      </c>
      <c r="K17" s="14"/>
    </row>
    <row r="18" spans="1:11" ht="14.1" customHeight="1" x14ac:dyDescent="0.2">
      <c r="A18" s="37" t="str">
        <f>Calculations!B19</f>
        <v>5'3"</v>
      </c>
      <c r="B18" s="38" t="str">
        <f>ROUND(Calculations!G19,0)&amp;" ("&amp;TEXT(ROUND(Calculations!G19*0.45359237,1),"0.0")&amp;")"</f>
        <v>125 (56.8)</v>
      </c>
      <c r="C18" s="39" t="str">
        <f>ROUND(Calculations!H19,0)&amp;" ("&amp;TEXT(ROUND(Calculations!H19*0.45359237,1),"0.0")&amp;")"</f>
        <v>115 (52.3)</v>
      </c>
      <c r="D18" s="38" t="str">
        <f>ROUND(Calculations!I19,0)&amp;" ("&amp;TEXT(ROUND(Calculations!I19*0.45359237,1),"0.0")&amp;")"</f>
        <v>127 (57.6)</v>
      </c>
      <c r="E18" s="39" t="str">
        <f>ROUND(Calculations!J19,0)&amp;" ("&amp;TEXT(ROUND(Calculations!J19*0.45359237,1),"0.0")&amp;")"</f>
        <v>119 (54.0)</v>
      </c>
      <c r="F18" s="38" t="str">
        <f>ROUND(Calculations!K19,0)&amp;" ("&amp;TEXT(ROUND(Calculations!K19*0.45359237,1),"0.0")&amp;")"</f>
        <v>133 (60.3)</v>
      </c>
      <c r="G18" s="39" t="str">
        <f>ROUND(Calculations!L19,0)&amp;" ("&amp;TEXT(ROUND(Calculations!L19*0.45359237,1),"0.0")&amp;")"</f>
        <v>126 (57.1)</v>
      </c>
      <c r="H18" s="40" t="str">
        <f>ROUND(Calculations!M19,0)&amp;" ("&amp;TEXT(ROUND(Calculations!M19*0.45359237,1),"0.0")&amp;")"</f>
        <v>104 (47.4)</v>
      </c>
      <c r="I18" s="40" t="str">
        <f>ROUND(Calculations!N19,0)&amp;" ("&amp;TEXT(ROUND(Calculations!N19*0.45359237,1),"0.0")&amp;")"</f>
        <v>141 (64.0)</v>
      </c>
      <c r="J18" s="41">
        <f>Calculations!C19</f>
        <v>1.6002000000000001</v>
      </c>
      <c r="K18" s="6"/>
    </row>
    <row r="19" spans="1:11" s="15" customFormat="1" ht="14.1" customHeight="1" x14ac:dyDescent="0.2">
      <c r="A19" s="42" t="str">
        <f>Calculations!B20</f>
        <v>5'4"</v>
      </c>
      <c r="B19" s="43" t="str">
        <f>ROUND(Calculations!G20,0)&amp;" ("&amp;TEXT(ROUND(Calculations!G20*0.45359237,1),"0.0")&amp;")"</f>
        <v>130 (59.1)</v>
      </c>
      <c r="C19" s="44" t="str">
        <f>ROUND(Calculations!H20,0)&amp;" ("&amp;TEXT(ROUND(Calculations!H20*0.45359237,1),"0.0")&amp;")"</f>
        <v>120 (54.6)</v>
      </c>
      <c r="D19" s="43" t="str">
        <f>ROUND(Calculations!I20,0)&amp;" ("&amp;TEXT(ROUND(Calculations!I20*0.45359237,1),"0.0")&amp;")"</f>
        <v>131 (59.5)</v>
      </c>
      <c r="E19" s="44" t="str">
        <f>ROUND(Calculations!J20,0)&amp;" ("&amp;TEXT(ROUND(Calculations!J20*0.45359237,1),"0.0")&amp;")"</f>
        <v>123 (55.7)</v>
      </c>
      <c r="F19" s="43" t="str">
        <f>ROUND(Calculations!K20,0)&amp;" ("&amp;TEXT(ROUND(Calculations!K20*0.45359237,1),"0.0")&amp;")"</f>
        <v>136 (61.7)</v>
      </c>
      <c r="G19" s="44" t="str">
        <f>ROUND(Calculations!L20,0)&amp;" ("&amp;TEXT(ROUND(Calculations!L20*0.45359237,1),"0.0")&amp;")"</f>
        <v>129 (58.4)</v>
      </c>
      <c r="H19" s="45" t="str">
        <f>ROUND(Calculations!M20,0)&amp;" ("&amp;TEXT(ROUND(Calculations!M20*0.45359237,1),"0.0")&amp;")"</f>
        <v>108 (48.9)</v>
      </c>
      <c r="I19" s="45" t="str">
        <f>ROUND(Calculations!N20,0)&amp;" ("&amp;TEXT(ROUND(Calculations!N20*0.45359237,1),"0.0")&amp;")"</f>
        <v>146 (66.1)</v>
      </c>
      <c r="J19" s="46">
        <f>Calculations!C20</f>
        <v>1.6255999999999999</v>
      </c>
      <c r="K19" s="14"/>
    </row>
    <row r="20" spans="1:11" ht="14.1" customHeight="1" x14ac:dyDescent="0.2">
      <c r="A20" s="37" t="str">
        <f>Calculations!B21</f>
        <v>5'5"</v>
      </c>
      <c r="B20" s="38" t="str">
        <f>ROUND(Calculations!G21,0)&amp;" ("&amp;TEXT(ROUND(Calculations!G21*0.45359237,1),"0.0")&amp;")"</f>
        <v>135 (61.4)</v>
      </c>
      <c r="C20" s="39" t="str">
        <f>ROUND(Calculations!H21,0)&amp;" ("&amp;TEXT(ROUND(Calculations!H21*0.45359237,1),"0.0")&amp;")"</f>
        <v>125 (56.9)</v>
      </c>
      <c r="D20" s="38" t="str">
        <f>ROUND(Calculations!I21,0)&amp;" ("&amp;TEXT(ROUND(Calculations!I21*0.45359237,1),"0.0")&amp;")"</f>
        <v>135 (61.4)</v>
      </c>
      <c r="E20" s="39" t="str">
        <f>ROUND(Calculations!J21,0)&amp;" ("&amp;TEXT(ROUND(Calculations!J21*0.45359237,1),"0.0")&amp;")"</f>
        <v>127 (57.4)</v>
      </c>
      <c r="F20" s="38" t="str">
        <f>ROUND(Calculations!K21,0)&amp;" ("&amp;TEXT(ROUND(Calculations!K21*0.45359237,1),"0.0")&amp;")"</f>
        <v>139 (63.1)</v>
      </c>
      <c r="G20" s="39" t="str">
        <f>ROUND(Calculations!L21,0)&amp;" ("&amp;TEXT(ROUND(Calculations!L21*0.45359237,1),"0.0")&amp;")"</f>
        <v>132 (59.8)</v>
      </c>
      <c r="H20" s="40" t="str">
        <f>ROUND(Calculations!M21,0)&amp;" ("&amp;TEXT(ROUND(Calculations!M21*0.45359237,1),"0.0")&amp;")"</f>
        <v>111 (50.4)</v>
      </c>
      <c r="I20" s="40" t="str">
        <f>ROUND(Calculations!N21,0)&amp;" ("&amp;TEXT(ROUND(Calculations!N21*0.45359237,1),"0.0")&amp;")"</f>
        <v>150 (68.2)</v>
      </c>
      <c r="J20" s="41">
        <f>Calculations!C21</f>
        <v>1.651</v>
      </c>
      <c r="K20" s="6"/>
    </row>
    <row r="21" spans="1:11" s="15" customFormat="1" ht="14.1" customHeight="1" x14ac:dyDescent="0.2">
      <c r="A21" s="42" t="str">
        <f>Calculations!B22</f>
        <v>5'6"</v>
      </c>
      <c r="B21" s="43" t="str">
        <f>ROUND(Calculations!G22,0)&amp;" ("&amp;TEXT(ROUND(Calculations!G22*0.45359237,1),"0.0")&amp;")"</f>
        <v>140 (63.7)</v>
      </c>
      <c r="C21" s="44" t="str">
        <f>ROUND(Calculations!H22,0)&amp;" ("&amp;TEXT(ROUND(Calculations!H22*0.45359237,1),"0.0")&amp;")"</f>
        <v>130 (59.2)</v>
      </c>
      <c r="D21" s="43" t="str">
        <f>ROUND(Calculations!I22,0)&amp;" ("&amp;TEXT(ROUND(Calculations!I22*0.45359237,1),"0.0")&amp;")"</f>
        <v>139 (63.3)</v>
      </c>
      <c r="E21" s="44" t="str">
        <f>ROUND(Calculations!J22,0)&amp;" ("&amp;TEXT(ROUND(Calculations!J22*0.45359237,1),"0.0")&amp;")"</f>
        <v>130 (59.1)</v>
      </c>
      <c r="F21" s="43" t="str">
        <f>ROUND(Calculations!K22,0)&amp;" ("&amp;TEXT(ROUND(Calculations!K22*0.45359237,1),"0.0")&amp;")"</f>
        <v>142 (64.5)</v>
      </c>
      <c r="G21" s="44" t="str">
        <f>ROUND(Calculations!L22,0)&amp;" ("&amp;TEXT(ROUND(Calculations!L22*0.45359237,1),"0.0")&amp;")"</f>
        <v>135 (61.1)</v>
      </c>
      <c r="H21" s="45" t="str">
        <f>ROUND(Calculations!M22,0)&amp;" ("&amp;TEXT(ROUND(Calculations!M22*0.45359237,1),"0.0")&amp;")"</f>
        <v>115 (52.0)</v>
      </c>
      <c r="I21" s="45" t="str">
        <f>ROUND(Calculations!N22,0)&amp;" ("&amp;TEXT(ROUND(Calculations!N22*0.45359237,1),"0.0")&amp;")"</f>
        <v>155 (70.3)</v>
      </c>
      <c r="J21" s="46">
        <f>Calculations!C22</f>
        <v>1.6764000000000001</v>
      </c>
      <c r="K21" s="14"/>
    </row>
    <row r="22" spans="1:11" ht="14.1" customHeight="1" x14ac:dyDescent="0.2">
      <c r="A22" s="37" t="str">
        <f>Calculations!B23</f>
        <v>5'7"</v>
      </c>
      <c r="B22" s="38" t="str">
        <f>ROUND(Calculations!G23,0)&amp;" ("&amp;TEXT(ROUND(Calculations!G23*0.45359237,1),"0.0")&amp;")"</f>
        <v>145 (66.0)</v>
      </c>
      <c r="C22" s="39" t="str">
        <f>ROUND(Calculations!H23,0)&amp;" ("&amp;TEXT(ROUND(Calculations!H23*0.45359237,1),"0.0")&amp;")"</f>
        <v>136 (61.5)</v>
      </c>
      <c r="D22" s="38" t="str">
        <f>ROUND(Calculations!I23,0)&amp;" ("&amp;TEXT(ROUND(Calculations!I23*0.45359237,1),"0.0")&amp;")"</f>
        <v>144 (65.2)</v>
      </c>
      <c r="E22" s="39" t="str">
        <f>ROUND(Calculations!J23,0)&amp;" ("&amp;TEXT(ROUND(Calculations!J23*0.45359237,1),"0.0")&amp;")"</f>
        <v>134 (60.8)</v>
      </c>
      <c r="F22" s="38" t="str">
        <f>ROUND(Calculations!K23,0)&amp;" ("&amp;TEXT(ROUND(Calculations!K23*0.45359237,1),"0.0")&amp;")"</f>
        <v>145 (65.9)</v>
      </c>
      <c r="G22" s="39" t="str">
        <f>ROUND(Calculations!L23,0)&amp;" ("&amp;TEXT(ROUND(Calculations!L23*0.45359237,1),"0.0")&amp;")"</f>
        <v>138 (62.5)</v>
      </c>
      <c r="H22" s="40" t="str">
        <f>ROUND(Calculations!M23,0)&amp;" ("&amp;TEXT(ROUND(Calculations!M23*0.45359237,1),"0.0")&amp;")"</f>
        <v>118 (53.6)</v>
      </c>
      <c r="I22" s="40" t="str">
        <f>ROUND(Calculations!N23,0)&amp;" ("&amp;TEXT(ROUND(Calculations!N23*0.45359237,1),"0.0")&amp;")"</f>
        <v>160 (72.4)</v>
      </c>
      <c r="J22" s="41">
        <f>Calculations!C23</f>
        <v>1.7018</v>
      </c>
      <c r="K22" s="6"/>
    </row>
    <row r="23" spans="1:11" s="15" customFormat="1" ht="14.1" customHeight="1" x14ac:dyDescent="0.2">
      <c r="A23" s="42" t="str">
        <f>Calculations!B24</f>
        <v>5'8"</v>
      </c>
      <c r="B23" s="43" t="str">
        <f>ROUND(Calculations!G24,0)&amp;" ("&amp;TEXT(ROUND(Calculations!G24*0.45359237,1),"0.0")&amp;")"</f>
        <v>150 (68.3)</v>
      </c>
      <c r="C23" s="44" t="str">
        <f>ROUND(Calculations!H24,0)&amp;" ("&amp;TEXT(ROUND(Calculations!H24*0.45359237,1),"0.0")&amp;")"</f>
        <v>141 (63.8)</v>
      </c>
      <c r="D23" s="43" t="str">
        <f>ROUND(Calculations!I24,0)&amp;" ("&amp;TEXT(ROUND(Calculations!I24*0.45359237,1),"0.0")&amp;")"</f>
        <v>148 (67.1)</v>
      </c>
      <c r="E23" s="44" t="str">
        <f>ROUND(Calculations!J24,0)&amp;" ("&amp;TEXT(ROUND(Calculations!J24*0.45359237,1),"0.0")&amp;")"</f>
        <v>138 (62.5)</v>
      </c>
      <c r="F23" s="43" t="str">
        <f>ROUND(Calculations!K24,0)&amp;" ("&amp;TEXT(ROUND(Calculations!K24*0.45359237,1),"0.0")&amp;")"</f>
        <v>148 (67.3)</v>
      </c>
      <c r="G23" s="44" t="str">
        <f>ROUND(Calculations!L24,0)&amp;" ("&amp;TEXT(ROUND(Calculations!L24*0.45359237,1),"0.0")&amp;")"</f>
        <v>141 (63.8)</v>
      </c>
      <c r="H23" s="45" t="str">
        <f>ROUND(Calculations!M24,0)&amp;" ("&amp;TEXT(ROUND(Calculations!M24*0.45359237,1),"0.0")&amp;")"</f>
        <v>122 (55.2)</v>
      </c>
      <c r="I23" s="45" t="str">
        <f>ROUND(Calculations!N24,0)&amp;" ("&amp;TEXT(ROUND(Calculations!N24*0.45359237,1),"0.0")&amp;")"</f>
        <v>164 (74.6)</v>
      </c>
      <c r="J23" s="46">
        <f>Calculations!C24</f>
        <v>1.7272000000000001</v>
      </c>
      <c r="K23" s="14"/>
    </row>
    <row r="24" spans="1:11" ht="14.1" customHeight="1" x14ac:dyDescent="0.2">
      <c r="A24" s="37" t="str">
        <f>Calculations!B25</f>
        <v>5'9"</v>
      </c>
      <c r="B24" s="38" t="str">
        <f>ROUND(Calculations!G25,0)&amp;" ("&amp;TEXT(ROUND(Calculations!G25*0.45359237,1),"0.0")&amp;")"</f>
        <v>156 (70.6)</v>
      </c>
      <c r="C24" s="39" t="str">
        <f>ROUND(Calculations!H25,0)&amp;" ("&amp;TEXT(ROUND(Calculations!H25*0.45359237,1),"0.0")&amp;")"</f>
        <v>146 (66.1)</v>
      </c>
      <c r="D24" s="38" t="str">
        <f>ROUND(Calculations!I25,0)&amp;" ("&amp;TEXT(ROUND(Calculations!I25*0.45359237,1),"0.0")&amp;")"</f>
        <v>152 (69.0)</v>
      </c>
      <c r="E24" s="39" t="str">
        <f>ROUND(Calculations!J25,0)&amp;" ("&amp;TEXT(ROUND(Calculations!J25*0.45359237,1),"0.0")&amp;")"</f>
        <v>141 (64.2)</v>
      </c>
      <c r="F24" s="38" t="str">
        <f>ROUND(Calculations!K25,0)&amp;" ("&amp;TEXT(ROUND(Calculations!K25*0.45359237,1),"0.0")&amp;")"</f>
        <v>152 (68.7)</v>
      </c>
      <c r="G24" s="39" t="str">
        <f>ROUND(Calculations!L25,0)&amp;" ("&amp;TEXT(ROUND(Calculations!L25*0.45359237,1),"0.0")&amp;")"</f>
        <v>144 (65.2)</v>
      </c>
      <c r="H24" s="40" t="str">
        <f>ROUND(Calculations!M25,0)&amp;" ("&amp;TEXT(ROUND(Calculations!M25*0.45359237,1),"0.0")&amp;")"</f>
        <v>125 (56.8)</v>
      </c>
      <c r="I24" s="40" t="str">
        <f>ROUND(Calculations!N25,0)&amp;" ("&amp;TEXT(ROUND(Calculations!N25*0.45359237,1),"0.0")&amp;")"</f>
        <v>169 (76.8)</v>
      </c>
      <c r="J24" s="41">
        <f>Calculations!C25</f>
        <v>1.7525999999999999</v>
      </c>
      <c r="K24" s="6"/>
    </row>
    <row r="25" spans="1:11" s="15" customFormat="1" ht="14.1" customHeight="1" x14ac:dyDescent="0.2">
      <c r="A25" s="42" t="str">
        <f>Calculations!B26</f>
        <v>5'10"</v>
      </c>
      <c r="B25" s="43" t="str">
        <f>ROUND(Calculations!G26,0)&amp;" ("&amp;TEXT(ROUND(Calculations!G26*0.45359237,1),"0.0")&amp;")"</f>
        <v>161 (72.8)</v>
      </c>
      <c r="C25" s="44" t="str">
        <f>ROUND(Calculations!H26,0)&amp;" ("&amp;TEXT(ROUND(Calculations!H26*0.45359237,1),"0.0")&amp;")"</f>
        <v>151 (68.4)</v>
      </c>
      <c r="D25" s="43" t="str">
        <f>ROUND(Calculations!I26,0)&amp;" ("&amp;TEXT(ROUND(Calculations!I26*0.45359237,1),"0.0")&amp;")"</f>
        <v>156 (70.9)</v>
      </c>
      <c r="E25" s="44" t="str">
        <f>ROUND(Calculations!J26,0)&amp;" ("&amp;TEXT(ROUND(Calculations!J26*0.45359237,1),"0.0")&amp;")"</f>
        <v>145 (65.9)</v>
      </c>
      <c r="F25" s="43" t="str">
        <f>ROUND(Calculations!K26,0)&amp;" ("&amp;TEXT(ROUND(Calculations!K26*0.45359237,1),"0.0")&amp;")"</f>
        <v>155 (70.1)</v>
      </c>
      <c r="G25" s="44" t="str">
        <f>ROUND(Calculations!L26,0)&amp;" ("&amp;TEXT(ROUND(Calculations!L26*0.45359237,1),"0.0")&amp;")"</f>
        <v>147 (66.6)</v>
      </c>
      <c r="H25" s="45" t="str">
        <f>ROUND(Calculations!M26,0)&amp;" ("&amp;TEXT(ROUND(Calculations!M26*0.45359237,1),"0.0")&amp;")"</f>
        <v>129 (58.5)</v>
      </c>
      <c r="I25" s="45" t="str">
        <f>ROUND(Calculations!N26,0)&amp;" ("&amp;TEXT(ROUND(Calculations!N26*0.45359237,1),"0.0")&amp;")"</f>
        <v>174 (79.0)</v>
      </c>
      <c r="J25" s="46">
        <f>Calculations!C26</f>
        <v>1.778</v>
      </c>
      <c r="K25" s="14"/>
    </row>
    <row r="26" spans="1:11" ht="14.1" customHeight="1" x14ac:dyDescent="0.2">
      <c r="A26" s="37" t="str">
        <f>Calculations!B27</f>
        <v>5'11"</v>
      </c>
      <c r="B26" s="38" t="str">
        <f>ROUND(Calculations!G27,0)&amp;" ("&amp;TEXT(ROUND(Calculations!G27*0.45359237,1),"0.0")&amp;")"</f>
        <v>166 (75.1)</v>
      </c>
      <c r="C26" s="39" t="str">
        <f>ROUND(Calculations!H27,0)&amp;" ("&amp;TEXT(ROUND(Calculations!H27*0.45359237,1),"0.0")&amp;")"</f>
        <v>156 (70.7)</v>
      </c>
      <c r="D26" s="38" t="str">
        <f>ROUND(Calculations!I27,0)&amp;" ("&amp;TEXT(ROUND(Calculations!I27*0.45359237,1),"0.0")&amp;")"</f>
        <v>160 (72.7)</v>
      </c>
      <c r="E26" s="39" t="str">
        <f>ROUND(Calculations!J27,0)&amp;" ("&amp;TEXT(ROUND(Calculations!J27*0.45359237,1),"0.0")&amp;")"</f>
        <v>149 (67.6)</v>
      </c>
      <c r="F26" s="38" t="str">
        <f>ROUND(Calculations!K27,0)&amp;" ("&amp;TEXT(ROUND(Calculations!K27*0.45359237,1),"0.0")&amp;")"</f>
        <v>158 (71.5)</v>
      </c>
      <c r="G26" s="39" t="str">
        <f>ROUND(Calculations!L27,0)&amp;" ("&amp;TEXT(ROUND(Calculations!L27*0.45359237,1),"0.0")&amp;")"</f>
        <v>150 (67.9)</v>
      </c>
      <c r="H26" s="40" t="str">
        <f>ROUND(Calculations!M27,0)&amp;" ("&amp;TEXT(ROUND(Calculations!M27*0.45359237,1),"0.0")&amp;")"</f>
        <v>133 (60.2)</v>
      </c>
      <c r="I26" s="40" t="str">
        <f>ROUND(Calculations!N27,0)&amp;" ("&amp;TEXT(ROUND(Calculations!N27*0.45359237,1),"0.0")&amp;")"</f>
        <v>179 (81.3)</v>
      </c>
      <c r="J26" s="41">
        <f>Calculations!C27</f>
        <v>1.8034000000000001</v>
      </c>
      <c r="K26" s="6"/>
    </row>
    <row r="27" spans="1:11" s="15" customFormat="1" ht="14.1" customHeight="1" x14ac:dyDescent="0.2">
      <c r="A27" s="42" t="str">
        <f>Calculations!B28</f>
        <v>6'0"</v>
      </c>
      <c r="B27" s="43" t="str">
        <f>ROUND(Calculations!G28,0)&amp;" ("&amp;TEXT(ROUND(Calculations!G28*0.45359237,1),"0.0")&amp;")"</f>
        <v>171 (77.4)</v>
      </c>
      <c r="C27" s="44" t="str">
        <f>ROUND(Calculations!H28,0)&amp;" ("&amp;TEXT(ROUND(Calculations!H28*0.45359237,1),"0.0")&amp;")"</f>
        <v>161 (72.9)</v>
      </c>
      <c r="D27" s="43" t="str">
        <f>ROUND(Calculations!I28,0)&amp;" ("&amp;TEXT(ROUND(Calculations!I28*0.45359237,1),"0.0")&amp;")"</f>
        <v>165 (74.6)</v>
      </c>
      <c r="E27" s="44" t="str">
        <f>ROUND(Calculations!J28,0)&amp;" ("&amp;TEXT(ROUND(Calculations!J28*0.45359237,1),"0.0")&amp;")"</f>
        <v>153 (69.3)</v>
      </c>
      <c r="F27" s="43" t="str">
        <f>ROUND(Calculations!K28,0)&amp;" ("&amp;TEXT(ROUND(Calculations!K28*0.45359237,1),"0.0")&amp;")"</f>
        <v>161 (73.0)</v>
      </c>
      <c r="G27" s="44" t="str">
        <f>ROUND(Calculations!L28,0)&amp;" ("&amp;TEXT(ROUND(Calculations!L28*0.45359237,1),"0.0")&amp;")"</f>
        <v>153 (69.3)</v>
      </c>
      <c r="H27" s="45" t="str">
        <f>ROUND(Calculations!M28,0)&amp;" ("&amp;TEXT(ROUND(Calculations!M28*0.45359237,1),"0.0")&amp;")"</f>
        <v>136 (61.9)</v>
      </c>
      <c r="I27" s="45" t="str">
        <f>ROUND(Calculations!N28,0)&amp;" ("&amp;TEXT(ROUND(Calculations!N28*0.45359237,1),"0.0")&amp;")"</f>
        <v>184 (83.6)</v>
      </c>
      <c r="J27" s="46">
        <f>Calculations!C28</f>
        <v>1.8288</v>
      </c>
      <c r="K27" s="14"/>
    </row>
    <row r="28" spans="1:11" ht="14.1" customHeight="1" x14ac:dyDescent="0.2">
      <c r="A28" s="37" t="str">
        <f>Calculations!B29</f>
        <v>6'1"</v>
      </c>
      <c r="B28" s="38" t="str">
        <f>ROUND(Calculations!G29,0)&amp;" ("&amp;TEXT(ROUND(Calculations!G29*0.45359237,1),"0.0")&amp;")"</f>
        <v>176 (79.7)</v>
      </c>
      <c r="C28" s="39" t="str">
        <f>ROUND(Calculations!H29,0)&amp;" ("&amp;TEXT(ROUND(Calculations!H29*0.45359237,1),"0.0")&amp;")"</f>
        <v>166 (75.2)</v>
      </c>
      <c r="D28" s="38" t="str">
        <f>ROUND(Calculations!I29,0)&amp;" ("&amp;TEXT(ROUND(Calculations!I29*0.45359237,1),"0.0")&amp;")"</f>
        <v>169 (76.5)</v>
      </c>
      <c r="E28" s="39" t="str">
        <f>ROUND(Calculations!J29,0)&amp;" ("&amp;TEXT(ROUND(Calculations!J29*0.45359237,1),"0.0")&amp;")"</f>
        <v>156 (71.0)</v>
      </c>
      <c r="F28" s="38" t="str">
        <f>ROUND(Calculations!K29,0)&amp;" ("&amp;TEXT(ROUND(Calculations!K29*0.45359237,1),"0.0")&amp;")"</f>
        <v>164 (74.4)</v>
      </c>
      <c r="G28" s="39" t="str">
        <f>ROUND(Calculations!L29,0)&amp;" ("&amp;TEXT(ROUND(Calculations!L29*0.45359237,1),"0.0")&amp;")"</f>
        <v>156 (70.6)</v>
      </c>
      <c r="H28" s="40" t="str">
        <f>ROUND(Calculations!M29,0)&amp;" ("&amp;TEXT(ROUND(Calculations!M29*0.45359237,1),"0.0")&amp;")"</f>
        <v>140 (63.6)</v>
      </c>
      <c r="I28" s="40" t="str">
        <f>ROUND(Calculations!N29,0)&amp;" ("&amp;TEXT(ROUND(Calculations!N29*0.45359237,1),"0.0")&amp;")"</f>
        <v>190 (86.0)</v>
      </c>
      <c r="J28" s="41">
        <f>Calculations!C29</f>
        <v>1.8542000000000001</v>
      </c>
      <c r="K28" s="6"/>
    </row>
    <row r="29" spans="1:11" s="15" customFormat="1" ht="14.1" customHeight="1" x14ac:dyDescent="0.2">
      <c r="A29" s="42" t="str">
        <f>Calculations!B30</f>
        <v>6'2"</v>
      </c>
      <c r="B29" s="43" t="str">
        <f>ROUND(Calculations!G30,0)&amp;" ("&amp;TEXT(ROUND(Calculations!G30*0.45359237,1),"0.0")&amp;")"</f>
        <v>181 (82.0)</v>
      </c>
      <c r="C29" s="44" t="str">
        <f>ROUND(Calculations!H30,0)&amp;" ("&amp;TEXT(ROUND(Calculations!H30*0.45359237,1),"0.0")&amp;")"</f>
        <v>171 (77.5)</v>
      </c>
      <c r="D29" s="43" t="str">
        <f>ROUND(Calculations!I30,0)&amp;" ("&amp;TEXT(ROUND(Calculations!I30*0.45359237,1),"0.0")&amp;")"</f>
        <v>173 (78.4)</v>
      </c>
      <c r="E29" s="44" t="str">
        <f>ROUND(Calculations!J30,0)&amp;" ("&amp;TEXT(ROUND(Calculations!J30*0.45359237,1),"0.0")&amp;")"</f>
        <v>160 (72.6)</v>
      </c>
      <c r="F29" s="43" t="str">
        <f>ROUND(Calculations!K30,0)&amp;" ("&amp;TEXT(ROUND(Calculations!K30*0.45359237,1),"0.0")&amp;")"</f>
        <v>167 (75.8)</v>
      </c>
      <c r="G29" s="44" t="str">
        <f>ROUND(Calculations!L30,0)&amp;" ("&amp;TEXT(ROUND(Calculations!L30*0.45359237,1),"0.0")&amp;")"</f>
        <v>159 (72.0)</v>
      </c>
      <c r="H29" s="45" t="str">
        <f>ROUND(Calculations!M30,0)&amp;" ("&amp;TEXT(ROUND(Calculations!M30*0.45359237,1),"0.0")&amp;")"</f>
        <v>144 (65.4)</v>
      </c>
      <c r="I29" s="45" t="str">
        <f>ROUND(Calculations!N30,0)&amp;" ("&amp;TEXT(ROUND(Calculations!N30*0.45359237,1),"0.0")&amp;")"</f>
        <v>195 (88.3)</v>
      </c>
      <c r="J29" s="46">
        <f>Calculations!C30</f>
        <v>1.8796000000000002</v>
      </c>
      <c r="K29" s="14"/>
    </row>
    <row r="30" spans="1:11" ht="14.1" customHeight="1" x14ac:dyDescent="0.2">
      <c r="A30" s="37" t="str">
        <f>Calculations!B31</f>
        <v>6'3"</v>
      </c>
      <c r="B30" s="38" t="str">
        <f>ROUND(Calculations!G31,0)&amp;" ("&amp;TEXT(ROUND(Calculations!G31*0.45359237,1),"0.0")&amp;")"</f>
        <v>186 (84.3)</v>
      </c>
      <c r="C30" s="39" t="str">
        <f>ROUND(Calculations!H31,0)&amp;" ("&amp;TEXT(ROUND(Calculations!H31*0.45359237,1),"0.0")&amp;")"</f>
        <v>176 (79.8)</v>
      </c>
      <c r="D30" s="38" t="str">
        <f>ROUND(Calculations!I31,0)&amp;" ("&amp;TEXT(ROUND(Calculations!I31*0.45359237,1),"0.0")&amp;")"</f>
        <v>177 (80.3)</v>
      </c>
      <c r="E30" s="39" t="str">
        <f>ROUND(Calculations!J31,0)&amp;" ("&amp;TEXT(ROUND(Calculations!J31*0.45359237,1),"0.0")&amp;")"</f>
        <v>164 (74.3)</v>
      </c>
      <c r="F30" s="38" t="str">
        <f>ROUND(Calculations!K31,0)&amp;" ("&amp;TEXT(ROUND(Calculations!K31*0.45359237,1),"0.0")&amp;")"</f>
        <v>170 (77.2)</v>
      </c>
      <c r="G30" s="39" t="str">
        <f>ROUND(Calculations!L31,0)&amp;" ("&amp;TEXT(ROUND(Calculations!L31*0.45359237,1),"0.0")&amp;")"</f>
        <v>162 (73.3)</v>
      </c>
      <c r="H30" s="40" t="str">
        <f>ROUND(Calculations!M31,0)&amp;" ("&amp;TEXT(ROUND(Calculations!M31*0.45359237,1),"0.0")&amp;")"</f>
        <v>148 (67.1)</v>
      </c>
      <c r="I30" s="40" t="str">
        <f>ROUND(Calculations!N31,0)&amp;" ("&amp;TEXT(ROUND(Calculations!N31*0.45359237,1),"0.0")&amp;")"</f>
        <v>200 (90.7)</v>
      </c>
      <c r="J30" s="41">
        <f>Calculations!C31</f>
        <v>1.905</v>
      </c>
      <c r="K30" s="6"/>
    </row>
    <row r="31" spans="1:11" s="15" customFormat="1" ht="14.1" customHeight="1" x14ac:dyDescent="0.2">
      <c r="A31" s="42" t="str">
        <f>Calculations!B32</f>
        <v>6'4"</v>
      </c>
      <c r="B31" s="43" t="str">
        <f>ROUND(Calculations!G32,0)&amp;" ("&amp;TEXT(ROUND(Calculations!G32*0.45359237,1),"0.0")&amp;")"</f>
        <v>191 (86.6)</v>
      </c>
      <c r="C31" s="44" t="str">
        <f>ROUND(Calculations!H32,0)&amp;" ("&amp;TEXT(ROUND(Calculations!H32*0.45359237,1),"0.0")&amp;")"</f>
        <v>181 (82.1)</v>
      </c>
      <c r="D31" s="43" t="str">
        <f>ROUND(Calculations!I32,0)&amp;" ("&amp;TEXT(ROUND(Calculations!I32*0.45359237,1),"0.0")&amp;")"</f>
        <v>181 (82.2)</v>
      </c>
      <c r="E31" s="44" t="str">
        <f>ROUND(Calculations!J32,0)&amp;" ("&amp;TEXT(ROUND(Calculations!J32*0.45359237,1),"0.0")&amp;")"</f>
        <v>168 (76.0)</v>
      </c>
      <c r="F31" s="43" t="str">
        <f>ROUND(Calculations!K32,0)&amp;" ("&amp;TEXT(ROUND(Calculations!K32*0.45359237,1),"0.0")&amp;")"</f>
        <v>173 (78.6)</v>
      </c>
      <c r="G31" s="44" t="str">
        <f>ROUND(Calculations!L32,0)&amp;" ("&amp;TEXT(ROUND(Calculations!L32*0.45359237,1),"0.0")&amp;")"</f>
        <v>165 (74.7)</v>
      </c>
      <c r="H31" s="45" t="str">
        <f>ROUND(Calculations!M32,0)&amp;" ("&amp;TEXT(ROUND(Calculations!M32*0.45359237,1),"0.0")&amp;")"</f>
        <v>152 (68.9)</v>
      </c>
      <c r="I31" s="45" t="str">
        <f>ROUND(Calculations!N32,0)&amp;" ("&amp;TEXT(ROUND(Calculations!N32*0.45359237,1),"0.0")&amp;")"</f>
        <v>205 (93.2)</v>
      </c>
      <c r="J31" s="46">
        <f>Calculations!C32</f>
        <v>1.9303999999999999</v>
      </c>
      <c r="K31" s="14"/>
    </row>
    <row r="32" spans="1:11" ht="14.1" customHeight="1" x14ac:dyDescent="0.2">
      <c r="A32" s="37" t="str">
        <f>Calculations!B33</f>
        <v>6'5"</v>
      </c>
      <c r="B32" s="38" t="str">
        <f>ROUND(Calculations!G33,0)&amp;" ("&amp;TEXT(ROUND(Calculations!G33*0.45359237,1),"0.0")&amp;")"</f>
        <v>196 (88.9)</v>
      </c>
      <c r="C32" s="39" t="str">
        <f>ROUND(Calculations!H33,0)&amp;" ("&amp;TEXT(ROUND(Calculations!H33*0.45359237,1),"0.0")&amp;")"</f>
        <v>186 (84.4)</v>
      </c>
      <c r="D32" s="38" t="str">
        <f>ROUND(Calculations!I33,0)&amp;" ("&amp;TEXT(ROUND(Calculations!I33*0.45359237,1),"0.0")&amp;")"</f>
        <v>185 (84.1)</v>
      </c>
      <c r="E32" s="39" t="str">
        <f>ROUND(Calculations!J33,0)&amp;" ("&amp;TEXT(ROUND(Calculations!J33*0.45359237,1),"0.0")&amp;")"</f>
        <v>171 (77.7)</v>
      </c>
      <c r="F32" s="38" t="str">
        <f>ROUND(Calculations!K33,0)&amp;" ("&amp;TEXT(ROUND(Calculations!K33*0.45359237,1),"0.0")&amp;")"</f>
        <v>176 (80.0)</v>
      </c>
      <c r="G32" s="39" t="str">
        <f>ROUND(Calculations!L33,0)&amp;" ("&amp;TEXT(ROUND(Calculations!L33*0.45359237,1),"0.0")&amp;")"</f>
        <v>168 (76.0)</v>
      </c>
      <c r="H32" s="40" t="str">
        <f>ROUND(Calculations!M33,0)&amp;" ("&amp;TEXT(ROUND(Calculations!M33*0.45359237,1),"0.0")&amp;")"</f>
        <v>156 (70.8)</v>
      </c>
      <c r="I32" s="40" t="str">
        <f>ROUND(Calculations!N33,0)&amp;" ("&amp;TEXT(ROUND(Calculations!N33*0.45359237,1),"0.0")&amp;")"</f>
        <v>211 (95.6)</v>
      </c>
      <c r="J32" s="41">
        <f>Calculations!C33</f>
        <v>1.9558000000000002</v>
      </c>
      <c r="K32" s="6"/>
    </row>
    <row r="33" spans="1:11" s="15" customFormat="1" ht="14.1" customHeight="1" x14ac:dyDescent="0.2">
      <c r="A33" s="42" t="str">
        <f>Calculations!B34</f>
        <v>6'6"</v>
      </c>
      <c r="B33" s="43" t="str">
        <f>ROUND(Calculations!G34,0)&amp;" ("&amp;TEXT(ROUND(Calculations!G34*0.45359237,1),"0.0")&amp;")"</f>
        <v>201 (91.2)</v>
      </c>
      <c r="C33" s="44" t="str">
        <f>ROUND(Calculations!H34,0)&amp;" ("&amp;TEXT(ROUND(Calculations!H34*0.45359237,1),"0.0")&amp;")"</f>
        <v>191 (86.7)</v>
      </c>
      <c r="D33" s="43" t="str">
        <f>ROUND(Calculations!I34,0)&amp;" ("&amp;TEXT(ROUND(Calculations!I34*0.45359237,1),"0.0")&amp;")"</f>
        <v>190 (86.0)</v>
      </c>
      <c r="E33" s="44" t="str">
        <f>ROUND(Calculations!J34,0)&amp;" ("&amp;TEXT(ROUND(Calculations!J34*0.45359237,1),"0.0")&amp;")"</f>
        <v>175 (79.4)</v>
      </c>
      <c r="F33" s="43" t="str">
        <f>ROUND(Calculations!K34,0)&amp;" ("&amp;TEXT(ROUND(Calculations!K34*0.45359237,1),"0.0")&amp;")"</f>
        <v>179 (81.4)</v>
      </c>
      <c r="G33" s="44" t="str">
        <f>ROUND(Calculations!L34,0)&amp;" ("&amp;TEXT(ROUND(Calculations!L34*0.45359237,1),"0.0")&amp;")"</f>
        <v>171 (77.4)</v>
      </c>
      <c r="H33" s="45" t="str">
        <f>ROUND(Calculations!M34,0)&amp;" ("&amp;TEXT(ROUND(Calculations!M34*0.45359237,1),"0.0")&amp;")"</f>
        <v>160 (72.6)</v>
      </c>
      <c r="I33" s="45" t="str">
        <f>ROUND(Calculations!N34,0)&amp;" ("&amp;TEXT(ROUND(Calculations!N34*0.45359237,1),"0.0")&amp;")"</f>
        <v>216 (98.1)</v>
      </c>
      <c r="J33" s="46">
        <f>Calculations!C34</f>
        <v>1.9812000000000001</v>
      </c>
      <c r="K33" s="14"/>
    </row>
    <row r="34" spans="1:11" ht="14.1" customHeight="1" x14ac:dyDescent="0.2">
      <c r="A34" s="37" t="str">
        <f>Calculations!B35</f>
        <v>6'7"</v>
      </c>
      <c r="B34" s="38" t="str">
        <f>ROUND(Calculations!G35,0)&amp;" ("&amp;TEXT(ROUND(Calculations!G35*0.45359237,1),"0.0")&amp;")"</f>
        <v>206 (93.5)</v>
      </c>
      <c r="C34" s="39" t="str">
        <f>ROUND(Calculations!H35,0)&amp;" ("&amp;TEXT(ROUND(Calculations!H35*0.45359237,1),"0.0")&amp;")"</f>
        <v>196 (89.0)</v>
      </c>
      <c r="D34" s="38" t="str">
        <f>ROUND(Calculations!I35,0)&amp;" ("&amp;TEXT(ROUND(Calculations!I35*0.45359237,1),"0.0")&amp;")"</f>
        <v>194 (87.9)</v>
      </c>
      <c r="E34" s="39" t="str">
        <f>ROUND(Calculations!J35,0)&amp;" ("&amp;TEXT(ROUND(Calculations!J35*0.45359237,1),"0.0")&amp;")"</f>
        <v>179 (81.1)</v>
      </c>
      <c r="F34" s="38" t="str">
        <f>ROUND(Calculations!K35,0)&amp;" ("&amp;TEXT(ROUND(Calculations!K35*0.45359237,1),"0.0")&amp;")"</f>
        <v>183 (82.8)</v>
      </c>
      <c r="G34" s="39" t="str">
        <f>ROUND(Calculations!L35,0)&amp;" ("&amp;TEXT(ROUND(Calculations!L35*0.45359237,1),"0.0")&amp;")"</f>
        <v>174 (78.8)</v>
      </c>
      <c r="H34" s="40" t="str">
        <f>ROUND(Calculations!M35,0)&amp;" ("&amp;TEXT(ROUND(Calculations!M35*0.45359237,1),"0.0")&amp;")"</f>
        <v>164 (74.5)</v>
      </c>
      <c r="I34" s="40" t="str">
        <f>ROUND(Calculations!N35,0)&amp;" ("&amp;TEXT(ROUND(Calculations!N35*0.45359237,1),"0.0")&amp;")"</f>
        <v>222 (100.7)</v>
      </c>
      <c r="J34" s="41">
        <f>Calculations!C35</f>
        <v>2.0066000000000002</v>
      </c>
      <c r="K34" s="6"/>
    </row>
    <row r="35" spans="1:11" s="15" customFormat="1" ht="14.1" customHeight="1" x14ac:dyDescent="0.2">
      <c r="A35" s="42" t="str">
        <f>Calculations!B36</f>
        <v>6'8"</v>
      </c>
      <c r="B35" s="43" t="str">
        <f>ROUND(Calculations!G36,0)&amp;" ("&amp;TEXT(ROUND(Calculations!G36*0.45359237,1),"0.0")&amp;")"</f>
        <v>211 (95.8)</v>
      </c>
      <c r="C35" s="44" t="str">
        <f>ROUND(Calculations!H36,0)&amp;" ("&amp;TEXT(ROUND(Calculations!H36*0.45359237,1),"0.0")&amp;")"</f>
        <v>201 (91.3)</v>
      </c>
      <c r="D35" s="43" t="str">
        <f>ROUND(Calculations!I36,0)&amp;" ("&amp;TEXT(ROUND(Calculations!I36*0.45359237,1),"0.0")&amp;")"</f>
        <v>198 (89.8)</v>
      </c>
      <c r="E35" s="44" t="str">
        <f>ROUND(Calculations!J36,0)&amp;" ("&amp;TEXT(ROUND(Calculations!J36*0.45359237,1),"0.0")&amp;")"</f>
        <v>183 (82.8)</v>
      </c>
      <c r="F35" s="43" t="str">
        <f>ROUND(Calculations!K36,0)&amp;" ("&amp;TEXT(ROUND(Calculations!K36*0.45359237,1),"0.0")&amp;")"</f>
        <v>186 (84.2)</v>
      </c>
      <c r="G35" s="44" t="str">
        <f>ROUND(Calculations!L36,0)&amp;" ("&amp;TEXT(ROUND(Calculations!L36*0.45359237,1),"0.0")&amp;")"</f>
        <v>177 (80.1)</v>
      </c>
      <c r="H35" s="45" t="str">
        <f>ROUND(Calculations!M36,0)&amp;" ("&amp;TEXT(ROUND(Calculations!M36*0.45359237,1),"0.0")&amp;")"</f>
        <v>168 (76.4)</v>
      </c>
      <c r="I35" s="45" t="str">
        <f>ROUND(Calculations!N36,0)&amp;" ("&amp;TEXT(ROUND(Calculations!N36*0.45359237,1),"0.0")&amp;")"</f>
        <v>228 (103.2)</v>
      </c>
      <c r="J35" s="46">
        <f>Calculations!C36</f>
        <v>2.032</v>
      </c>
      <c r="K35" s="14"/>
    </row>
    <row r="36" spans="1:11" ht="14.1" customHeight="1" x14ac:dyDescent="0.2">
      <c r="A36" s="37" t="str">
        <f>Calculations!B37</f>
        <v>6'9"</v>
      </c>
      <c r="B36" s="38" t="str">
        <f>ROUND(Calculations!G37,0)&amp;" ("&amp;TEXT(ROUND(Calculations!G37*0.45359237,1),"0.0")&amp;")"</f>
        <v>216 (98.1)</v>
      </c>
      <c r="C36" s="39" t="str">
        <f>ROUND(Calculations!H37,0)&amp;" ("&amp;TEXT(ROUND(Calculations!H37*0.45359237,1),"0.0")&amp;")"</f>
        <v>206 (93.6)</v>
      </c>
      <c r="D36" s="38" t="str">
        <f>ROUND(Calculations!I37,0)&amp;" ("&amp;TEXT(ROUND(Calculations!I37*0.45359237,1),"0.0")&amp;")"</f>
        <v>202 (91.7)</v>
      </c>
      <c r="E36" s="39" t="str">
        <f>ROUND(Calculations!J37,0)&amp;" ("&amp;TEXT(ROUND(Calculations!J37*0.45359237,1),"0.0")&amp;")"</f>
        <v>186 (84.5)</v>
      </c>
      <c r="F36" s="38" t="str">
        <f>ROUND(Calculations!K37,0)&amp;" ("&amp;TEXT(ROUND(Calculations!K37*0.45359237,1),"0.0")&amp;")"</f>
        <v>189 (85.6)</v>
      </c>
      <c r="G36" s="39" t="str">
        <f>ROUND(Calculations!L37,0)&amp;" ("&amp;TEXT(ROUND(Calculations!L37*0.45359237,1),"0.0")&amp;")"</f>
        <v>180 (81.5)</v>
      </c>
      <c r="H36" s="40" t="str">
        <f>ROUND(Calculations!M37,0)&amp;" ("&amp;TEXT(ROUND(Calculations!M37*0.45359237,1),"0.0")&amp;")"</f>
        <v>173 (78.3)</v>
      </c>
      <c r="I36" s="40" t="str">
        <f>ROUND(Calculations!N37,0)&amp;" ("&amp;TEXT(ROUND(Calculations!N37*0.45359237,1),"0.0")&amp;")"</f>
        <v>233 (105.8)</v>
      </c>
      <c r="J36" s="41">
        <f>Calculations!C37</f>
        <v>2.0573999999999999</v>
      </c>
      <c r="K36" s="6"/>
    </row>
    <row r="37" spans="1:11" s="15" customFormat="1" ht="14.1" customHeight="1" x14ac:dyDescent="0.2">
      <c r="A37" s="42" t="str">
        <f>Calculations!B38</f>
        <v>6'10"</v>
      </c>
      <c r="B37" s="43" t="str">
        <f>ROUND(Calculations!G38,0)&amp;" ("&amp;TEXT(ROUND(Calculations!G38*0.45359237,1),"0.0")&amp;")"</f>
        <v>221 (100.4)</v>
      </c>
      <c r="C37" s="44" t="str">
        <f>ROUND(Calculations!H38,0)&amp;" ("&amp;TEXT(ROUND(Calculations!H38*0.45359237,1),"0.0")&amp;")"</f>
        <v>211 (95.9)</v>
      </c>
      <c r="D37" s="43" t="str">
        <f>ROUND(Calculations!I38,0)&amp;" ("&amp;TEXT(ROUND(Calculations!I38*0.45359237,1),"0.0")&amp;")"</f>
        <v>206 (93.6)</v>
      </c>
      <c r="E37" s="44" t="str">
        <f>ROUND(Calculations!J38,0)&amp;" ("&amp;TEXT(ROUND(Calculations!J38*0.45359237,1),"0.0")&amp;")"</f>
        <v>190 (86.2)</v>
      </c>
      <c r="F37" s="43" t="str">
        <f>ROUND(Calculations!K38,0)&amp;" ("&amp;TEXT(ROUND(Calculations!K38*0.45359237,1),"0.0")&amp;")"</f>
        <v>192 (87.0)</v>
      </c>
      <c r="G37" s="44" t="str">
        <f>ROUND(Calculations!L38,0)&amp;" ("&amp;TEXT(ROUND(Calculations!L38*0.45359237,1),"0.0")&amp;")"</f>
        <v>183 (82.8)</v>
      </c>
      <c r="H37" s="45" t="str">
        <f>ROUND(Calculations!M38,0)&amp;" ("&amp;TEXT(ROUND(Calculations!M38*0.45359237,1),"0.0")&amp;")"</f>
        <v>177 (80.3)</v>
      </c>
      <c r="I37" s="45" t="str">
        <f>ROUND(Calculations!N38,0)&amp;" ("&amp;TEXT(ROUND(Calculations!N38*0.45359237,1),"0.0")&amp;")"</f>
        <v>239 (108.5)</v>
      </c>
      <c r="J37" s="46">
        <f>Calculations!C38</f>
        <v>2.0828000000000002</v>
      </c>
      <c r="K37" s="14"/>
    </row>
    <row r="38" spans="1:11" ht="14.1" customHeight="1" x14ac:dyDescent="0.2">
      <c r="A38" s="37" t="str">
        <f>Calculations!B39</f>
        <v>6'11"</v>
      </c>
      <c r="B38" s="38" t="str">
        <f>ROUND(Calculations!G39,0)&amp;" ("&amp;TEXT(ROUND(Calculations!G39*0.45359237,1),"0.0")&amp;")"</f>
        <v>226 (102.7)</v>
      </c>
      <c r="C38" s="39" t="str">
        <f>ROUND(Calculations!H39,0)&amp;" ("&amp;TEXT(ROUND(Calculations!H39*0.45359237,1),"0.0")&amp;")"</f>
        <v>216 (98.2)</v>
      </c>
      <c r="D38" s="38" t="str">
        <f>ROUND(Calculations!I39,0)&amp;" ("&amp;TEXT(ROUND(Calculations!I39*0.45359237,1),"0.0")&amp;")"</f>
        <v>211 (95.5)</v>
      </c>
      <c r="E38" s="39" t="str">
        <f>ROUND(Calculations!J39,0)&amp;" ("&amp;TEXT(ROUND(Calculations!J39*0.45359237,1),"0.0")&amp;")"</f>
        <v>194 (87.9)</v>
      </c>
      <c r="F38" s="38" t="str">
        <f>ROUND(Calculations!K39,0)&amp;" ("&amp;TEXT(ROUND(Calculations!K39*0.45359237,1),"0.0")&amp;")"</f>
        <v>195 (88.4)</v>
      </c>
      <c r="G38" s="39" t="str">
        <f>ROUND(Calculations!L39,0)&amp;" ("&amp;TEXT(ROUND(Calculations!L39*0.45359237,1),"0.0")&amp;")"</f>
        <v>186 (84.2)</v>
      </c>
      <c r="H38" s="40" t="str">
        <f>ROUND(Calculations!M39,0)&amp;" ("&amp;TEXT(ROUND(Calculations!M39*0.45359237,1),"0.0")&amp;")"</f>
        <v>181 (82.2)</v>
      </c>
      <c r="I38" s="40" t="str">
        <f>ROUND(Calculations!N39,0)&amp;" ("&amp;TEXT(ROUND(Calculations!N39*0.45359237,1),"0.0")&amp;")"</f>
        <v>245 (111.1)</v>
      </c>
      <c r="J38" s="41">
        <f>Calculations!C39</f>
        <v>2.1082000000000001</v>
      </c>
      <c r="K38" s="6"/>
    </row>
    <row r="39" spans="1:11" s="15" customFormat="1" ht="14.1" customHeight="1" x14ac:dyDescent="0.2">
      <c r="A39" s="42" t="str">
        <f>Calculations!B40</f>
        <v>7'0"</v>
      </c>
      <c r="B39" s="43" t="str">
        <f>ROUND(Calculations!G40,0)&amp;" ("&amp;TEXT(ROUND(Calculations!G40*0.45359237,1),"0.0")&amp;")"</f>
        <v>231 (105.0)</v>
      </c>
      <c r="C39" s="44" t="str">
        <f>ROUND(Calculations!H40,0)&amp;" ("&amp;TEXT(ROUND(Calculations!H40*0.45359237,1),"0.0")&amp;")"</f>
        <v>222 (100.5)</v>
      </c>
      <c r="D39" s="43" t="str">
        <f>ROUND(Calculations!I40,0)&amp;" ("&amp;TEXT(ROUND(Calculations!I40*0.45359237,1),"0.0")&amp;")"</f>
        <v>215 (97.4)</v>
      </c>
      <c r="E39" s="44" t="str">
        <f>ROUND(Calculations!J40,0)&amp;" ("&amp;TEXT(ROUND(Calculations!J40*0.45359237,1),"0.0")&amp;")"</f>
        <v>198 (89.6)</v>
      </c>
      <c r="F39" s="43" t="str">
        <f>ROUND(Calculations!K40,0)&amp;" ("&amp;TEXT(ROUND(Calculations!K40*0.45359237,1),"0.0")&amp;")"</f>
        <v>198 (89.8)</v>
      </c>
      <c r="G39" s="44" t="str">
        <f>ROUND(Calculations!L40,0)&amp;" ("&amp;TEXT(ROUND(Calculations!L40*0.45359237,1),"0.0")&amp;")"</f>
        <v>189 (85.5)</v>
      </c>
      <c r="H39" s="45" t="str">
        <f>ROUND(Calculations!M40,0)&amp;" ("&amp;TEXT(ROUND(Calculations!M40*0.45359237,1),"0.0")&amp;")"</f>
        <v>186 (84.2)</v>
      </c>
      <c r="I39" s="45" t="str">
        <f>ROUND(Calculations!N40,0)&amp;" ("&amp;TEXT(ROUND(Calculations!N40*0.45359237,1),"0.0")&amp;")"</f>
        <v>251 (113.8)</v>
      </c>
      <c r="J39" s="46">
        <f>Calculations!C40</f>
        <v>2.1335999999999999</v>
      </c>
      <c r="K39" s="14"/>
    </row>
    <row r="40" spans="1:11" x14ac:dyDescent="0.2">
      <c r="A40" s="47" t="s">
        <v>64</v>
      </c>
      <c r="B40" s="48"/>
      <c r="C40" s="48"/>
      <c r="D40" s="48"/>
      <c r="E40" s="48"/>
      <c r="F40" s="48"/>
      <c r="G40" s="48"/>
      <c r="H40" s="48"/>
      <c r="I40" s="48"/>
      <c r="J40" s="49"/>
      <c r="K40" s="6"/>
    </row>
    <row r="41" spans="1:11" x14ac:dyDescent="0.2">
      <c r="B41" s="16"/>
      <c r="C41" s="16"/>
      <c r="D41" s="16"/>
      <c r="E41" s="16"/>
      <c r="F41" s="16"/>
      <c r="G41" s="16"/>
      <c r="H41" s="16"/>
      <c r="I41" s="16"/>
      <c r="J41" s="5"/>
      <c r="K41" s="6"/>
    </row>
    <row r="42" spans="1:11" x14ac:dyDescent="0.2">
      <c r="B42" s="16"/>
      <c r="C42" s="16"/>
      <c r="D42" s="16"/>
      <c r="E42" s="16"/>
      <c r="F42" s="16"/>
      <c r="G42" s="16"/>
      <c r="H42" s="16"/>
      <c r="I42" s="16"/>
      <c r="J42" s="5"/>
      <c r="K42" s="6"/>
    </row>
    <row r="43" spans="1:11" x14ac:dyDescent="0.2">
      <c r="A43" s="16"/>
      <c r="B43" s="16"/>
      <c r="C43" s="16"/>
      <c r="D43" s="16"/>
      <c r="E43" s="16"/>
      <c r="F43" s="16"/>
      <c r="G43" s="16"/>
      <c r="H43" s="16"/>
      <c r="I43" s="16"/>
      <c r="J43" s="5"/>
      <c r="K43" s="6"/>
    </row>
    <row r="44" spans="1:11" x14ac:dyDescent="0.2">
      <c r="A44" s="97" t="s">
        <v>89</v>
      </c>
      <c r="B44" s="9"/>
      <c r="C44" s="9"/>
      <c r="D44" s="9"/>
      <c r="E44" s="9"/>
      <c r="F44" s="9"/>
      <c r="G44" s="9"/>
      <c r="H44" s="9"/>
      <c r="I44" s="9"/>
      <c r="J44" s="17"/>
      <c r="K44" s="6"/>
    </row>
    <row r="45" spans="1:11" x14ac:dyDescent="0.2">
      <c r="A45" s="18"/>
      <c r="B45" s="18"/>
      <c r="C45" s="18"/>
      <c r="D45" s="18"/>
      <c r="E45" s="18"/>
      <c r="F45" s="18"/>
      <c r="G45" s="18"/>
      <c r="H45" s="18"/>
      <c r="I45" s="18"/>
      <c r="J45" s="17"/>
      <c r="K45" s="6"/>
    </row>
    <row r="46" spans="1:11" x14ac:dyDescent="0.2">
      <c r="A46" s="4"/>
      <c r="B46" s="18"/>
      <c r="C46" s="18"/>
      <c r="D46" s="18"/>
      <c r="E46" s="18"/>
      <c r="F46" s="18"/>
      <c r="G46" s="18"/>
      <c r="H46" s="18"/>
      <c r="I46" s="18"/>
      <c r="J46" s="17"/>
      <c r="K46" s="6"/>
    </row>
    <row r="47" spans="1:11" x14ac:dyDescent="0.2">
      <c r="A47" s="4"/>
      <c r="B47" s="19"/>
      <c r="C47" s="19"/>
      <c r="D47" s="19"/>
      <c r="E47" s="19"/>
      <c r="F47" s="19"/>
      <c r="G47" s="19"/>
      <c r="H47" s="18"/>
      <c r="I47" s="18"/>
      <c r="J47" s="17"/>
      <c r="K47" s="6"/>
    </row>
    <row r="48" spans="1:11" x14ac:dyDescent="0.2">
      <c r="A48" s="4"/>
      <c r="B48" s="19"/>
      <c r="C48" s="19"/>
      <c r="D48" s="19"/>
      <c r="E48" s="19"/>
      <c r="F48" s="19"/>
      <c r="G48" s="19"/>
      <c r="H48" s="18"/>
      <c r="I48" s="18"/>
      <c r="J48" s="17"/>
      <c r="K48" s="6"/>
    </row>
    <row r="49" spans="1:11" x14ac:dyDescent="0.2">
      <c r="A49" s="4"/>
      <c r="B49" s="19"/>
      <c r="C49" s="19"/>
      <c r="D49" s="19"/>
      <c r="E49" s="19"/>
      <c r="F49" s="19"/>
      <c r="G49" s="19"/>
      <c r="H49" s="18"/>
      <c r="I49" s="18"/>
      <c r="J49" s="17"/>
      <c r="K49" s="6"/>
    </row>
    <row r="50" spans="1:11" x14ac:dyDescent="0.2">
      <c r="A50" s="4"/>
      <c r="B50" s="19"/>
      <c r="C50" s="19"/>
      <c r="D50" s="19"/>
      <c r="E50" s="19"/>
      <c r="F50" s="19"/>
      <c r="G50" s="19"/>
      <c r="H50" s="18"/>
      <c r="I50" s="18"/>
      <c r="J50" s="17"/>
      <c r="K50" s="6"/>
    </row>
    <row r="51" spans="1:11" x14ac:dyDescent="0.2">
      <c r="A51" s="4"/>
      <c r="B51" s="19"/>
      <c r="C51" s="19"/>
      <c r="D51" s="19"/>
      <c r="E51" s="19"/>
      <c r="F51" s="19"/>
      <c r="G51" s="19"/>
      <c r="H51" s="18"/>
      <c r="I51" s="18"/>
      <c r="J51" s="17"/>
      <c r="K51" s="6"/>
    </row>
    <row r="52" spans="1:11" x14ac:dyDescent="0.2">
      <c r="A52" s="4"/>
      <c r="B52" s="19"/>
      <c r="C52" s="19"/>
      <c r="D52" s="19"/>
      <c r="E52" s="19"/>
      <c r="F52" s="19"/>
      <c r="G52" s="19"/>
      <c r="H52" s="18"/>
      <c r="I52" s="18"/>
      <c r="J52" s="17"/>
      <c r="K52" s="6"/>
    </row>
    <row r="53" spans="1:11" x14ac:dyDescent="0.2">
      <c r="A53" s="4"/>
      <c r="B53" s="19"/>
      <c r="C53" s="19"/>
      <c r="D53" s="19"/>
      <c r="E53" s="19"/>
      <c r="F53" s="19"/>
      <c r="G53" s="19"/>
      <c r="H53" s="18"/>
      <c r="I53" s="18"/>
      <c r="J53" s="17"/>
      <c r="K53" s="6"/>
    </row>
    <row r="54" spans="1:11" x14ac:dyDescent="0.2">
      <c r="A54" s="4"/>
      <c r="B54" s="19"/>
      <c r="C54" s="19"/>
      <c r="D54" s="19"/>
      <c r="E54" s="19"/>
      <c r="F54" s="19"/>
      <c r="G54" s="19"/>
      <c r="H54" s="18"/>
      <c r="I54" s="18"/>
      <c r="J54" s="17"/>
      <c r="K54" s="6"/>
    </row>
    <row r="55" spans="1:11" x14ac:dyDescent="0.2">
      <c r="A55" s="4"/>
      <c r="B55" s="19"/>
      <c r="C55" s="19"/>
      <c r="D55" s="19"/>
      <c r="E55" s="19"/>
      <c r="F55" s="19"/>
      <c r="G55" s="19"/>
      <c r="H55" s="18"/>
      <c r="I55" s="18"/>
      <c r="J55" s="17"/>
      <c r="K55" s="6"/>
    </row>
    <row r="56" spans="1:11" x14ac:dyDescent="0.2">
      <c r="A56" s="4"/>
      <c r="B56" s="19"/>
      <c r="C56" s="19"/>
      <c r="D56" s="19"/>
      <c r="E56" s="19"/>
      <c r="F56" s="19"/>
      <c r="G56" s="19"/>
      <c r="H56" s="18"/>
      <c r="I56" s="18"/>
      <c r="J56" s="17"/>
      <c r="K56" s="6"/>
    </row>
    <row r="57" spans="1:11" x14ac:dyDescent="0.2">
      <c r="A57" s="4"/>
      <c r="B57" s="19"/>
      <c r="C57" s="19"/>
      <c r="D57" s="19"/>
      <c r="E57" s="19"/>
      <c r="F57" s="19"/>
      <c r="G57" s="19"/>
      <c r="H57" s="18"/>
      <c r="I57" s="18"/>
      <c r="J57" s="17"/>
      <c r="K57" s="6"/>
    </row>
    <row r="58" spans="1:11" x14ac:dyDescent="0.2">
      <c r="A58" s="4"/>
      <c r="B58" s="19"/>
      <c r="C58" s="19"/>
      <c r="D58" s="19"/>
      <c r="E58" s="19"/>
      <c r="F58" s="19"/>
      <c r="G58" s="19"/>
      <c r="H58" s="18"/>
      <c r="I58" s="18"/>
      <c r="J58" s="17"/>
      <c r="K58" s="6"/>
    </row>
    <row r="59" spans="1:11" x14ac:dyDescent="0.2">
      <c r="A59" s="4"/>
      <c r="B59" s="19"/>
      <c r="C59" s="19"/>
      <c r="D59" s="19"/>
      <c r="E59" s="19"/>
      <c r="F59" s="19"/>
      <c r="G59" s="19"/>
      <c r="H59" s="18"/>
      <c r="I59" s="18"/>
      <c r="J59" s="17"/>
      <c r="K59" s="6"/>
    </row>
    <row r="60" spans="1:11" x14ac:dyDescent="0.2">
      <c r="A60" s="4"/>
      <c r="B60" s="19"/>
      <c r="C60" s="19"/>
      <c r="D60" s="19"/>
      <c r="E60" s="19"/>
      <c r="F60" s="19"/>
      <c r="G60" s="19"/>
      <c r="H60" s="18"/>
      <c r="I60" s="18"/>
      <c r="J60" s="17"/>
      <c r="K60" s="6"/>
    </row>
    <row r="61" spans="1:11" x14ac:dyDescent="0.2">
      <c r="A61" s="4"/>
      <c r="B61" s="19"/>
      <c r="C61" s="19"/>
      <c r="D61" s="19"/>
      <c r="E61" s="19"/>
      <c r="F61" s="19"/>
      <c r="G61" s="19"/>
      <c r="H61" s="18"/>
      <c r="I61" s="18"/>
      <c r="J61" s="17"/>
      <c r="K61" s="6"/>
    </row>
    <row r="62" spans="1:11" x14ac:dyDescent="0.2">
      <c r="A62" s="4"/>
      <c r="B62" s="19"/>
      <c r="C62" s="19"/>
      <c r="D62" s="19"/>
      <c r="E62" s="19"/>
      <c r="F62" s="19"/>
      <c r="G62" s="19"/>
      <c r="H62" s="18"/>
      <c r="I62" s="18"/>
      <c r="J62" s="17"/>
      <c r="K62" s="6"/>
    </row>
    <row r="63" spans="1:11" x14ac:dyDescent="0.2">
      <c r="A63" s="4"/>
      <c r="B63" s="19"/>
      <c r="C63" s="19"/>
      <c r="D63" s="19"/>
      <c r="E63" s="19"/>
      <c r="F63" s="19"/>
      <c r="G63" s="19"/>
      <c r="H63" s="18"/>
      <c r="I63" s="18"/>
      <c r="J63" s="17"/>
      <c r="K63" s="6"/>
    </row>
    <row r="64" spans="1:11" x14ac:dyDescent="0.2">
      <c r="A64" s="4"/>
      <c r="B64" s="19"/>
      <c r="C64" s="19"/>
      <c r="D64" s="19"/>
      <c r="E64" s="19"/>
      <c r="F64" s="19"/>
      <c r="G64" s="19"/>
      <c r="H64" s="18"/>
      <c r="I64" s="18"/>
      <c r="J64" s="17"/>
      <c r="K64" s="6"/>
    </row>
    <row r="65" spans="1:11" x14ac:dyDescent="0.2">
      <c r="A65" s="4"/>
      <c r="B65" s="19"/>
      <c r="C65" s="19"/>
      <c r="D65" s="19"/>
      <c r="E65" s="19"/>
      <c r="F65" s="19"/>
      <c r="G65" s="19"/>
      <c r="H65" s="18"/>
      <c r="I65" s="18"/>
      <c r="J65" s="17"/>
      <c r="K65" s="6"/>
    </row>
    <row r="66" spans="1:11" x14ac:dyDescent="0.2">
      <c r="A66" s="4"/>
      <c r="B66" s="19"/>
      <c r="C66" s="19"/>
      <c r="D66" s="19"/>
      <c r="E66" s="19"/>
      <c r="F66" s="19"/>
      <c r="G66" s="19"/>
      <c r="H66" s="18"/>
      <c r="I66" s="18"/>
      <c r="J66" s="17"/>
      <c r="K66" s="6"/>
    </row>
    <row r="67" spans="1:11" x14ac:dyDescent="0.2">
      <c r="A67" s="4"/>
      <c r="B67" s="19"/>
      <c r="C67" s="19"/>
      <c r="D67" s="19"/>
      <c r="E67" s="19"/>
      <c r="F67" s="19"/>
      <c r="G67" s="19"/>
      <c r="H67" s="18"/>
      <c r="I67" s="18"/>
      <c r="J67" s="17"/>
      <c r="K67" s="6"/>
    </row>
    <row r="68" spans="1:11" x14ac:dyDescent="0.2">
      <c r="A68" s="4"/>
      <c r="B68" s="19"/>
      <c r="C68" s="19"/>
      <c r="D68" s="19"/>
      <c r="E68" s="19"/>
      <c r="F68" s="19"/>
      <c r="G68" s="19"/>
      <c r="H68" s="18"/>
      <c r="I68" s="18"/>
      <c r="J68" s="17"/>
      <c r="K68" s="6"/>
    </row>
    <row r="69" spans="1:11" x14ac:dyDescent="0.2">
      <c r="A69" s="4"/>
      <c r="B69" s="19"/>
      <c r="C69" s="19"/>
      <c r="D69" s="19"/>
      <c r="E69" s="19"/>
      <c r="F69" s="19"/>
      <c r="G69" s="19"/>
      <c r="H69" s="18"/>
      <c r="I69" s="18"/>
      <c r="J69" s="17"/>
      <c r="K69" s="6"/>
    </row>
    <row r="70" spans="1:11" x14ac:dyDescent="0.2">
      <c r="A70" s="4"/>
      <c r="B70" s="19"/>
      <c r="C70" s="19"/>
      <c r="D70" s="19"/>
      <c r="E70" s="19"/>
      <c r="F70" s="19"/>
      <c r="G70" s="19"/>
      <c r="H70" s="18"/>
      <c r="I70" s="18"/>
      <c r="J70" s="17"/>
      <c r="K70" s="6"/>
    </row>
    <row r="71" spans="1:11" x14ac:dyDescent="0.2">
      <c r="A71" s="4"/>
      <c r="B71" s="19"/>
      <c r="C71" s="19"/>
      <c r="D71" s="19"/>
      <c r="E71" s="19"/>
      <c r="F71" s="19"/>
      <c r="G71" s="19"/>
      <c r="H71" s="18"/>
      <c r="I71" s="18"/>
      <c r="J71" s="17"/>
      <c r="K71" s="6"/>
    </row>
    <row r="72" spans="1:11" x14ac:dyDescent="0.2">
      <c r="A72" s="6"/>
      <c r="B72" s="6"/>
      <c r="C72" s="6"/>
      <c r="D72" s="6"/>
      <c r="E72" s="6"/>
      <c r="F72" s="6"/>
      <c r="G72" s="6"/>
      <c r="H72" s="6"/>
      <c r="I72" s="6"/>
      <c r="J72" s="17"/>
      <c r="K72" s="6"/>
    </row>
    <row r="73" spans="1:11" x14ac:dyDescent="0.2">
      <c r="A73" s="6"/>
      <c r="B73" s="6"/>
      <c r="C73" s="6"/>
      <c r="D73" s="6"/>
      <c r="E73" s="6"/>
      <c r="F73" s="6"/>
      <c r="G73" s="6"/>
      <c r="H73" s="6"/>
      <c r="I73" s="6"/>
      <c r="J73" s="17"/>
      <c r="K73" s="6"/>
    </row>
    <row r="74" spans="1:11" x14ac:dyDescent="0.2">
      <c r="A74" s="6"/>
      <c r="B74" s="6"/>
      <c r="C74" s="6"/>
      <c r="D74" s="6"/>
      <c r="E74" s="6"/>
      <c r="F74" s="6"/>
      <c r="G74" s="6"/>
      <c r="H74" s="6"/>
      <c r="I74" s="6"/>
      <c r="J74" s="17"/>
      <c r="K74" s="6"/>
    </row>
  </sheetData>
  <mergeCells count="8">
    <mergeCell ref="A4:J4"/>
    <mergeCell ref="I1:J1"/>
    <mergeCell ref="B9:C9"/>
    <mergeCell ref="F9:G9"/>
    <mergeCell ref="D9:E9"/>
    <mergeCell ref="H9:I9"/>
    <mergeCell ref="A6:J6"/>
    <mergeCell ref="E7:F7"/>
  </mergeCells>
  <phoneticPr fontId="5"/>
  <printOptions horizontalCentered="1"/>
  <pageMargins left="0.75" right="0.75" top="0.5" bottom="1" header="0" footer="0.5"/>
  <pageSetup scale="85" orientation="portrait" horizontalDpi="4294967292" verticalDpi="4294967292" r:id="rId1"/>
  <headerFooter alignWithMargins="0"/>
  <rowBreaks count="1" manualBreakCount="1">
    <brk id="41" max="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tabSelected="1" workbookViewId="0">
      <selection activeCell="A31" sqref="A31"/>
    </sheetView>
  </sheetViews>
  <sheetFormatPr defaultColWidth="9.140625" defaultRowHeight="12.75" x14ac:dyDescent="0.2"/>
  <cols>
    <col min="1" max="1" width="13.28515625" style="55" customWidth="1"/>
    <col min="2" max="3" width="10.7109375" style="55" customWidth="1"/>
    <col min="4" max="4" width="5.85546875" style="55" customWidth="1"/>
    <col min="5" max="5" width="2.85546875" style="55" customWidth="1"/>
    <col min="6" max="6" width="13.28515625" style="55" customWidth="1"/>
    <col min="7" max="8" width="10.7109375" style="55" customWidth="1"/>
    <col min="9" max="9" width="5.85546875" style="55" customWidth="1"/>
    <col min="10" max="16384" width="9.140625" style="55"/>
  </cols>
  <sheetData>
    <row r="1" spans="1:10" ht="30" customHeight="1" x14ac:dyDescent="0.35">
      <c r="A1" s="100" t="s">
        <v>52</v>
      </c>
      <c r="B1" s="101"/>
      <c r="C1" s="101"/>
      <c r="D1" s="101"/>
      <c r="E1" s="102"/>
      <c r="F1" s="101"/>
      <c r="G1" s="103"/>
      <c r="H1" s="103"/>
      <c r="I1" s="103"/>
    </row>
    <row r="2" spans="1:10" x14ac:dyDescent="0.2">
      <c r="A2" s="104"/>
      <c r="I2" s="22"/>
    </row>
    <row r="3" spans="1:10" x14ac:dyDescent="0.2">
      <c r="A3" s="57"/>
      <c r="B3" s="57"/>
      <c r="C3" s="57"/>
      <c r="D3" s="57"/>
      <c r="E3" s="57"/>
      <c r="F3" s="57"/>
      <c r="G3" s="57"/>
      <c r="H3" s="57"/>
      <c r="I3" s="57"/>
    </row>
    <row r="4" spans="1:10" ht="53.25" customHeight="1" x14ac:dyDescent="0.2">
      <c r="A4" s="117" t="s">
        <v>90</v>
      </c>
      <c r="B4" s="117"/>
      <c r="C4" s="117"/>
      <c r="D4" s="117"/>
      <c r="E4" s="117"/>
      <c r="F4" s="117"/>
      <c r="G4" s="117"/>
      <c r="H4" s="117"/>
      <c r="I4" s="117"/>
      <c r="J4" s="56"/>
    </row>
    <row r="5" spans="1:10" x14ac:dyDescent="0.2">
      <c r="A5" s="57"/>
      <c r="B5" s="57"/>
      <c r="C5" s="57"/>
      <c r="D5" s="57"/>
      <c r="E5" s="57"/>
      <c r="F5" s="57"/>
      <c r="G5" s="57"/>
      <c r="H5" s="57"/>
      <c r="I5" s="57"/>
    </row>
    <row r="6" spans="1:10" ht="15" x14ac:dyDescent="0.2">
      <c r="A6" s="58"/>
      <c r="B6" s="59"/>
      <c r="C6" s="59"/>
      <c r="D6" s="60"/>
      <c r="E6" s="57"/>
      <c r="F6" s="58"/>
      <c r="G6" s="59"/>
      <c r="H6" s="59"/>
      <c r="I6" s="60"/>
    </row>
    <row r="7" spans="1:10" ht="15" x14ac:dyDescent="0.2">
      <c r="A7" s="61" t="s">
        <v>5</v>
      </c>
      <c r="B7" s="53">
        <v>5</v>
      </c>
      <c r="C7" s="62" t="s">
        <v>46</v>
      </c>
      <c r="D7" s="63"/>
      <c r="E7" s="57"/>
      <c r="F7" s="61" t="s">
        <v>5</v>
      </c>
      <c r="G7" s="52"/>
      <c r="H7" s="62" t="s">
        <v>41</v>
      </c>
      <c r="I7" s="63"/>
    </row>
    <row r="8" spans="1:10" ht="15" x14ac:dyDescent="0.2">
      <c r="A8" s="64"/>
      <c r="B8" s="54">
        <v>8</v>
      </c>
      <c r="C8" s="62" t="s">
        <v>40</v>
      </c>
      <c r="D8" s="63"/>
      <c r="E8" s="57"/>
      <c r="F8" s="64"/>
      <c r="G8" s="62"/>
      <c r="H8" s="62"/>
      <c r="I8" s="63"/>
    </row>
    <row r="9" spans="1:10" ht="15" x14ac:dyDescent="0.2">
      <c r="A9" s="64"/>
      <c r="B9" s="62"/>
      <c r="C9" s="62"/>
      <c r="D9" s="63"/>
      <c r="E9" s="57"/>
      <c r="F9" s="64"/>
      <c r="G9" s="62"/>
      <c r="H9" s="62"/>
      <c r="I9" s="63"/>
    </row>
    <row r="10" spans="1:10" ht="15" x14ac:dyDescent="0.2">
      <c r="A10" s="65"/>
      <c r="B10" s="66" t="s">
        <v>65</v>
      </c>
      <c r="C10" s="66" t="s">
        <v>66</v>
      </c>
      <c r="D10" s="63"/>
      <c r="E10" s="57"/>
      <c r="F10" s="64"/>
      <c r="G10" s="66" t="s">
        <v>65</v>
      </c>
      <c r="H10" s="66" t="s">
        <v>66</v>
      </c>
      <c r="I10" s="63"/>
    </row>
    <row r="11" spans="1:10" ht="15" x14ac:dyDescent="0.2">
      <c r="A11" s="65" t="s">
        <v>53</v>
      </c>
      <c r="B11" s="67">
        <f>IF(AND(ISBLANK($B$7),ISBLANK($B$8)),"",110+5.06*($B$7*12+$B$8-60))</f>
        <v>150.47999999999999</v>
      </c>
      <c r="C11" s="68">
        <f>IF(AND(ISBLANK($B$7),ISBLANK($B$8)),"",100.1+5.06*($B$7*12+$B$8-60))</f>
        <v>140.57999999999998</v>
      </c>
      <c r="D11" s="63" t="s">
        <v>32</v>
      </c>
      <c r="E11" s="57"/>
      <c r="F11" s="65" t="s">
        <v>53</v>
      </c>
      <c r="G11" s="67" t="str">
        <f>IF(ISBLANK($G$7),"",(110+5.06*($G$7*100/2.54-60))*0.45359237)</f>
        <v/>
      </c>
      <c r="H11" s="68" t="str">
        <f>IF(ISBLANK($G$7),"",(100.1+5.06*($G$7*100/2.54-60))*0.45359237)</f>
        <v/>
      </c>
      <c r="I11" s="63" t="s">
        <v>31</v>
      </c>
    </row>
    <row r="12" spans="1:10" ht="15" x14ac:dyDescent="0.2">
      <c r="A12" s="65" t="s">
        <v>54</v>
      </c>
      <c r="B12" s="69">
        <f>IF(AND(ISBLANK($B$7),ISBLANK($B$8)),"",114.4+4.18*($B$7*12+$B$8-60))</f>
        <v>147.84</v>
      </c>
      <c r="C12" s="70">
        <f>IF(AND(ISBLANK($B$7),ISBLANK($B$8)),"",107.8+3.74*($B$7*12+$B$8-60))</f>
        <v>137.72</v>
      </c>
      <c r="D12" s="63" t="s">
        <v>32</v>
      </c>
      <c r="E12" s="57"/>
      <c r="F12" s="65" t="s">
        <v>54</v>
      </c>
      <c r="G12" s="69" t="str">
        <f>IF(ISBLANK($G$7),"",(114.4+4.18*($G$7*100/2.54-60))*0.45359237)</f>
        <v/>
      </c>
      <c r="H12" s="70" t="str">
        <f>IF(ISBLANK($G$7),"",(107.8+3.74*($G$7*100/2.54-60))*0.45359237)</f>
        <v/>
      </c>
      <c r="I12" s="63" t="s">
        <v>31</v>
      </c>
    </row>
    <row r="13" spans="1:10" ht="15" x14ac:dyDescent="0.2">
      <c r="A13" s="65" t="s">
        <v>55</v>
      </c>
      <c r="B13" s="69">
        <f>IF(AND(ISBLANK($B$7),ISBLANK($B$8)),"",123.64+3.1*($B$7*12+$B$8-60))</f>
        <v>148.44</v>
      </c>
      <c r="C13" s="68">
        <f>IF(AND(ISBLANK($B$7),ISBLANK($B$8)),"",116.82+2.99*($B$7*12+$B$8-60))</f>
        <v>140.74</v>
      </c>
      <c r="D13" s="63" t="s">
        <v>32</v>
      </c>
      <c r="E13" s="57"/>
      <c r="F13" s="65" t="s">
        <v>55</v>
      </c>
      <c r="G13" s="69" t="str">
        <f>IF(ISBLANK($G$7),"",(123.64+3.1*($G$7*100/2.54-60))*0.45359237)</f>
        <v/>
      </c>
      <c r="H13" s="68" t="str">
        <f>IF(ISBLANK($G$7),"",(116.82+2.99*($G$7*100/2.54-60))*0.45359237)</f>
        <v/>
      </c>
      <c r="I13" s="63" t="s">
        <v>31</v>
      </c>
    </row>
    <row r="14" spans="1:10" ht="15" x14ac:dyDescent="0.2">
      <c r="A14" s="64"/>
      <c r="B14" s="62"/>
      <c r="C14" s="62"/>
      <c r="D14" s="63"/>
      <c r="E14" s="57"/>
      <c r="F14" s="64"/>
      <c r="G14" s="62"/>
      <c r="H14" s="62"/>
      <c r="I14" s="63"/>
    </row>
    <row r="15" spans="1:10" ht="15" x14ac:dyDescent="0.2">
      <c r="A15" s="65" t="s">
        <v>63</v>
      </c>
      <c r="B15" s="120">
        <f>IF(AND(ISBLANK($B$7),ISBLANK($B$8)),"",19*($B$7*12+$B$8)^2/703)</f>
        <v>124.97297297297297</v>
      </c>
      <c r="C15" s="121"/>
      <c r="D15" s="63" t="s">
        <v>32</v>
      </c>
      <c r="E15" s="57"/>
      <c r="F15" s="65" t="s">
        <v>63</v>
      </c>
      <c r="G15" s="120" t="str">
        <f>IF(ISBLANK($G$7),"",(19*($G$7*100/2.54)^2/703)*0.45359237)</f>
        <v/>
      </c>
      <c r="H15" s="121"/>
      <c r="I15" s="63" t="s">
        <v>31</v>
      </c>
    </row>
    <row r="16" spans="1:10" ht="15" x14ac:dyDescent="0.2">
      <c r="A16" s="65" t="s">
        <v>16</v>
      </c>
      <c r="B16" s="120">
        <f>IF(AND(ISBLANK($B$7),ISBLANK($B$8)),"",25*($B$7*12+$B$8)^2/703)</f>
        <v>164.43812233285917</v>
      </c>
      <c r="C16" s="121"/>
      <c r="D16" s="63" t="s">
        <v>32</v>
      </c>
      <c r="E16" s="57"/>
      <c r="F16" s="65" t="s">
        <v>16</v>
      </c>
      <c r="G16" s="120" t="str">
        <f>IF(ISBLANK($G$7),"",(25*($G$7*100/2.54)^2/703)*0.45359237)</f>
        <v/>
      </c>
      <c r="H16" s="121"/>
      <c r="I16" s="63" t="s">
        <v>31</v>
      </c>
    </row>
    <row r="17" spans="1:9" ht="15" x14ac:dyDescent="0.2">
      <c r="A17" s="71" t="s">
        <v>81</v>
      </c>
      <c r="B17" s="69">
        <f>IF(AND(ISBLANK($B$7),ISBLANK($B$8)),"",26.4*($B$7*12+$B$8)^2/703)</f>
        <v>173.64665718349929</v>
      </c>
      <c r="C17" s="68">
        <f>IF(AND(ISBLANK($B$7),ISBLANK($B$8)),"",25.8*($B$7*12+$B$8)^2/703)</f>
        <v>169.70014224751066</v>
      </c>
      <c r="D17" s="63" t="s">
        <v>32</v>
      </c>
      <c r="E17" s="57"/>
      <c r="F17" s="71" t="s">
        <v>81</v>
      </c>
      <c r="G17" s="69" t="str">
        <f>IF(ISBLANK($G$7),"",26.4*($G$7*100/2.54)^2/703*0.45359237)</f>
        <v/>
      </c>
      <c r="H17" s="68" t="str">
        <f>IF(ISBLANK($G$7),"",25.8*($G$7*100/2.54)^2/703*0.45359237)</f>
        <v/>
      </c>
      <c r="I17" s="63" t="s">
        <v>31</v>
      </c>
    </row>
    <row r="18" spans="1:9" ht="15" x14ac:dyDescent="0.2">
      <c r="A18" s="64"/>
      <c r="B18" s="62"/>
      <c r="C18" s="62"/>
      <c r="D18" s="63"/>
      <c r="E18" s="57"/>
      <c r="F18" s="64"/>
      <c r="G18" s="62"/>
      <c r="H18" s="62"/>
      <c r="I18" s="63"/>
    </row>
    <row r="19" spans="1:9" ht="15" x14ac:dyDescent="0.2">
      <c r="A19" s="65" t="s">
        <v>84</v>
      </c>
      <c r="B19" s="52"/>
      <c r="C19" s="62"/>
      <c r="D19" s="63"/>
      <c r="E19" s="57"/>
      <c r="F19" s="65" t="s">
        <v>84</v>
      </c>
      <c r="G19" s="52"/>
      <c r="H19" s="62"/>
      <c r="I19" s="63"/>
    </row>
    <row r="20" spans="1:9" ht="15" x14ac:dyDescent="0.2">
      <c r="A20" s="65"/>
      <c r="B20" s="84">
        <f>IF(AND(ISBLANK($B$7),ISBLANK($B$8)),"",B19*($B$7*12+$B$8)^2/703)</f>
        <v>0</v>
      </c>
      <c r="C20" s="62" t="s">
        <v>32</v>
      </c>
      <c r="D20" s="63"/>
      <c r="E20" s="57"/>
      <c r="F20" s="65"/>
      <c r="G20" s="84" t="str">
        <f>IF(ISBLANK($G$7),"",G19*($G$7*100/2.54)^2/703*0.45359237)</f>
        <v/>
      </c>
      <c r="H20" s="62" t="s">
        <v>31</v>
      </c>
      <c r="I20" s="63"/>
    </row>
    <row r="21" spans="1:9" ht="15" x14ac:dyDescent="0.2">
      <c r="A21" s="72"/>
      <c r="B21" s="73"/>
      <c r="C21" s="73"/>
      <c r="D21" s="74"/>
      <c r="E21" s="57"/>
      <c r="F21" s="72"/>
      <c r="G21" s="73"/>
      <c r="H21" s="73"/>
      <c r="I21" s="74"/>
    </row>
    <row r="22" spans="1:9" x14ac:dyDescent="0.2">
      <c r="A22" s="75" t="s">
        <v>91</v>
      </c>
      <c r="B22" s="57"/>
      <c r="C22" s="57"/>
      <c r="D22" s="57"/>
      <c r="E22" s="57"/>
      <c r="F22" s="57"/>
      <c r="G22" s="57"/>
      <c r="H22" s="57"/>
      <c r="I22" s="98" t="s">
        <v>89</v>
      </c>
    </row>
    <row r="23" spans="1:9" x14ac:dyDescent="0.2">
      <c r="A23" s="57"/>
      <c r="B23" s="57"/>
      <c r="C23" s="57"/>
      <c r="D23" s="57"/>
      <c r="E23" s="57"/>
      <c r="F23" s="57"/>
      <c r="G23" s="57"/>
      <c r="H23" s="57"/>
      <c r="I23" s="57"/>
    </row>
    <row r="24" spans="1:9" x14ac:dyDescent="0.2">
      <c r="A24" s="57" t="s">
        <v>82</v>
      </c>
      <c r="B24" s="57"/>
      <c r="C24" s="57"/>
      <c r="D24" s="57"/>
      <c r="E24" s="57"/>
      <c r="F24" s="57" t="s">
        <v>83</v>
      </c>
      <c r="G24" s="57"/>
      <c r="H24" s="57"/>
      <c r="I24" s="57"/>
    </row>
    <row r="25" spans="1:9" x14ac:dyDescent="0.2">
      <c r="A25" s="123" t="s">
        <v>35</v>
      </c>
      <c r="B25" s="123"/>
      <c r="C25" s="118" t="s">
        <v>60</v>
      </c>
      <c r="D25" s="118"/>
      <c r="E25" s="57"/>
      <c r="F25" s="86" t="s">
        <v>65</v>
      </c>
      <c r="G25" s="86" t="s">
        <v>66</v>
      </c>
      <c r="H25" s="118" t="s">
        <v>60</v>
      </c>
      <c r="I25" s="118"/>
    </row>
    <row r="26" spans="1:9" x14ac:dyDescent="0.2">
      <c r="A26" s="124" t="s">
        <v>47</v>
      </c>
      <c r="B26" s="124"/>
      <c r="C26" s="126" t="s">
        <v>10</v>
      </c>
      <c r="D26" s="126"/>
      <c r="E26" s="57"/>
      <c r="F26" s="76" t="s">
        <v>74</v>
      </c>
      <c r="G26" s="76" t="s">
        <v>69</v>
      </c>
      <c r="H26" s="106" t="s">
        <v>10</v>
      </c>
      <c r="I26" s="85"/>
    </row>
    <row r="27" spans="1:9" x14ac:dyDescent="0.2">
      <c r="A27" s="125" t="s">
        <v>48</v>
      </c>
      <c r="B27" s="125"/>
      <c r="C27" s="127" t="s">
        <v>11</v>
      </c>
      <c r="D27" s="127"/>
      <c r="E27" s="57"/>
      <c r="F27" s="76" t="s">
        <v>75</v>
      </c>
      <c r="G27" s="76" t="s">
        <v>70</v>
      </c>
      <c r="H27" s="105" t="s">
        <v>11</v>
      </c>
      <c r="I27" s="77"/>
    </row>
    <row r="28" spans="1:9" x14ac:dyDescent="0.2">
      <c r="A28" s="125" t="s">
        <v>49</v>
      </c>
      <c r="B28" s="125"/>
      <c r="C28" s="127" t="s">
        <v>12</v>
      </c>
      <c r="D28" s="127"/>
      <c r="E28" s="57"/>
      <c r="F28" s="76" t="s">
        <v>76</v>
      </c>
      <c r="G28" s="76" t="s">
        <v>71</v>
      </c>
      <c r="H28" s="105" t="s">
        <v>79</v>
      </c>
      <c r="I28" s="77"/>
    </row>
    <row r="29" spans="1:9" x14ac:dyDescent="0.2">
      <c r="A29" s="122" t="s">
        <v>50</v>
      </c>
      <c r="B29" s="122"/>
      <c r="C29" s="119" t="s">
        <v>13</v>
      </c>
      <c r="D29" s="119"/>
      <c r="E29" s="57"/>
      <c r="F29" s="76" t="s">
        <v>77</v>
      </c>
      <c r="G29" s="76" t="s">
        <v>72</v>
      </c>
      <c r="H29" s="105" t="s">
        <v>12</v>
      </c>
      <c r="I29" s="77"/>
    </row>
    <row r="30" spans="1:9" x14ac:dyDescent="0.2">
      <c r="A30" s="79"/>
      <c r="B30" s="57"/>
      <c r="C30" s="57"/>
      <c r="D30" s="57"/>
      <c r="E30" s="57"/>
      <c r="F30" s="78" t="s">
        <v>78</v>
      </c>
      <c r="G30" s="78" t="s">
        <v>73</v>
      </c>
      <c r="H30" s="107" t="s">
        <v>13</v>
      </c>
      <c r="I30" s="80"/>
    </row>
    <row r="31" spans="1:9" x14ac:dyDescent="0.2">
      <c r="A31" s="98"/>
      <c r="B31" s="57"/>
      <c r="C31" s="57"/>
      <c r="D31" s="57"/>
      <c r="E31" s="57"/>
      <c r="F31" s="79"/>
      <c r="G31" s="57"/>
      <c r="H31" s="57"/>
      <c r="I31" s="57"/>
    </row>
    <row r="32" spans="1:9" x14ac:dyDescent="0.2">
      <c r="A32" s="57"/>
      <c r="B32" s="57"/>
      <c r="C32" s="57"/>
      <c r="D32" s="57"/>
      <c r="E32" s="57"/>
      <c r="F32" s="57"/>
      <c r="G32" s="57"/>
      <c r="H32" s="57"/>
      <c r="I32" s="57"/>
    </row>
    <row r="33" spans="1:9" x14ac:dyDescent="0.2">
      <c r="A33" s="57"/>
      <c r="B33" s="57"/>
      <c r="C33" s="57"/>
      <c r="D33" s="57"/>
      <c r="E33" s="57"/>
      <c r="F33" s="57"/>
      <c r="G33" s="57"/>
      <c r="H33" s="57"/>
      <c r="I33" s="57"/>
    </row>
    <row r="34" spans="1:9" x14ac:dyDescent="0.2">
      <c r="A34" s="81" t="s">
        <v>51</v>
      </c>
      <c r="B34" s="57"/>
      <c r="C34" s="57"/>
      <c r="D34" s="57"/>
      <c r="E34" s="57"/>
      <c r="F34" s="57"/>
      <c r="G34" s="57"/>
      <c r="H34" s="57"/>
      <c r="I34" s="57"/>
    </row>
    <row r="35" spans="1:9" x14ac:dyDescent="0.2">
      <c r="A35" s="82" t="s">
        <v>80</v>
      </c>
      <c r="B35" s="57"/>
      <c r="C35" s="57"/>
      <c r="D35" s="57"/>
      <c r="E35" s="57"/>
      <c r="F35" s="57"/>
      <c r="G35" s="57"/>
      <c r="H35" s="57"/>
      <c r="I35" s="57"/>
    </row>
    <row r="36" spans="1:9" x14ac:dyDescent="0.2">
      <c r="A36" s="81" t="s">
        <v>17</v>
      </c>
      <c r="B36" s="57"/>
      <c r="C36" s="57"/>
      <c r="D36" s="57"/>
      <c r="E36" s="57"/>
      <c r="F36" s="57"/>
      <c r="G36" s="57"/>
      <c r="H36" s="57"/>
      <c r="I36" s="57"/>
    </row>
    <row r="37" spans="1:9" x14ac:dyDescent="0.2">
      <c r="A37" s="83" t="s">
        <v>58</v>
      </c>
      <c r="B37" s="57"/>
      <c r="C37" s="57"/>
      <c r="D37" s="57"/>
      <c r="E37" s="57"/>
      <c r="F37" s="57"/>
      <c r="G37" s="57"/>
      <c r="H37" s="57"/>
      <c r="I37" s="57"/>
    </row>
    <row r="38" spans="1:9" x14ac:dyDescent="0.2">
      <c r="A38" s="83" t="s">
        <v>59</v>
      </c>
      <c r="B38" s="57"/>
      <c r="C38" s="57"/>
      <c r="D38" s="57"/>
      <c r="E38" s="57"/>
      <c r="F38" s="57"/>
      <c r="G38" s="57"/>
      <c r="H38" s="57"/>
      <c r="I38" s="57"/>
    </row>
    <row r="39" spans="1:9" x14ac:dyDescent="0.2">
      <c r="A39" s="81" t="s">
        <v>19</v>
      </c>
      <c r="B39" s="57"/>
      <c r="C39" s="57"/>
      <c r="D39" s="57"/>
      <c r="E39" s="57"/>
      <c r="F39" s="57"/>
      <c r="G39" s="57"/>
      <c r="H39" s="57"/>
      <c r="I39" s="57"/>
    </row>
    <row r="40" spans="1:9" x14ac:dyDescent="0.2">
      <c r="A40" s="83" t="s">
        <v>57</v>
      </c>
      <c r="B40" s="57"/>
      <c r="C40" s="57"/>
      <c r="D40" s="57"/>
      <c r="E40" s="57"/>
      <c r="F40" s="57"/>
      <c r="G40" s="57"/>
      <c r="H40" s="57"/>
      <c r="I40" s="57"/>
    </row>
    <row r="41" spans="1:9" x14ac:dyDescent="0.2">
      <c r="A41" s="83" t="s">
        <v>56</v>
      </c>
      <c r="B41" s="57"/>
      <c r="C41" s="57"/>
      <c r="D41" s="57"/>
      <c r="E41" s="57"/>
      <c r="F41" s="57"/>
      <c r="G41" s="57"/>
      <c r="H41" s="57"/>
      <c r="I41" s="57"/>
    </row>
    <row r="42" spans="1:9" x14ac:dyDescent="0.2">
      <c r="A42" s="81" t="s">
        <v>26</v>
      </c>
      <c r="B42" s="57"/>
      <c r="C42" s="57"/>
      <c r="D42" s="57"/>
      <c r="E42" s="57"/>
      <c r="F42" s="57"/>
      <c r="G42" s="57"/>
      <c r="H42" s="57"/>
      <c r="I42" s="57"/>
    </row>
    <row r="43" spans="1:9" x14ac:dyDescent="0.2">
      <c r="A43" s="83" t="s">
        <v>61</v>
      </c>
      <c r="B43" s="57"/>
      <c r="C43" s="57"/>
      <c r="D43" s="57"/>
      <c r="E43" s="57"/>
      <c r="F43" s="57"/>
      <c r="G43" s="57"/>
      <c r="H43" s="57"/>
      <c r="I43" s="57"/>
    </row>
    <row r="44" spans="1:9" x14ac:dyDescent="0.2">
      <c r="A44" s="83" t="s">
        <v>62</v>
      </c>
      <c r="B44" s="57"/>
      <c r="C44" s="57"/>
      <c r="D44" s="57"/>
      <c r="E44" s="57"/>
      <c r="F44" s="57"/>
      <c r="G44" s="57"/>
      <c r="H44" s="57"/>
      <c r="I44" s="57"/>
    </row>
    <row r="45" spans="1:9" x14ac:dyDescent="0.2">
      <c r="A45" s="57"/>
      <c r="B45" s="57"/>
      <c r="C45" s="57"/>
      <c r="D45" s="57"/>
      <c r="E45" s="57"/>
      <c r="F45" s="57"/>
      <c r="G45" s="57"/>
      <c r="H45" s="57"/>
      <c r="I45" s="57"/>
    </row>
    <row r="46" spans="1:9" x14ac:dyDescent="0.2">
      <c r="A46" s="57"/>
      <c r="B46" s="57"/>
      <c r="C46" s="57"/>
      <c r="D46" s="57"/>
      <c r="E46" s="57"/>
      <c r="F46" s="57"/>
      <c r="G46" s="57"/>
      <c r="H46" s="57"/>
      <c r="I46" s="57"/>
    </row>
    <row r="47" spans="1:9" x14ac:dyDescent="0.2">
      <c r="A47" s="57"/>
      <c r="B47" s="57"/>
      <c r="C47" s="57"/>
      <c r="D47" s="57"/>
      <c r="E47" s="57"/>
      <c r="F47" s="57"/>
      <c r="G47" s="57"/>
      <c r="H47" s="57"/>
      <c r="I47" s="57"/>
    </row>
    <row r="48" spans="1:9" x14ac:dyDescent="0.2">
      <c r="A48" s="57"/>
      <c r="B48" s="57"/>
      <c r="C48" s="57"/>
      <c r="D48" s="57"/>
      <c r="E48" s="57"/>
      <c r="F48" s="57"/>
      <c r="G48" s="57"/>
      <c r="H48" s="57"/>
      <c r="I48" s="57"/>
    </row>
  </sheetData>
  <mergeCells count="16">
    <mergeCell ref="A4:I4"/>
    <mergeCell ref="H25:I25"/>
    <mergeCell ref="C29:D29"/>
    <mergeCell ref="B15:C15"/>
    <mergeCell ref="B16:C16"/>
    <mergeCell ref="G15:H15"/>
    <mergeCell ref="G16:H16"/>
    <mergeCell ref="A29:B29"/>
    <mergeCell ref="A25:B25"/>
    <mergeCell ref="A26:B26"/>
    <mergeCell ref="A27:B27"/>
    <mergeCell ref="A28:B28"/>
    <mergeCell ref="C25:D25"/>
    <mergeCell ref="C26:D26"/>
    <mergeCell ref="C27:D27"/>
    <mergeCell ref="C28:D28"/>
  </mergeCells>
  <phoneticPr fontId="8" type="noConversion"/>
  <printOptions horizontalCentered="1"/>
  <pageMargins left="0.5" right="0.5" top="0.75" bottom="0.5" header="0.5" footer="0.25"/>
  <pageSetup orientation="portrait"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
  <sheetViews>
    <sheetView workbookViewId="0"/>
  </sheetViews>
  <sheetFormatPr defaultColWidth="11.140625" defaultRowHeight="12.75" x14ac:dyDescent="0.2"/>
  <cols>
    <col min="1" max="1" width="7.85546875" customWidth="1"/>
    <col min="2" max="2" width="7.7109375" customWidth="1"/>
    <col min="3" max="4" width="9" customWidth="1"/>
    <col min="5" max="5" width="8.7109375" customWidth="1"/>
    <col min="6" max="6" width="6" customWidth="1"/>
    <col min="7" max="11" width="9.28515625" customWidth="1"/>
    <col min="12" max="12" width="8.7109375" customWidth="1"/>
    <col min="13" max="15" width="9" customWidth="1"/>
    <col min="16" max="17" width="8.140625" customWidth="1"/>
  </cols>
  <sheetData>
    <row r="1" spans="1:24" ht="23.25" x14ac:dyDescent="0.35">
      <c r="A1" s="23" t="s">
        <v>38</v>
      </c>
      <c r="B1" s="24"/>
      <c r="C1" s="24"/>
      <c r="D1" s="24"/>
      <c r="E1" s="24"/>
      <c r="F1" s="24"/>
      <c r="G1" s="25"/>
      <c r="H1" s="25"/>
      <c r="I1" s="128"/>
      <c r="J1" s="128"/>
    </row>
    <row r="2" spans="1:24" ht="15" x14ac:dyDescent="0.2">
      <c r="A2" s="26" t="s">
        <v>28</v>
      </c>
      <c r="B2" s="21"/>
      <c r="C2" s="21"/>
      <c r="D2" s="21"/>
      <c r="E2" s="21"/>
      <c r="F2" s="21"/>
      <c r="G2" s="21"/>
      <c r="H2" s="3"/>
      <c r="I2" s="7"/>
      <c r="J2" s="22" t="s">
        <v>39</v>
      </c>
    </row>
    <row r="4" spans="1:24" x14ac:dyDescent="0.2">
      <c r="A4" s="32" t="s">
        <v>67</v>
      </c>
      <c r="J4" s="1"/>
      <c r="K4" s="1"/>
      <c r="L4" s="1"/>
      <c r="M4" s="1"/>
    </row>
    <row r="5" spans="1:24" x14ac:dyDescent="0.2">
      <c r="A5" s="31">
        <v>40</v>
      </c>
      <c r="B5" t="s">
        <v>32</v>
      </c>
      <c r="C5" s="33" t="s">
        <v>33</v>
      </c>
      <c r="D5">
        <f>0.45359237*A5</f>
        <v>18.143694800000002</v>
      </c>
      <c r="E5" t="s">
        <v>31</v>
      </c>
      <c r="G5">
        <v>27.215542200000002</v>
      </c>
      <c r="H5">
        <v>108.86216880000001</v>
      </c>
      <c r="J5" s="1"/>
      <c r="K5" s="1"/>
      <c r="L5" s="1"/>
      <c r="M5" s="1"/>
    </row>
    <row r="6" spans="1:24" x14ac:dyDescent="0.2">
      <c r="A6" s="31"/>
      <c r="B6" t="s">
        <v>31</v>
      </c>
      <c r="C6" s="33" t="s">
        <v>34</v>
      </c>
      <c r="D6">
        <f>A6/0.45359237</f>
        <v>0</v>
      </c>
      <c r="E6" t="s">
        <v>32</v>
      </c>
      <c r="H6">
        <v>99.79032140000001</v>
      </c>
      <c r="J6" s="1"/>
      <c r="K6" s="1"/>
      <c r="L6" s="1"/>
      <c r="M6" s="1"/>
    </row>
    <row r="7" spans="1:24" x14ac:dyDescent="0.2">
      <c r="J7" s="1"/>
      <c r="K7" s="1"/>
      <c r="L7" s="1"/>
      <c r="M7" s="1"/>
    </row>
    <row r="8" spans="1:24" x14ac:dyDescent="0.2">
      <c r="A8" s="92" t="s">
        <v>5</v>
      </c>
      <c r="B8" s="93"/>
      <c r="C8" s="93"/>
      <c r="D8" s="93" t="s">
        <v>66</v>
      </c>
      <c r="E8" s="93" t="s">
        <v>65</v>
      </c>
      <c r="F8" s="93"/>
      <c r="G8" s="92" t="s">
        <v>17</v>
      </c>
      <c r="H8" s="94"/>
      <c r="I8" s="92" t="s">
        <v>19</v>
      </c>
      <c r="J8" s="94"/>
      <c r="K8" s="92" t="s">
        <v>26</v>
      </c>
      <c r="L8" s="94"/>
      <c r="M8" s="92" t="s">
        <v>35</v>
      </c>
      <c r="N8" s="94"/>
      <c r="O8" s="94"/>
      <c r="P8" s="95" t="s">
        <v>86</v>
      </c>
      <c r="Q8" s="95"/>
      <c r="S8" s="95" t="s">
        <v>96</v>
      </c>
      <c r="T8" s="95"/>
      <c r="V8" s="95" t="s">
        <v>97</v>
      </c>
    </row>
    <row r="9" spans="1:24" x14ac:dyDescent="0.2">
      <c r="A9" s="93" t="s">
        <v>14</v>
      </c>
      <c r="B9" s="93" t="s">
        <v>29</v>
      </c>
      <c r="C9" s="93" t="s">
        <v>30</v>
      </c>
      <c r="D9" s="93" t="s">
        <v>29</v>
      </c>
      <c r="E9" s="93" t="s">
        <v>29</v>
      </c>
      <c r="F9" s="93" t="s">
        <v>31</v>
      </c>
      <c r="G9" s="94" t="s">
        <v>6</v>
      </c>
      <c r="H9" s="94" t="s">
        <v>7</v>
      </c>
      <c r="I9" s="94" t="s">
        <v>6</v>
      </c>
      <c r="J9" s="94" t="s">
        <v>7</v>
      </c>
      <c r="K9" s="94" t="s">
        <v>6</v>
      </c>
      <c r="L9" s="94" t="s">
        <v>7</v>
      </c>
      <c r="M9" s="96" t="s">
        <v>15</v>
      </c>
      <c r="N9" s="96" t="s">
        <v>16</v>
      </c>
      <c r="O9" s="96" t="s">
        <v>85</v>
      </c>
      <c r="P9" s="96" t="s">
        <v>11</v>
      </c>
      <c r="Q9" s="96" t="s">
        <v>87</v>
      </c>
      <c r="S9" s="96" t="s">
        <v>98</v>
      </c>
      <c r="T9" s="96" t="s">
        <v>99</v>
      </c>
      <c r="U9" s="96" t="s">
        <v>95</v>
      </c>
      <c r="V9" s="96" t="s">
        <v>94</v>
      </c>
      <c r="W9" s="96" t="s">
        <v>95</v>
      </c>
      <c r="X9" s="108" t="s">
        <v>100</v>
      </c>
    </row>
    <row r="10" spans="1:24" x14ac:dyDescent="0.2">
      <c r="A10" s="27">
        <v>54</v>
      </c>
      <c r="B10" s="27" t="str">
        <f t="shared" ref="B10:B16" si="0">ROUNDDOWN(A10/12,0)&amp;"'"&amp;MOD(A10,12)&amp;CHAR(34)</f>
        <v>4'6"</v>
      </c>
      <c r="C10" s="29">
        <f t="shared" ref="C10:C16" si="1">A10*2.54/100</f>
        <v>1.3715999999999999</v>
      </c>
      <c r="D10" s="29" t="str">
        <f>B10&amp;CHAR(10)&amp;ROUND(C10,2)*100</f>
        <v>4'6"
137</v>
      </c>
      <c r="E10" s="29" t="str">
        <f>B10&amp;CHAR(10)&amp;ROUND(C10,2)*100</f>
        <v>4'6"
137</v>
      </c>
      <c r="F10" s="28">
        <f t="shared" ref="F10:F16" si="2">G10*0.45359237</f>
        <v>36.124096346800002</v>
      </c>
      <c r="G10" s="90">
        <f t="shared" ref="G10:G15" si="3">110+(5.06*(A10-60))</f>
        <v>79.64</v>
      </c>
      <c r="H10" s="91">
        <f t="shared" ref="H10:H15" si="4">100.1+(5.06*(A10-60))</f>
        <v>69.739999999999995</v>
      </c>
      <c r="I10" s="90">
        <f t="shared" ref="I10:I15" si="5">114.4+(4.18*(A10-60))</f>
        <v>89.320000000000007</v>
      </c>
      <c r="J10" s="91">
        <f t="shared" ref="J10:J15" si="6">107.8+(3.74*(A10-60))</f>
        <v>85.36</v>
      </c>
      <c r="K10" s="90">
        <f t="shared" ref="K10:K15" si="7">123.64+(3.1*(A10-60))</f>
        <v>105.03999999999999</v>
      </c>
      <c r="L10" s="91">
        <f t="shared" ref="L10:L15" si="8">116.82+(2.99*(A10-60))</f>
        <v>98.88</v>
      </c>
      <c r="M10" s="30">
        <f t="shared" ref="M10:M16" si="9">(18.5*A10^2)/703</f>
        <v>76.736842105263165</v>
      </c>
      <c r="N10" s="30">
        <f t="shared" ref="N10:N16" si="10">(25*A10^2)/703</f>
        <v>103.69843527738264</v>
      </c>
      <c r="O10" s="30">
        <f>(30*$A10^2)/703</f>
        <v>124.43812233285918</v>
      </c>
      <c r="P10" s="87">
        <f>N10-M10</f>
        <v>26.961593172119478</v>
      </c>
      <c r="Q10" s="87">
        <f>O10-N10</f>
        <v>20.739687055476537</v>
      </c>
      <c r="S10" s="99">
        <v>40</v>
      </c>
      <c r="T10" s="99">
        <v>40</v>
      </c>
      <c r="V10">
        <v>20</v>
      </c>
      <c r="X10">
        <v>1</v>
      </c>
    </row>
    <row r="11" spans="1:24" x14ac:dyDescent="0.2">
      <c r="A11" s="27">
        <v>55</v>
      </c>
      <c r="B11" s="27" t="str">
        <f t="shared" si="0"/>
        <v>4'7"</v>
      </c>
      <c r="C11" s="29">
        <f t="shared" si="1"/>
        <v>1.3969999999999998</v>
      </c>
      <c r="D11" s="29" t="str">
        <f t="shared" ref="D11:D40" si="11">B11&amp;CHAR(10)&amp;ROUND(C11,2)*100</f>
        <v>4'7"
140</v>
      </c>
      <c r="E11" s="29" t="str">
        <f t="shared" ref="E11:E39" si="12">B11&amp;CHAR(10)&amp;ROUND(C11,2)*100</f>
        <v>4'7"
140</v>
      </c>
      <c r="F11" s="28">
        <f t="shared" si="2"/>
        <v>38.419273739000005</v>
      </c>
      <c r="G11" s="90">
        <f t="shared" si="3"/>
        <v>84.7</v>
      </c>
      <c r="H11" s="91">
        <f t="shared" si="4"/>
        <v>74.8</v>
      </c>
      <c r="I11" s="90">
        <f t="shared" si="5"/>
        <v>93.5</v>
      </c>
      <c r="J11" s="91">
        <f t="shared" si="6"/>
        <v>89.1</v>
      </c>
      <c r="K11" s="90">
        <f t="shared" si="7"/>
        <v>108.14</v>
      </c>
      <c r="L11" s="91">
        <f t="shared" si="8"/>
        <v>101.86999999999999</v>
      </c>
      <c r="M11" s="30">
        <f t="shared" si="9"/>
        <v>79.60526315789474</v>
      </c>
      <c r="N11" s="30">
        <f t="shared" si="10"/>
        <v>107.57467994310099</v>
      </c>
      <c r="O11" s="30">
        <f t="shared" ref="O11:O40" si="13">(30*$A11^2)/703</f>
        <v>129.0896159317212</v>
      </c>
      <c r="P11" s="87">
        <f t="shared" ref="P11:P40" si="14">N11-M11</f>
        <v>27.969416785206249</v>
      </c>
      <c r="Q11" s="87">
        <f t="shared" ref="Q11:Q40" si="15">O11-N11</f>
        <v>21.514935988620209</v>
      </c>
      <c r="S11" s="99"/>
      <c r="T11" s="99"/>
      <c r="U11">
        <v>40</v>
      </c>
      <c r="W11">
        <v>30</v>
      </c>
      <c r="X11">
        <v>1</v>
      </c>
    </row>
    <row r="12" spans="1:24" x14ac:dyDescent="0.2">
      <c r="A12" s="27">
        <v>56</v>
      </c>
      <c r="B12" s="27" t="str">
        <f t="shared" si="0"/>
        <v>4'8"</v>
      </c>
      <c r="C12" s="29">
        <f t="shared" si="1"/>
        <v>1.4224000000000001</v>
      </c>
      <c r="D12" s="88" t="str">
        <f>B12&amp;CHAR(10)&amp;ROUND(C12,2)*100&amp;"cm"</f>
        <v>4'8"
142cm</v>
      </c>
      <c r="E12" s="29" t="str">
        <f t="shared" si="12"/>
        <v>4'8"
142</v>
      </c>
      <c r="F12" s="28">
        <f t="shared" si="2"/>
        <v>40.714451131200008</v>
      </c>
      <c r="G12" s="90">
        <f t="shared" si="3"/>
        <v>89.76</v>
      </c>
      <c r="H12" s="91">
        <f t="shared" si="4"/>
        <v>79.86</v>
      </c>
      <c r="I12" s="90">
        <f t="shared" si="5"/>
        <v>97.68</v>
      </c>
      <c r="J12" s="91">
        <f t="shared" si="6"/>
        <v>92.84</v>
      </c>
      <c r="K12" s="90">
        <f t="shared" si="7"/>
        <v>111.24</v>
      </c>
      <c r="L12" s="91">
        <f t="shared" si="8"/>
        <v>104.85999999999999</v>
      </c>
      <c r="M12" s="30">
        <f t="shared" si="9"/>
        <v>82.526315789473685</v>
      </c>
      <c r="N12" s="30">
        <f t="shared" si="10"/>
        <v>111.52204836415363</v>
      </c>
      <c r="O12" s="30">
        <f t="shared" si="13"/>
        <v>133.82645803698435</v>
      </c>
      <c r="P12" s="87">
        <f t="shared" si="14"/>
        <v>28.995732574679948</v>
      </c>
      <c r="Q12" s="87">
        <f t="shared" si="15"/>
        <v>22.304409672830715</v>
      </c>
      <c r="S12" s="99"/>
      <c r="T12" s="99">
        <v>40</v>
      </c>
      <c r="V12">
        <v>40</v>
      </c>
      <c r="X12">
        <v>1</v>
      </c>
    </row>
    <row r="13" spans="1:24" x14ac:dyDescent="0.2">
      <c r="A13" s="27">
        <v>57</v>
      </c>
      <c r="B13" s="27" t="str">
        <f t="shared" si="0"/>
        <v>4'9"</v>
      </c>
      <c r="C13" s="29">
        <f t="shared" si="1"/>
        <v>1.4478</v>
      </c>
      <c r="D13" s="88" t="str">
        <f t="shared" si="11"/>
        <v>4'9"
145</v>
      </c>
      <c r="E13" s="29" t="str">
        <f t="shared" si="12"/>
        <v>4'9"
145</v>
      </c>
      <c r="F13" s="28">
        <f t="shared" si="2"/>
        <v>43.009628523399996</v>
      </c>
      <c r="G13" s="90">
        <f t="shared" si="3"/>
        <v>94.82</v>
      </c>
      <c r="H13" s="91">
        <f t="shared" si="4"/>
        <v>84.919999999999987</v>
      </c>
      <c r="I13" s="90">
        <f t="shared" si="5"/>
        <v>101.86000000000001</v>
      </c>
      <c r="J13" s="91">
        <f t="shared" si="6"/>
        <v>96.58</v>
      </c>
      <c r="K13" s="90">
        <f t="shared" si="7"/>
        <v>114.34</v>
      </c>
      <c r="L13" s="91">
        <f t="shared" si="8"/>
        <v>107.85</v>
      </c>
      <c r="M13" s="30">
        <f t="shared" si="9"/>
        <v>85.5</v>
      </c>
      <c r="N13" s="30">
        <f t="shared" si="10"/>
        <v>115.54054054054055</v>
      </c>
      <c r="O13" s="30">
        <f t="shared" si="13"/>
        <v>138.64864864864865</v>
      </c>
      <c r="P13" s="87">
        <f t="shared" si="14"/>
        <v>30.040540540540547</v>
      </c>
      <c r="Q13" s="87">
        <f t="shared" si="15"/>
        <v>23.108108108108098</v>
      </c>
      <c r="S13" s="99"/>
      <c r="T13" s="99"/>
      <c r="U13">
        <v>40</v>
      </c>
      <c r="W13">
        <v>50</v>
      </c>
      <c r="X13">
        <v>1</v>
      </c>
    </row>
    <row r="14" spans="1:24" x14ac:dyDescent="0.2">
      <c r="A14" s="27">
        <v>58</v>
      </c>
      <c r="B14" s="27" t="str">
        <f t="shared" si="0"/>
        <v>4'10"</v>
      </c>
      <c r="C14" s="29">
        <f t="shared" si="1"/>
        <v>1.4731999999999998</v>
      </c>
      <c r="D14" s="88" t="str">
        <f t="shared" si="11"/>
        <v>4'10"
147</v>
      </c>
      <c r="E14" s="89" t="str">
        <f>B14&amp;CHAR(10)&amp;ROUND(C14,2)*100&amp;"cm"</f>
        <v>4'10"
147cm</v>
      </c>
      <c r="F14" s="28">
        <f t="shared" si="2"/>
        <v>45.304805915599999</v>
      </c>
      <c r="G14" s="90">
        <f t="shared" si="3"/>
        <v>99.88</v>
      </c>
      <c r="H14" s="91">
        <f t="shared" si="4"/>
        <v>89.97999999999999</v>
      </c>
      <c r="I14" s="90">
        <f t="shared" si="5"/>
        <v>106.04</v>
      </c>
      <c r="J14" s="91">
        <f t="shared" si="6"/>
        <v>100.32</v>
      </c>
      <c r="K14" s="90">
        <f t="shared" si="7"/>
        <v>117.44</v>
      </c>
      <c r="L14" s="91">
        <f t="shared" si="8"/>
        <v>110.83999999999999</v>
      </c>
      <c r="M14" s="30">
        <f t="shared" si="9"/>
        <v>88.526315789473685</v>
      </c>
      <c r="N14" s="30">
        <f t="shared" si="10"/>
        <v>119.63015647226173</v>
      </c>
      <c r="O14" s="30">
        <f t="shared" si="13"/>
        <v>143.55618776671409</v>
      </c>
      <c r="P14" s="87">
        <f t="shared" si="14"/>
        <v>31.103840682788046</v>
      </c>
      <c r="Q14" s="87">
        <f t="shared" si="15"/>
        <v>23.926031294452358</v>
      </c>
      <c r="S14" s="99">
        <v>40</v>
      </c>
      <c r="T14" s="99"/>
      <c r="V14">
        <v>60</v>
      </c>
      <c r="X14">
        <v>1</v>
      </c>
    </row>
    <row r="15" spans="1:24" x14ac:dyDescent="0.2">
      <c r="A15" s="27">
        <v>59</v>
      </c>
      <c r="B15" s="27" t="str">
        <f t="shared" si="0"/>
        <v>4'11"</v>
      </c>
      <c r="C15" s="29">
        <f t="shared" si="1"/>
        <v>1.4986000000000002</v>
      </c>
      <c r="D15" s="88" t="str">
        <f t="shared" si="11"/>
        <v>4'11"
150</v>
      </c>
      <c r="E15" s="89" t="str">
        <f t="shared" si="12"/>
        <v>4'11"
150</v>
      </c>
      <c r="F15" s="28">
        <f t="shared" si="2"/>
        <v>47.599983307800002</v>
      </c>
      <c r="G15" s="90">
        <f t="shared" si="3"/>
        <v>104.94</v>
      </c>
      <c r="H15" s="91">
        <f t="shared" si="4"/>
        <v>95.039999999999992</v>
      </c>
      <c r="I15" s="90">
        <f t="shared" si="5"/>
        <v>110.22</v>
      </c>
      <c r="J15" s="91">
        <f t="shared" si="6"/>
        <v>104.06</v>
      </c>
      <c r="K15" s="90">
        <f t="shared" si="7"/>
        <v>120.54</v>
      </c>
      <c r="L15" s="91">
        <f t="shared" si="8"/>
        <v>113.83</v>
      </c>
      <c r="M15" s="30">
        <f t="shared" si="9"/>
        <v>91.60526315789474</v>
      </c>
      <c r="N15" s="30">
        <f t="shared" si="10"/>
        <v>123.79089615931721</v>
      </c>
      <c r="O15" s="30">
        <f t="shared" si="13"/>
        <v>148.54907539118065</v>
      </c>
      <c r="P15" s="87">
        <f t="shared" si="14"/>
        <v>32.185633001422474</v>
      </c>
      <c r="Q15" s="87">
        <f t="shared" si="15"/>
        <v>24.758179231863437</v>
      </c>
      <c r="S15" s="99"/>
      <c r="T15" s="99"/>
      <c r="U15">
        <v>40</v>
      </c>
      <c r="W15">
        <v>70</v>
      </c>
      <c r="X15">
        <v>1</v>
      </c>
    </row>
    <row r="16" spans="1:24" x14ac:dyDescent="0.2">
      <c r="A16" s="27">
        <v>60</v>
      </c>
      <c r="B16" s="27" t="str">
        <f t="shared" si="0"/>
        <v>5'0"</v>
      </c>
      <c r="C16" s="29">
        <f t="shared" si="1"/>
        <v>1.524</v>
      </c>
      <c r="D16" s="88" t="str">
        <f t="shared" si="11"/>
        <v>5'0"
152</v>
      </c>
      <c r="E16" s="89" t="str">
        <f t="shared" si="12"/>
        <v>5'0"
152</v>
      </c>
      <c r="F16" s="28">
        <f t="shared" si="2"/>
        <v>49.895160700000005</v>
      </c>
      <c r="G16" s="90">
        <f t="shared" ref="G16:G40" si="16">110+(5.06*(A16-60))</f>
        <v>110</v>
      </c>
      <c r="H16" s="91">
        <f t="shared" ref="H16:H40" si="17">100.1+(5.06*(A16-60))</f>
        <v>100.1</v>
      </c>
      <c r="I16" s="90">
        <f t="shared" ref="I16:I40" si="18">114.4+(4.18*(A16-60))</f>
        <v>114.4</v>
      </c>
      <c r="J16" s="91">
        <f t="shared" ref="J16:J40" si="19">107.8+(3.74*(A16-60))</f>
        <v>107.8</v>
      </c>
      <c r="K16" s="90">
        <f t="shared" ref="K16:K40" si="20">123.64+(3.1*(A16-60))</f>
        <v>123.64</v>
      </c>
      <c r="L16" s="91">
        <f t="shared" ref="L16:L40" si="21">116.82+(2.99*(A16-60))</f>
        <v>116.82</v>
      </c>
      <c r="M16" s="30">
        <f t="shared" si="9"/>
        <v>94.736842105263165</v>
      </c>
      <c r="N16" s="30">
        <f t="shared" si="10"/>
        <v>128.02275960170698</v>
      </c>
      <c r="O16" s="30">
        <f t="shared" si="13"/>
        <v>153.62731152204836</v>
      </c>
      <c r="P16" s="87">
        <f t="shared" si="14"/>
        <v>33.285917496443815</v>
      </c>
      <c r="Q16" s="87">
        <f t="shared" si="15"/>
        <v>25.604551920341379</v>
      </c>
      <c r="S16" s="99">
        <v>40</v>
      </c>
      <c r="T16" s="99">
        <v>40</v>
      </c>
      <c r="V16">
        <v>80</v>
      </c>
      <c r="X16">
        <v>1</v>
      </c>
    </row>
    <row r="17" spans="1:24" x14ac:dyDescent="0.2">
      <c r="A17" s="27">
        <v>61</v>
      </c>
      <c r="B17" s="27" t="str">
        <f t="shared" ref="B17:B40" si="22">ROUNDDOWN(A17/12,0)&amp;"'"&amp;MOD(A17,12)&amp;CHAR(34)</f>
        <v>5'1"</v>
      </c>
      <c r="C17" s="29">
        <f t="shared" ref="C17:C40" si="23">A17*2.54/100</f>
        <v>1.5493999999999999</v>
      </c>
      <c r="D17" s="88" t="str">
        <f t="shared" si="11"/>
        <v>5'1"
155</v>
      </c>
      <c r="E17" s="89" t="str">
        <f t="shared" si="12"/>
        <v>5'1"
155</v>
      </c>
      <c r="F17" s="28">
        <f t="shared" ref="F17:F40" si="24">G17*0.45359237</f>
        <v>52.190338092200001</v>
      </c>
      <c r="G17" s="90">
        <f t="shared" si="16"/>
        <v>115.06</v>
      </c>
      <c r="H17" s="91">
        <f t="shared" si="17"/>
        <v>105.16</v>
      </c>
      <c r="I17" s="90">
        <f t="shared" si="18"/>
        <v>118.58000000000001</v>
      </c>
      <c r="J17" s="91">
        <f t="shared" si="19"/>
        <v>111.53999999999999</v>
      </c>
      <c r="K17" s="90">
        <f t="shared" si="20"/>
        <v>126.74</v>
      </c>
      <c r="L17" s="91">
        <f t="shared" si="21"/>
        <v>119.80999999999999</v>
      </c>
      <c r="M17" s="30">
        <f t="shared" ref="M17:M40" si="25">(18.5*A17^2)/703</f>
        <v>97.921052631578945</v>
      </c>
      <c r="N17" s="30">
        <f t="shared" ref="N17:N40" si="26">(25*A17^2)/703</f>
        <v>132.32574679943102</v>
      </c>
      <c r="O17" s="30">
        <f t="shared" si="13"/>
        <v>158.79089615931721</v>
      </c>
      <c r="P17" s="87">
        <f t="shared" si="14"/>
        <v>34.404694167852071</v>
      </c>
      <c r="Q17" s="87">
        <f t="shared" si="15"/>
        <v>26.465149359886198</v>
      </c>
      <c r="S17" s="99"/>
      <c r="T17" s="99"/>
      <c r="U17">
        <v>40</v>
      </c>
      <c r="W17">
        <v>90</v>
      </c>
      <c r="X17">
        <v>1</v>
      </c>
    </row>
    <row r="18" spans="1:24" x14ac:dyDescent="0.2">
      <c r="A18" s="27">
        <v>62</v>
      </c>
      <c r="B18" s="27" t="str">
        <f t="shared" si="22"/>
        <v>5'2"</v>
      </c>
      <c r="C18" s="29">
        <f t="shared" si="23"/>
        <v>1.5748</v>
      </c>
      <c r="D18" s="88" t="str">
        <f t="shared" si="11"/>
        <v>5'2"
157</v>
      </c>
      <c r="E18" s="89" t="str">
        <f t="shared" si="12"/>
        <v>5'2"
157</v>
      </c>
      <c r="F18" s="28">
        <f t="shared" si="24"/>
        <v>54.485515484400004</v>
      </c>
      <c r="G18" s="90">
        <f t="shared" si="16"/>
        <v>120.12</v>
      </c>
      <c r="H18" s="91">
        <f t="shared" si="17"/>
        <v>110.22</v>
      </c>
      <c r="I18" s="90">
        <f t="shared" si="18"/>
        <v>122.76</v>
      </c>
      <c r="J18" s="91">
        <f t="shared" si="19"/>
        <v>115.28</v>
      </c>
      <c r="K18" s="90">
        <f t="shared" si="20"/>
        <v>129.84</v>
      </c>
      <c r="L18" s="91">
        <f t="shared" si="21"/>
        <v>122.8</v>
      </c>
      <c r="M18" s="30">
        <f t="shared" si="25"/>
        <v>101.15789473684211</v>
      </c>
      <c r="N18" s="30">
        <f t="shared" si="26"/>
        <v>136.69985775248932</v>
      </c>
      <c r="O18" s="30">
        <f t="shared" si="13"/>
        <v>164.03982930298719</v>
      </c>
      <c r="P18" s="87">
        <f t="shared" si="14"/>
        <v>35.541963015647212</v>
      </c>
      <c r="Q18" s="87">
        <f t="shared" si="15"/>
        <v>27.339971550497864</v>
      </c>
      <c r="S18" s="99">
        <v>40</v>
      </c>
      <c r="T18" s="99">
        <v>40</v>
      </c>
      <c r="V18">
        <v>100</v>
      </c>
      <c r="X18">
        <v>1</v>
      </c>
    </row>
    <row r="19" spans="1:24" x14ac:dyDescent="0.2">
      <c r="A19" s="27">
        <v>63</v>
      </c>
      <c r="B19" s="27" t="str">
        <f t="shared" si="22"/>
        <v>5'3"</v>
      </c>
      <c r="C19" s="29">
        <f t="shared" si="23"/>
        <v>1.6002000000000001</v>
      </c>
      <c r="D19" s="88" t="str">
        <f t="shared" si="11"/>
        <v>5'3"
160</v>
      </c>
      <c r="E19" s="89" t="str">
        <f t="shared" si="12"/>
        <v>5'3"
160</v>
      </c>
      <c r="F19" s="28">
        <f t="shared" si="24"/>
        <v>56.780692876600007</v>
      </c>
      <c r="G19" s="90">
        <f t="shared" si="16"/>
        <v>125.18</v>
      </c>
      <c r="H19" s="91">
        <f t="shared" si="17"/>
        <v>115.28</v>
      </c>
      <c r="I19" s="90">
        <f t="shared" si="18"/>
        <v>126.94</v>
      </c>
      <c r="J19" s="91">
        <f t="shared" si="19"/>
        <v>119.02</v>
      </c>
      <c r="K19" s="90">
        <f t="shared" si="20"/>
        <v>132.94</v>
      </c>
      <c r="L19" s="91">
        <f t="shared" si="21"/>
        <v>125.78999999999999</v>
      </c>
      <c r="M19" s="30">
        <f t="shared" si="25"/>
        <v>104.44736842105263</v>
      </c>
      <c r="N19" s="30">
        <f t="shared" si="26"/>
        <v>141.14509246088193</v>
      </c>
      <c r="O19" s="30">
        <f t="shared" si="13"/>
        <v>169.37411095305833</v>
      </c>
      <c r="P19" s="87">
        <f t="shared" si="14"/>
        <v>36.697724039829296</v>
      </c>
      <c r="Q19" s="87">
        <f t="shared" si="15"/>
        <v>28.229018492176408</v>
      </c>
      <c r="S19" s="99"/>
      <c r="T19" s="99"/>
      <c r="U19">
        <v>40</v>
      </c>
      <c r="W19">
        <v>110</v>
      </c>
      <c r="X19">
        <v>1</v>
      </c>
    </row>
    <row r="20" spans="1:24" x14ac:dyDescent="0.2">
      <c r="A20" s="27">
        <v>64</v>
      </c>
      <c r="B20" s="27" t="str">
        <f t="shared" si="22"/>
        <v>5'4"</v>
      </c>
      <c r="C20" s="29">
        <f t="shared" si="23"/>
        <v>1.6255999999999999</v>
      </c>
      <c r="D20" s="88" t="str">
        <f t="shared" si="11"/>
        <v>5'4"
163</v>
      </c>
      <c r="E20" s="89" t="str">
        <f t="shared" si="12"/>
        <v>5'4"
163</v>
      </c>
      <c r="F20" s="28">
        <f t="shared" si="24"/>
        <v>59.07587026880001</v>
      </c>
      <c r="G20" s="90">
        <f t="shared" si="16"/>
        <v>130.24</v>
      </c>
      <c r="H20" s="91">
        <f t="shared" si="17"/>
        <v>120.33999999999999</v>
      </c>
      <c r="I20" s="90">
        <f t="shared" si="18"/>
        <v>131.12</v>
      </c>
      <c r="J20" s="91">
        <f t="shared" si="19"/>
        <v>122.75999999999999</v>
      </c>
      <c r="K20" s="90">
        <f t="shared" si="20"/>
        <v>136.04</v>
      </c>
      <c r="L20" s="91">
        <f t="shared" si="21"/>
        <v>128.78</v>
      </c>
      <c r="M20" s="30">
        <f t="shared" si="25"/>
        <v>107.78947368421052</v>
      </c>
      <c r="N20" s="30">
        <f t="shared" si="26"/>
        <v>145.66145092460883</v>
      </c>
      <c r="O20" s="30">
        <f t="shared" si="13"/>
        <v>174.79374110953057</v>
      </c>
      <c r="P20" s="87">
        <f t="shared" si="14"/>
        <v>37.871977240398309</v>
      </c>
      <c r="Q20" s="87">
        <f t="shared" si="15"/>
        <v>29.132290184921743</v>
      </c>
      <c r="S20" s="99">
        <v>40</v>
      </c>
      <c r="T20" s="99">
        <v>40</v>
      </c>
      <c r="V20">
        <v>120</v>
      </c>
      <c r="X20">
        <v>1</v>
      </c>
    </row>
    <row r="21" spans="1:24" x14ac:dyDescent="0.2">
      <c r="A21" s="27">
        <v>65</v>
      </c>
      <c r="B21" s="27" t="str">
        <f t="shared" si="22"/>
        <v>5'5"</v>
      </c>
      <c r="C21" s="29">
        <f t="shared" si="23"/>
        <v>1.651</v>
      </c>
      <c r="D21" s="88" t="str">
        <f t="shared" si="11"/>
        <v>5'5"
165</v>
      </c>
      <c r="E21" s="89" t="str">
        <f t="shared" si="12"/>
        <v>5'5"
165</v>
      </c>
      <c r="F21" s="28">
        <f t="shared" si="24"/>
        <v>61.371047661000006</v>
      </c>
      <c r="G21" s="90">
        <f t="shared" si="16"/>
        <v>135.30000000000001</v>
      </c>
      <c r="H21" s="91">
        <f t="shared" si="17"/>
        <v>125.39999999999999</v>
      </c>
      <c r="I21" s="90">
        <f t="shared" si="18"/>
        <v>135.30000000000001</v>
      </c>
      <c r="J21" s="91">
        <f t="shared" si="19"/>
        <v>126.5</v>
      </c>
      <c r="K21" s="90">
        <f t="shared" si="20"/>
        <v>139.13999999999999</v>
      </c>
      <c r="L21" s="91">
        <f t="shared" si="21"/>
        <v>131.76999999999998</v>
      </c>
      <c r="M21" s="30">
        <f t="shared" si="25"/>
        <v>111.18421052631579</v>
      </c>
      <c r="N21" s="30">
        <f t="shared" si="26"/>
        <v>150.24893314366997</v>
      </c>
      <c r="O21" s="30">
        <f t="shared" si="13"/>
        <v>180.29871977240398</v>
      </c>
      <c r="P21" s="87">
        <f t="shared" si="14"/>
        <v>39.064722617354178</v>
      </c>
      <c r="Q21" s="87">
        <f t="shared" si="15"/>
        <v>30.049786628734012</v>
      </c>
      <c r="S21" s="99"/>
      <c r="T21" s="99"/>
      <c r="U21">
        <v>40</v>
      </c>
      <c r="W21">
        <v>130</v>
      </c>
      <c r="X21">
        <v>1</v>
      </c>
    </row>
    <row r="22" spans="1:24" x14ac:dyDescent="0.2">
      <c r="A22" s="27">
        <v>66</v>
      </c>
      <c r="B22" s="27" t="str">
        <f t="shared" si="22"/>
        <v>5'6"</v>
      </c>
      <c r="C22" s="29">
        <f t="shared" si="23"/>
        <v>1.6764000000000001</v>
      </c>
      <c r="D22" s="88" t="str">
        <f t="shared" si="11"/>
        <v>5'6"
168</v>
      </c>
      <c r="E22" s="89" t="str">
        <f t="shared" si="12"/>
        <v>5'6"
168</v>
      </c>
      <c r="F22" s="28">
        <f t="shared" si="24"/>
        <v>63.666225053200009</v>
      </c>
      <c r="G22" s="90">
        <f t="shared" si="16"/>
        <v>140.36000000000001</v>
      </c>
      <c r="H22" s="91">
        <f t="shared" si="17"/>
        <v>130.45999999999998</v>
      </c>
      <c r="I22" s="90">
        <f t="shared" si="18"/>
        <v>139.48000000000002</v>
      </c>
      <c r="J22" s="91">
        <f t="shared" si="19"/>
        <v>130.24</v>
      </c>
      <c r="K22" s="90">
        <f t="shared" si="20"/>
        <v>142.24</v>
      </c>
      <c r="L22" s="91">
        <f t="shared" si="21"/>
        <v>134.76</v>
      </c>
      <c r="M22" s="30">
        <f t="shared" si="25"/>
        <v>114.63157894736842</v>
      </c>
      <c r="N22" s="30">
        <f t="shared" si="26"/>
        <v>154.90753911806544</v>
      </c>
      <c r="O22" s="30">
        <f t="shared" si="13"/>
        <v>185.88904694167852</v>
      </c>
      <c r="P22" s="87">
        <f t="shared" si="14"/>
        <v>40.275960170697019</v>
      </c>
      <c r="Q22" s="87">
        <f t="shared" si="15"/>
        <v>30.981507823613072</v>
      </c>
      <c r="S22" s="99">
        <v>40</v>
      </c>
      <c r="T22" s="99">
        <v>40</v>
      </c>
      <c r="V22">
        <v>140</v>
      </c>
      <c r="X22">
        <v>1</v>
      </c>
    </row>
    <row r="23" spans="1:24" x14ac:dyDescent="0.2">
      <c r="A23" s="27">
        <v>67</v>
      </c>
      <c r="B23" s="27" t="str">
        <f t="shared" si="22"/>
        <v>5'7"</v>
      </c>
      <c r="C23" s="29">
        <f t="shared" si="23"/>
        <v>1.7018</v>
      </c>
      <c r="D23" s="88" t="str">
        <f t="shared" si="11"/>
        <v>5'7"
170</v>
      </c>
      <c r="E23" s="89" t="str">
        <f t="shared" si="12"/>
        <v>5'7"
170</v>
      </c>
      <c r="F23" s="28">
        <f t="shared" si="24"/>
        <v>65.961402445399997</v>
      </c>
      <c r="G23" s="90">
        <f t="shared" si="16"/>
        <v>145.41999999999999</v>
      </c>
      <c r="H23" s="91">
        <f t="shared" si="17"/>
        <v>135.51999999999998</v>
      </c>
      <c r="I23" s="90">
        <f t="shared" si="18"/>
        <v>143.66</v>
      </c>
      <c r="J23" s="91">
        <f t="shared" si="19"/>
        <v>133.97999999999999</v>
      </c>
      <c r="K23" s="90">
        <f t="shared" si="20"/>
        <v>145.34</v>
      </c>
      <c r="L23" s="91">
        <f t="shared" si="21"/>
        <v>137.75</v>
      </c>
      <c r="M23" s="30">
        <f t="shared" si="25"/>
        <v>118.13157894736842</v>
      </c>
      <c r="N23" s="30">
        <f t="shared" si="26"/>
        <v>159.63726884779516</v>
      </c>
      <c r="O23" s="30">
        <f t="shared" si="13"/>
        <v>191.56472261735419</v>
      </c>
      <c r="P23" s="87">
        <f t="shared" si="14"/>
        <v>41.505689900426731</v>
      </c>
      <c r="Q23" s="87">
        <f t="shared" si="15"/>
        <v>31.927453769559037</v>
      </c>
      <c r="S23" s="99"/>
      <c r="T23" s="99"/>
      <c r="U23">
        <v>40</v>
      </c>
      <c r="W23">
        <v>150</v>
      </c>
      <c r="X23">
        <v>1</v>
      </c>
    </row>
    <row r="24" spans="1:24" x14ac:dyDescent="0.2">
      <c r="A24" s="27">
        <v>68</v>
      </c>
      <c r="B24" s="27" t="str">
        <f t="shared" si="22"/>
        <v>5'8"</v>
      </c>
      <c r="C24" s="29">
        <f t="shared" si="23"/>
        <v>1.7272000000000001</v>
      </c>
      <c r="D24" s="88" t="str">
        <f t="shared" si="11"/>
        <v>5'8"
173</v>
      </c>
      <c r="E24" s="89" t="str">
        <f t="shared" si="12"/>
        <v>5'8"
173</v>
      </c>
      <c r="F24" s="28">
        <f t="shared" si="24"/>
        <v>68.2565798376</v>
      </c>
      <c r="G24" s="90">
        <f t="shared" si="16"/>
        <v>150.47999999999999</v>
      </c>
      <c r="H24" s="91">
        <f t="shared" si="17"/>
        <v>140.57999999999998</v>
      </c>
      <c r="I24" s="90">
        <f t="shared" si="18"/>
        <v>147.84</v>
      </c>
      <c r="J24" s="91">
        <f t="shared" si="19"/>
        <v>137.72</v>
      </c>
      <c r="K24" s="90">
        <f t="shared" si="20"/>
        <v>148.44</v>
      </c>
      <c r="L24" s="91">
        <f t="shared" si="21"/>
        <v>140.74</v>
      </c>
      <c r="M24" s="30">
        <f t="shared" si="25"/>
        <v>121.68421052631579</v>
      </c>
      <c r="N24" s="30">
        <f t="shared" si="26"/>
        <v>164.43812233285917</v>
      </c>
      <c r="O24" s="30">
        <f t="shared" si="13"/>
        <v>197.32574679943102</v>
      </c>
      <c r="P24" s="87">
        <f t="shared" si="14"/>
        <v>42.753911806543371</v>
      </c>
      <c r="Q24" s="87">
        <f t="shared" si="15"/>
        <v>32.88762446657185</v>
      </c>
      <c r="S24" s="99">
        <v>40</v>
      </c>
      <c r="T24" s="99">
        <v>40</v>
      </c>
      <c r="V24">
        <v>160</v>
      </c>
      <c r="X24">
        <v>1</v>
      </c>
    </row>
    <row r="25" spans="1:24" x14ac:dyDescent="0.2">
      <c r="A25" s="27">
        <v>69</v>
      </c>
      <c r="B25" s="27" t="str">
        <f t="shared" si="22"/>
        <v>5'9"</v>
      </c>
      <c r="C25" s="29">
        <f t="shared" si="23"/>
        <v>1.7525999999999999</v>
      </c>
      <c r="D25" s="88" t="str">
        <f t="shared" si="11"/>
        <v>5'9"
175</v>
      </c>
      <c r="E25" s="89" t="str">
        <f t="shared" si="12"/>
        <v>5'9"
175</v>
      </c>
      <c r="F25" s="28">
        <f t="shared" si="24"/>
        <v>70.551757229800003</v>
      </c>
      <c r="G25" s="90">
        <f t="shared" si="16"/>
        <v>155.54</v>
      </c>
      <c r="H25" s="91">
        <f t="shared" si="17"/>
        <v>145.63999999999999</v>
      </c>
      <c r="I25" s="90">
        <f t="shared" si="18"/>
        <v>152.02000000000001</v>
      </c>
      <c r="J25" s="91">
        <f t="shared" si="19"/>
        <v>141.46</v>
      </c>
      <c r="K25" s="90">
        <f t="shared" si="20"/>
        <v>151.54</v>
      </c>
      <c r="L25" s="91">
        <f t="shared" si="21"/>
        <v>143.72999999999999</v>
      </c>
      <c r="M25" s="30">
        <f t="shared" si="25"/>
        <v>125.28947368421052</v>
      </c>
      <c r="N25" s="30">
        <f t="shared" si="26"/>
        <v>169.31009957325747</v>
      </c>
      <c r="O25" s="30">
        <f t="shared" si="13"/>
        <v>203.17211948790896</v>
      </c>
      <c r="P25" s="87">
        <f t="shared" si="14"/>
        <v>44.020625889046954</v>
      </c>
      <c r="Q25" s="87">
        <f t="shared" si="15"/>
        <v>33.862019914651484</v>
      </c>
      <c r="S25" s="99"/>
      <c r="T25" s="99"/>
      <c r="U25">
        <v>40</v>
      </c>
      <c r="W25">
        <v>170</v>
      </c>
      <c r="X25">
        <v>1</v>
      </c>
    </row>
    <row r="26" spans="1:24" x14ac:dyDescent="0.2">
      <c r="A26" s="27">
        <v>70</v>
      </c>
      <c r="B26" s="27" t="str">
        <f t="shared" si="22"/>
        <v>5'10"</v>
      </c>
      <c r="C26" s="29">
        <f t="shared" si="23"/>
        <v>1.778</v>
      </c>
      <c r="D26" s="88" t="str">
        <f t="shared" si="11"/>
        <v>5'10"
178</v>
      </c>
      <c r="E26" s="89" t="str">
        <f t="shared" si="12"/>
        <v>5'10"
178</v>
      </c>
      <c r="F26" s="28">
        <f t="shared" si="24"/>
        <v>72.846934622000006</v>
      </c>
      <c r="G26" s="90">
        <f t="shared" si="16"/>
        <v>160.6</v>
      </c>
      <c r="H26" s="91">
        <f t="shared" si="17"/>
        <v>150.69999999999999</v>
      </c>
      <c r="I26" s="90">
        <f t="shared" si="18"/>
        <v>156.19999999999999</v>
      </c>
      <c r="J26" s="91">
        <f t="shared" si="19"/>
        <v>145.19999999999999</v>
      </c>
      <c r="K26" s="90">
        <f t="shared" si="20"/>
        <v>154.63999999999999</v>
      </c>
      <c r="L26" s="91">
        <f t="shared" si="21"/>
        <v>146.72</v>
      </c>
      <c r="M26" s="30">
        <f t="shared" si="25"/>
        <v>128.94736842105263</v>
      </c>
      <c r="N26" s="30">
        <f t="shared" si="26"/>
        <v>174.25320056899005</v>
      </c>
      <c r="O26" s="30">
        <f t="shared" si="13"/>
        <v>209.10384068278805</v>
      </c>
      <c r="P26" s="87">
        <f t="shared" si="14"/>
        <v>45.305832147937423</v>
      </c>
      <c r="Q26" s="87">
        <f t="shared" si="15"/>
        <v>34.850640113797994</v>
      </c>
      <c r="S26" s="99">
        <v>40</v>
      </c>
      <c r="T26" s="99">
        <v>40</v>
      </c>
      <c r="V26">
        <v>180</v>
      </c>
      <c r="X26">
        <v>1</v>
      </c>
    </row>
    <row r="27" spans="1:24" x14ac:dyDescent="0.2">
      <c r="A27" s="27">
        <v>71</v>
      </c>
      <c r="B27" s="27" t="str">
        <f t="shared" si="22"/>
        <v>5'11"</v>
      </c>
      <c r="C27" s="29">
        <f t="shared" si="23"/>
        <v>1.8034000000000001</v>
      </c>
      <c r="D27" s="88" t="str">
        <f t="shared" si="11"/>
        <v>5'11"
180</v>
      </c>
      <c r="E27" s="89" t="str">
        <f t="shared" si="12"/>
        <v>5'11"
180</v>
      </c>
      <c r="F27" s="28">
        <f t="shared" si="24"/>
        <v>75.142112014200009</v>
      </c>
      <c r="G27" s="90">
        <f t="shared" si="16"/>
        <v>165.66</v>
      </c>
      <c r="H27" s="91">
        <f t="shared" si="17"/>
        <v>155.76</v>
      </c>
      <c r="I27" s="90">
        <f t="shared" si="18"/>
        <v>160.38</v>
      </c>
      <c r="J27" s="91">
        <f t="shared" si="19"/>
        <v>148.94</v>
      </c>
      <c r="K27" s="90">
        <f t="shared" si="20"/>
        <v>157.74</v>
      </c>
      <c r="L27" s="91">
        <f t="shared" si="21"/>
        <v>149.70999999999998</v>
      </c>
      <c r="M27" s="30">
        <f t="shared" si="25"/>
        <v>132.65789473684211</v>
      </c>
      <c r="N27" s="30">
        <f t="shared" si="26"/>
        <v>179.2674253200569</v>
      </c>
      <c r="O27" s="30">
        <f t="shared" si="13"/>
        <v>215.12091038406828</v>
      </c>
      <c r="P27" s="87">
        <f t="shared" si="14"/>
        <v>46.609530583214791</v>
      </c>
      <c r="Q27" s="87">
        <f t="shared" si="15"/>
        <v>35.85348506401138</v>
      </c>
      <c r="S27" s="99"/>
      <c r="T27" s="99"/>
      <c r="U27">
        <v>40</v>
      </c>
      <c r="W27">
        <v>190</v>
      </c>
      <c r="X27">
        <v>1</v>
      </c>
    </row>
    <row r="28" spans="1:24" x14ac:dyDescent="0.2">
      <c r="A28" s="27">
        <v>72</v>
      </c>
      <c r="B28" s="27" t="str">
        <f t="shared" si="22"/>
        <v>6'0"</v>
      </c>
      <c r="C28" s="29">
        <f t="shared" si="23"/>
        <v>1.8288</v>
      </c>
      <c r="D28" s="88" t="str">
        <f t="shared" si="11"/>
        <v>6'0"
183</v>
      </c>
      <c r="E28" s="89" t="str">
        <f t="shared" si="12"/>
        <v>6'0"
183</v>
      </c>
      <c r="F28" s="28">
        <f t="shared" si="24"/>
        <v>77.437289406399998</v>
      </c>
      <c r="G28" s="90">
        <f t="shared" si="16"/>
        <v>170.72</v>
      </c>
      <c r="H28" s="91">
        <f t="shared" si="17"/>
        <v>160.82</v>
      </c>
      <c r="I28" s="90">
        <f t="shared" si="18"/>
        <v>164.56</v>
      </c>
      <c r="J28" s="91">
        <f t="shared" si="19"/>
        <v>152.68</v>
      </c>
      <c r="K28" s="90">
        <f t="shared" si="20"/>
        <v>160.84</v>
      </c>
      <c r="L28" s="91">
        <f t="shared" si="21"/>
        <v>152.69999999999999</v>
      </c>
      <c r="M28" s="30">
        <f t="shared" si="25"/>
        <v>136.42105263157896</v>
      </c>
      <c r="N28" s="30">
        <f t="shared" si="26"/>
        <v>184.35277382645805</v>
      </c>
      <c r="O28" s="30">
        <f t="shared" si="13"/>
        <v>221.22332859174963</v>
      </c>
      <c r="P28" s="87">
        <f t="shared" si="14"/>
        <v>47.931721194879088</v>
      </c>
      <c r="Q28" s="87">
        <f t="shared" si="15"/>
        <v>36.870554765291587</v>
      </c>
      <c r="S28" s="99">
        <v>40</v>
      </c>
      <c r="T28" s="99">
        <v>40</v>
      </c>
      <c r="V28">
        <v>200</v>
      </c>
      <c r="X28">
        <v>1</v>
      </c>
    </row>
    <row r="29" spans="1:24" x14ac:dyDescent="0.2">
      <c r="A29" s="27">
        <v>73</v>
      </c>
      <c r="B29" s="27" t="str">
        <f t="shared" si="22"/>
        <v>6'1"</v>
      </c>
      <c r="C29" s="29">
        <f t="shared" si="23"/>
        <v>1.8542000000000001</v>
      </c>
      <c r="D29" s="88" t="str">
        <f t="shared" si="11"/>
        <v>6'1"
185</v>
      </c>
      <c r="E29" s="89" t="str">
        <f t="shared" si="12"/>
        <v>6'1"
185</v>
      </c>
      <c r="F29" s="28">
        <f t="shared" si="24"/>
        <v>79.732466798600001</v>
      </c>
      <c r="G29" s="90">
        <f t="shared" si="16"/>
        <v>175.78</v>
      </c>
      <c r="H29" s="91">
        <f t="shared" si="17"/>
        <v>165.88</v>
      </c>
      <c r="I29" s="90">
        <f t="shared" si="18"/>
        <v>168.74</v>
      </c>
      <c r="J29" s="91">
        <f t="shared" si="19"/>
        <v>156.42000000000002</v>
      </c>
      <c r="K29" s="90">
        <f t="shared" si="20"/>
        <v>163.94</v>
      </c>
      <c r="L29" s="91">
        <f t="shared" si="21"/>
        <v>155.69</v>
      </c>
      <c r="M29" s="30">
        <f t="shared" si="25"/>
        <v>140.23684210526315</v>
      </c>
      <c r="N29" s="30">
        <f t="shared" si="26"/>
        <v>189.50924608819346</v>
      </c>
      <c r="O29" s="30">
        <f t="shared" si="13"/>
        <v>227.41109530583213</v>
      </c>
      <c r="P29" s="87">
        <f t="shared" si="14"/>
        <v>49.272403982930314</v>
      </c>
      <c r="Q29" s="87">
        <f t="shared" si="15"/>
        <v>37.90184921763867</v>
      </c>
      <c r="S29" s="99"/>
      <c r="T29" s="99"/>
      <c r="U29">
        <v>40</v>
      </c>
      <c r="W29">
        <v>210</v>
      </c>
      <c r="X29">
        <v>1</v>
      </c>
    </row>
    <row r="30" spans="1:24" x14ac:dyDescent="0.2">
      <c r="A30" s="27">
        <v>74</v>
      </c>
      <c r="B30" s="27" t="str">
        <f t="shared" si="22"/>
        <v>6'2"</v>
      </c>
      <c r="C30" s="29">
        <f t="shared" si="23"/>
        <v>1.8796000000000002</v>
      </c>
      <c r="D30" s="88" t="str">
        <f t="shared" si="11"/>
        <v>6'2"
188</v>
      </c>
      <c r="E30" s="89" t="str">
        <f t="shared" si="12"/>
        <v>6'2"
188</v>
      </c>
      <c r="F30" s="28">
        <f t="shared" si="24"/>
        <v>82.02764419079999</v>
      </c>
      <c r="G30" s="90">
        <f t="shared" si="16"/>
        <v>180.83999999999997</v>
      </c>
      <c r="H30" s="91">
        <f t="shared" si="17"/>
        <v>170.94</v>
      </c>
      <c r="I30" s="90">
        <f t="shared" si="18"/>
        <v>172.92000000000002</v>
      </c>
      <c r="J30" s="91">
        <f t="shared" si="19"/>
        <v>160.16</v>
      </c>
      <c r="K30" s="90">
        <f t="shared" si="20"/>
        <v>167.04</v>
      </c>
      <c r="L30" s="91">
        <f t="shared" si="21"/>
        <v>158.68</v>
      </c>
      <c r="M30" s="30">
        <f t="shared" si="25"/>
        <v>144.10526315789474</v>
      </c>
      <c r="N30" s="30">
        <f t="shared" si="26"/>
        <v>194.73684210526315</v>
      </c>
      <c r="O30" s="30">
        <f t="shared" si="13"/>
        <v>233.68421052631578</v>
      </c>
      <c r="P30" s="87">
        <f t="shared" si="14"/>
        <v>50.631578947368411</v>
      </c>
      <c r="Q30" s="87">
        <f t="shared" si="15"/>
        <v>38.94736842105263</v>
      </c>
      <c r="S30" s="99">
        <v>40</v>
      </c>
      <c r="T30" s="99">
        <v>40</v>
      </c>
      <c r="V30">
        <v>220</v>
      </c>
      <c r="X30">
        <v>1</v>
      </c>
    </row>
    <row r="31" spans="1:24" x14ac:dyDescent="0.2">
      <c r="A31" s="27">
        <v>75</v>
      </c>
      <c r="B31" s="27" t="str">
        <f t="shared" si="22"/>
        <v>6'3"</v>
      </c>
      <c r="C31" s="29">
        <f t="shared" si="23"/>
        <v>1.905</v>
      </c>
      <c r="D31" s="88" t="str">
        <f t="shared" si="11"/>
        <v>6'3"
191</v>
      </c>
      <c r="E31" s="89" t="str">
        <f t="shared" si="12"/>
        <v>6'3"
191</v>
      </c>
      <c r="F31" s="28">
        <f t="shared" si="24"/>
        <v>84.322821582999993</v>
      </c>
      <c r="G31" s="90">
        <f t="shared" si="16"/>
        <v>185.89999999999998</v>
      </c>
      <c r="H31" s="91">
        <f t="shared" si="17"/>
        <v>176</v>
      </c>
      <c r="I31" s="90">
        <f t="shared" si="18"/>
        <v>177.1</v>
      </c>
      <c r="J31" s="91">
        <f t="shared" si="19"/>
        <v>163.9</v>
      </c>
      <c r="K31" s="90">
        <f t="shared" si="20"/>
        <v>170.14</v>
      </c>
      <c r="L31" s="91">
        <f t="shared" si="21"/>
        <v>161.66999999999999</v>
      </c>
      <c r="M31" s="30">
        <f t="shared" si="25"/>
        <v>148.02631578947367</v>
      </c>
      <c r="N31" s="30">
        <f t="shared" si="26"/>
        <v>200.03556187766713</v>
      </c>
      <c r="O31" s="30">
        <f t="shared" si="13"/>
        <v>240.04267425320057</v>
      </c>
      <c r="P31" s="87">
        <f t="shared" si="14"/>
        <v>52.009246088193464</v>
      </c>
      <c r="Q31" s="87">
        <f t="shared" si="15"/>
        <v>40.007112375533438</v>
      </c>
      <c r="S31" s="99"/>
      <c r="T31" s="99"/>
      <c r="U31">
        <v>40</v>
      </c>
      <c r="W31">
        <v>230</v>
      </c>
      <c r="X31">
        <v>1</v>
      </c>
    </row>
    <row r="32" spans="1:24" x14ac:dyDescent="0.2">
      <c r="A32" s="27">
        <v>76</v>
      </c>
      <c r="B32" s="27" t="str">
        <f t="shared" si="22"/>
        <v>6'4"</v>
      </c>
      <c r="C32" s="29">
        <f t="shared" si="23"/>
        <v>1.9303999999999999</v>
      </c>
      <c r="D32" s="88" t="str">
        <f t="shared" si="11"/>
        <v>6'4"
193</v>
      </c>
      <c r="E32" s="89" t="str">
        <f t="shared" si="12"/>
        <v>6'4"
193</v>
      </c>
      <c r="F32" s="28">
        <f t="shared" si="24"/>
        <v>86.617998975199995</v>
      </c>
      <c r="G32" s="90">
        <f t="shared" si="16"/>
        <v>190.95999999999998</v>
      </c>
      <c r="H32" s="91">
        <f t="shared" si="17"/>
        <v>181.06</v>
      </c>
      <c r="I32" s="90">
        <f t="shared" si="18"/>
        <v>181.28</v>
      </c>
      <c r="J32" s="91">
        <f t="shared" si="19"/>
        <v>167.64</v>
      </c>
      <c r="K32" s="90">
        <f t="shared" si="20"/>
        <v>173.24</v>
      </c>
      <c r="L32" s="91">
        <f t="shared" si="21"/>
        <v>164.66</v>
      </c>
      <c r="M32" s="30">
        <f t="shared" si="25"/>
        <v>152</v>
      </c>
      <c r="N32" s="30">
        <f t="shared" si="26"/>
        <v>205.40540540540542</v>
      </c>
      <c r="O32" s="30">
        <f t="shared" si="13"/>
        <v>246.48648648648648</v>
      </c>
      <c r="P32" s="87">
        <f t="shared" si="14"/>
        <v>53.405405405405418</v>
      </c>
      <c r="Q32" s="87">
        <f t="shared" si="15"/>
        <v>41.081081081081066</v>
      </c>
      <c r="S32" s="99">
        <v>40</v>
      </c>
      <c r="T32" s="99">
        <v>40</v>
      </c>
      <c r="V32">
        <v>240</v>
      </c>
      <c r="X32">
        <v>1</v>
      </c>
    </row>
    <row r="33" spans="1:24" x14ac:dyDescent="0.2">
      <c r="A33" s="27">
        <v>77</v>
      </c>
      <c r="B33" s="27" t="str">
        <f t="shared" si="22"/>
        <v>6'5"</v>
      </c>
      <c r="C33" s="29">
        <f t="shared" si="23"/>
        <v>1.9558000000000002</v>
      </c>
      <c r="D33" s="88" t="str">
        <f t="shared" si="11"/>
        <v>6'5"
196</v>
      </c>
      <c r="E33" s="89" t="str">
        <f t="shared" si="12"/>
        <v>6'5"
196</v>
      </c>
      <c r="F33" s="28">
        <f t="shared" si="24"/>
        <v>88.913176367399998</v>
      </c>
      <c r="G33" s="90">
        <f t="shared" si="16"/>
        <v>196.01999999999998</v>
      </c>
      <c r="H33" s="91">
        <f t="shared" si="17"/>
        <v>186.12</v>
      </c>
      <c r="I33" s="90">
        <f t="shared" si="18"/>
        <v>185.46</v>
      </c>
      <c r="J33" s="91">
        <f t="shared" si="19"/>
        <v>171.38</v>
      </c>
      <c r="K33" s="90">
        <f t="shared" si="20"/>
        <v>176.34</v>
      </c>
      <c r="L33" s="91">
        <f t="shared" si="21"/>
        <v>167.65</v>
      </c>
      <c r="M33" s="30">
        <f t="shared" si="25"/>
        <v>156.02631578947367</v>
      </c>
      <c r="N33" s="30">
        <f t="shared" si="26"/>
        <v>210.84637268847794</v>
      </c>
      <c r="O33" s="30">
        <f t="shared" si="13"/>
        <v>253.01564722617354</v>
      </c>
      <c r="P33" s="87">
        <f t="shared" si="14"/>
        <v>54.820056899004271</v>
      </c>
      <c r="Q33" s="87">
        <f t="shared" si="15"/>
        <v>42.1692745376956</v>
      </c>
      <c r="S33" s="99"/>
      <c r="T33" s="99"/>
      <c r="U33">
        <v>40</v>
      </c>
      <c r="W33">
        <v>250</v>
      </c>
      <c r="X33">
        <v>1</v>
      </c>
    </row>
    <row r="34" spans="1:24" x14ac:dyDescent="0.2">
      <c r="A34" s="27">
        <v>78</v>
      </c>
      <c r="B34" s="27" t="str">
        <f t="shared" si="22"/>
        <v>6'6"</v>
      </c>
      <c r="C34" s="29">
        <f t="shared" si="23"/>
        <v>1.9812000000000001</v>
      </c>
      <c r="D34" s="88" t="str">
        <f t="shared" si="11"/>
        <v>6'6"
198</v>
      </c>
      <c r="E34" s="89" t="str">
        <f t="shared" si="12"/>
        <v>6'6"
198</v>
      </c>
      <c r="F34" s="28">
        <f t="shared" si="24"/>
        <v>91.208353759600001</v>
      </c>
      <c r="G34" s="90">
        <f t="shared" si="16"/>
        <v>201.07999999999998</v>
      </c>
      <c r="H34" s="91">
        <f t="shared" si="17"/>
        <v>191.18</v>
      </c>
      <c r="I34" s="90">
        <f t="shared" si="18"/>
        <v>189.64</v>
      </c>
      <c r="J34" s="91">
        <f t="shared" si="19"/>
        <v>175.12</v>
      </c>
      <c r="K34" s="90">
        <f t="shared" si="20"/>
        <v>179.44</v>
      </c>
      <c r="L34" s="91">
        <f t="shared" si="21"/>
        <v>170.64</v>
      </c>
      <c r="M34" s="30">
        <f t="shared" si="25"/>
        <v>160.10526315789474</v>
      </c>
      <c r="N34" s="30">
        <f t="shared" si="26"/>
        <v>216.35846372688479</v>
      </c>
      <c r="O34" s="30">
        <f t="shared" si="13"/>
        <v>259.63015647226172</v>
      </c>
      <c r="P34" s="87">
        <f t="shared" si="14"/>
        <v>56.253200568990053</v>
      </c>
      <c r="Q34" s="87">
        <f t="shared" si="15"/>
        <v>43.271692745376924</v>
      </c>
      <c r="S34" s="99">
        <v>40</v>
      </c>
      <c r="T34" s="99">
        <v>40</v>
      </c>
      <c r="V34">
        <v>260</v>
      </c>
      <c r="X34">
        <v>1</v>
      </c>
    </row>
    <row r="35" spans="1:24" x14ac:dyDescent="0.2">
      <c r="A35" s="27">
        <v>79</v>
      </c>
      <c r="B35" s="27" t="str">
        <f t="shared" si="22"/>
        <v>6'7"</v>
      </c>
      <c r="C35" s="29">
        <f t="shared" si="23"/>
        <v>2.0066000000000002</v>
      </c>
      <c r="D35" s="88" t="str">
        <f t="shared" si="11"/>
        <v>6'7"
201</v>
      </c>
      <c r="E35" s="89" t="str">
        <f t="shared" si="12"/>
        <v>6'7"
201</v>
      </c>
      <c r="F35" s="28">
        <f t="shared" si="24"/>
        <v>93.503531151800004</v>
      </c>
      <c r="G35" s="90">
        <f t="shared" si="16"/>
        <v>206.14</v>
      </c>
      <c r="H35" s="91">
        <f t="shared" si="17"/>
        <v>196.23999999999998</v>
      </c>
      <c r="I35" s="90">
        <f t="shared" si="18"/>
        <v>193.82</v>
      </c>
      <c r="J35" s="91">
        <f t="shared" si="19"/>
        <v>178.86</v>
      </c>
      <c r="K35" s="90">
        <f t="shared" si="20"/>
        <v>182.54</v>
      </c>
      <c r="L35" s="91">
        <f t="shared" si="21"/>
        <v>173.63</v>
      </c>
      <c r="M35" s="30">
        <f t="shared" si="25"/>
        <v>164.23684210526315</v>
      </c>
      <c r="N35" s="30">
        <f t="shared" si="26"/>
        <v>221.94167852062589</v>
      </c>
      <c r="O35" s="30">
        <f t="shared" si="13"/>
        <v>266.33001422475104</v>
      </c>
      <c r="P35" s="87">
        <f t="shared" si="14"/>
        <v>57.704836415362735</v>
      </c>
      <c r="Q35" s="87">
        <f t="shared" si="15"/>
        <v>44.388335704125154</v>
      </c>
      <c r="S35" s="99"/>
      <c r="T35" s="99"/>
      <c r="U35">
        <v>40</v>
      </c>
      <c r="W35">
        <v>270</v>
      </c>
      <c r="X35">
        <v>1</v>
      </c>
    </row>
    <row r="36" spans="1:24" x14ac:dyDescent="0.2">
      <c r="A36" s="27">
        <v>80</v>
      </c>
      <c r="B36" s="27" t="str">
        <f t="shared" si="22"/>
        <v>6'8"</v>
      </c>
      <c r="C36" s="29">
        <f t="shared" si="23"/>
        <v>2.032</v>
      </c>
      <c r="D36" s="88" t="str">
        <f>B36&amp;CHAR(10)&amp;ROUND(C36,2)*100&amp;"cm"</f>
        <v>6'8"
203cm</v>
      </c>
      <c r="E36" s="89" t="str">
        <f t="shared" si="12"/>
        <v>6'8"
203</v>
      </c>
      <c r="F36" s="28">
        <f t="shared" si="24"/>
        <v>95.798708543999993</v>
      </c>
      <c r="G36" s="90">
        <f t="shared" si="16"/>
        <v>211.2</v>
      </c>
      <c r="H36" s="91">
        <f t="shared" si="17"/>
        <v>201.29999999999998</v>
      </c>
      <c r="I36" s="90">
        <f t="shared" si="18"/>
        <v>198</v>
      </c>
      <c r="J36" s="91">
        <f t="shared" si="19"/>
        <v>182.60000000000002</v>
      </c>
      <c r="K36" s="90">
        <f t="shared" si="20"/>
        <v>185.64</v>
      </c>
      <c r="L36" s="91">
        <f t="shared" si="21"/>
        <v>176.62</v>
      </c>
      <c r="M36" s="30">
        <f t="shared" si="25"/>
        <v>168.42105263157896</v>
      </c>
      <c r="N36" s="30">
        <f t="shared" si="26"/>
        <v>227.59601706970128</v>
      </c>
      <c r="O36" s="30">
        <f t="shared" si="13"/>
        <v>273.11522048364151</v>
      </c>
      <c r="P36" s="87">
        <f t="shared" si="14"/>
        <v>59.174964438122316</v>
      </c>
      <c r="Q36" s="87">
        <f t="shared" si="15"/>
        <v>45.519203413940232</v>
      </c>
      <c r="S36" s="99">
        <v>40</v>
      </c>
      <c r="T36" s="99">
        <v>40</v>
      </c>
      <c r="V36">
        <v>280</v>
      </c>
      <c r="X36">
        <v>1</v>
      </c>
    </row>
    <row r="37" spans="1:24" x14ac:dyDescent="0.2">
      <c r="A37" s="27">
        <v>81</v>
      </c>
      <c r="B37" s="27" t="str">
        <f t="shared" si="22"/>
        <v>6'9"</v>
      </c>
      <c r="C37" s="29">
        <f t="shared" si="23"/>
        <v>2.0573999999999999</v>
      </c>
      <c r="D37" s="29" t="str">
        <f t="shared" si="11"/>
        <v>6'9"
206</v>
      </c>
      <c r="E37" s="89" t="str">
        <f t="shared" si="12"/>
        <v>6'9"
206</v>
      </c>
      <c r="F37" s="28">
        <f t="shared" si="24"/>
        <v>98.093885936199996</v>
      </c>
      <c r="G37" s="90">
        <f t="shared" si="16"/>
        <v>216.26</v>
      </c>
      <c r="H37" s="91">
        <f t="shared" si="17"/>
        <v>206.35999999999999</v>
      </c>
      <c r="I37" s="90">
        <f t="shared" si="18"/>
        <v>202.18</v>
      </c>
      <c r="J37" s="91">
        <f t="shared" si="19"/>
        <v>186.34</v>
      </c>
      <c r="K37" s="90">
        <f t="shared" si="20"/>
        <v>188.74</v>
      </c>
      <c r="L37" s="91">
        <f t="shared" si="21"/>
        <v>179.61</v>
      </c>
      <c r="M37" s="30">
        <f t="shared" si="25"/>
        <v>172.65789473684211</v>
      </c>
      <c r="N37" s="30">
        <f t="shared" si="26"/>
        <v>233.32147937411096</v>
      </c>
      <c r="O37" s="30">
        <f t="shared" si="13"/>
        <v>279.98577524893312</v>
      </c>
      <c r="P37" s="87">
        <f t="shared" si="14"/>
        <v>60.663584637268855</v>
      </c>
      <c r="Q37" s="87">
        <f t="shared" si="15"/>
        <v>46.664295874822159</v>
      </c>
      <c r="S37" s="99"/>
      <c r="T37" s="99"/>
      <c r="U37">
        <v>40</v>
      </c>
      <c r="W37">
        <v>290</v>
      </c>
      <c r="X37">
        <v>1</v>
      </c>
    </row>
    <row r="38" spans="1:24" x14ac:dyDescent="0.2">
      <c r="A38" s="27">
        <v>82</v>
      </c>
      <c r="B38" s="27" t="str">
        <f t="shared" si="22"/>
        <v>6'10"</v>
      </c>
      <c r="C38" s="29">
        <f t="shared" si="23"/>
        <v>2.0828000000000002</v>
      </c>
      <c r="D38" s="29" t="str">
        <f t="shared" si="11"/>
        <v>6'10"
208</v>
      </c>
      <c r="E38" s="89" t="str">
        <f t="shared" si="12"/>
        <v>6'10"
208</v>
      </c>
      <c r="F38" s="28">
        <f t="shared" si="24"/>
        <v>100.3890633284</v>
      </c>
      <c r="G38" s="90">
        <f t="shared" si="16"/>
        <v>221.32</v>
      </c>
      <c r="H38" s="91">
        <f t="shared" si="17"/>
        <v>211.42</v>
      </c>
      <c r="I38" s="90">
        <f t="shared" si="18"/>
        <v>206.36</v>
      </c>
      <c r="J38" s="91">
        <f t="shared" si="19"/>
        <v>190.07999999999998</v>
      </c>
      <c r="K38" s="90">
        <f t="shared" si="20"/>
        <v>191.84</v>
      </c>
      <c r="L38" s="91">
        <f t="shared" si="21"/>
        <v>182.6</v>
      </c>
      <c r="M38" s="30">
        <f t="shared" si="25"/>
        <v>176.94736842105263</v>
      </c>
      <c r="N38" s="30">
        <f t="shared" si="26"/>
        <v>239.11806543385489</v>
      </c>
      <c r="O38" s="30">
        <f t="shared" si="13"/>
        <v>286.94167852062589</v>
      </c>
      <c r="P38" s="87">
        <f t="shared" si="14"/>
        <v>62.170697012802265</v>
      </c>
      <c r="Q38" s="87">
        <f t="shared" si="15"/>
        <v>47.82361308677099</v>
      </c>
      <c r="S38" s="99">
        <v>40</v>
      </c>
      <c r="T38" s="99">
        <v>40</v>
      </c>
      <c r="V38">
        <v>300</v>
      </c>
      <c r="X38">
        <v>1</v>
      </c>
    </row>
    <row r="39" spans="1:24" x14ac:dyDescent="0.2">
      <c r="A39" s="27">
        <v>83</v>
      </c>
      <c r="B39" s="27" t="str">
        <f t="shared" si="22"/>
        <v>6'11"</v>
      </c>
      <c r="C39" s="29">
        <f t="shared" si="23"/>
        <v>2.1082000000000001</v>
      </c>
      <c r="D39" s="29" t="str">
        <f t="shared" si="11"/>
        <v>6'11"
211</v>
      </c>
      <c r="E39" s="89" t="str">
        <f t="shared" si="12"/>
        <v>6'11"
211</v>
      </c>
      <c r="F39" s="28">
        <f t="shared" si="24"/>
        <v>102.6842407206</v>
      </c>
      <c r="G39" s="90">
        <f t="shared" si="16"/>
        <v>226.38</v>
      </c>
      <c r="H39" s="91">
        <f t="shared" si="17"/>
        <v>216.48</v>
      </c>
      <c r="I39" s="90">
        <f t="shared" si="18"/>
        <v>210.54</v>
      </c>
      <c r="J39" s="91">
        <f t="shared" si="19"/>
        <v>193.82</v>
      </c>
      <c r="K39" s="90">
        <f t="shared" si="20"/>
        <v>194.94</v>
      </c>
      <c r="L39" s="91">
        <f t="shared" si="21"/>
        <v>185.59</v>
      </c>
      <c r="M39" s="30">
        <f t="shared" si="25"/>
        <v>181.28947368421052</v>
      </c>
      <c r="N39" s="30">
        <f t="shared" si="26"/>
        <v>244.98577524893315</v>
      </c>
      <c r="O39" s="30">
        <f t="shared" si="13"/>
        <v>293.98293029871979</v>
      </c>
      <c r="P39" s="87">
        <f t="shared" si="14"/>
        <v>63.696301564722631</v>
      </c>
      <c r="Q39" s="87">
        <f t="shared" si="15"/>
        <v>48.997155049786642</v>
      </c>
      <c r="S39" s="99"/>
      <c r="T39" s="99"/>
      <c r="U39">
        <v>40</v>
      </c>
      <c r="W39">
        <v>310</v>
      </c>
      <c r="X39">
        <v>1</v>
      </c>
    </row>
    <row r="40" spans="1:24" x14ac:dyDescent="0.2">
      <c r="A40" s="27">
        <v>84</v>
      </c>
      <c r="B40" s="27" t="str">
        <f t="shared" si="22"/>
        <v>7'0"</v>
      </c>
      <c r="C40" s="29">
        <f t="shared" si="23"/>
        <v>2.1335999999999999</v>
      </c>
      <c r="D40" s="29" t="str">
        <f t="shared" si="11"/>
        <v>7'0"
213</v>
      </c>
      <c r="E40" s="89" t="str">
        <f>B40&amp;CHAR(10)&amp;ROUND(C40,2)*100&amp;"cm"</f>
        <v>7'0"
213cm</v>
      </c>
      <c r="F40" s="28">
        <f t="shared" si="24"/>
        <v>104.9794181128</v>
      </c>
      <c r="G40" s="90">
        <f t="shared" si="16"/>
        <v>231.44</v>
      </c>
      <c r="H40" s="91">
        <f t="shared" si="17"/>
        <v>221.54</v>
      </c>
      <c r="I40" s="90">
        <f t="shared" si="18"/>
        <v>214.72</v>
      </c>
      <c r="J40" s="91">
        <f t="shared" si="19"/>
        <v>197.56</v>
      </c>
      <c r="K40" s="90">
        <f t="shared" si="20"/>
        <v>198.04000000000002</v>
      </c>
      <c r="L40" s="91">
        <f t="shared" si="21"/>
        <v>188.57999999999998</v>
      </c>
      <c r="M40" s="30">
        <f t="shared" si="25"/>
        <v>185.68421052631578</v>
      </c>
      <c r="N40" s="30">
        <f t="shared" si="26"/>
        <v>250.92460881934565</v>
      </c>
      <c r="O40" s="30">
        <f t="shared" si="13"/>
        <v>301.10953058321479</v>
      </c>
      <c r="P40" s="87">
        <f t="shared" si="14"/>
        <v>65.24039829302987</v>
      </c>
      <c r="Q40" s="87">
        <f t="shared" si="15"/>
        <v>50.184921763869141</v>
      </c>
      <c r="S40" s="99">
        <v>40</v>
      </c>
      <c r="T40" s="99">
        <v>40</v>
      </c>
      <c r="V40">
        <v>320</v>
      </c>
      <c r="X40">
        <v>1</v>
      </c>
    </row>
    <row r="41" spans="1:24" x14ac:dyDescent="0.2">
      <c r="O41" s="30"/>
    </row>
    <row r="42" spans="1:24" x14ac:dyDescent="0.2">
      <c r="O42" s="30"/>
    </row>
    <row r="43" spans="1:24" x14ac:dyDescent="0.2">
      <c r="A43" s="1" t="s">
        <v>44</v>
      </c>
    </row>
    <row r="44" spans="1:24" x14ac:dyDescent="0.2">
      <c r="A44" t="s">
        <v>8</v>
      </c>
    </row>
    <row r="45" spans="1:24" x14ac:dyDescent="0.2">
      <c r="A45" t="s">
        <v>37</v>
      </c>
    </row>
    <row r="46" spans="1:24" x14ac:dyDescent="0.2">
      <c r="A46" t="s">
        <v>9</v>
      </c>
    </row>
    <row r="47" spans="1:24" x14ac:dyDescent="0.2">
      <c r="A47" t="s">
        <v>36</v>
      </c>
    </row>
    <row r="48" spans="1:24" x14ac:dyDescent="0.2">
      <c r="A48" t="s">
        <v>68</v>
      </c>
    </row>
    <row r="50" spans="1:13" x14ac:dyDescent="0.2">
      <c r="A50" s="1" t="s">
        <v>17</v>
      </c>
    </row>
    <row r="51" spans="1:13" x14ac:dyDescent="0.2">
      <c r="A51" s="2" t="s">
        <v>22</v>
      </c>
    </row>
    <row r="52" spans="1:13" x14ac:dyDescent="0.2">
      <c r="A52" s="2" t="s">
        <v>23</v>
      </c>
    </row>
    <row r="53" spans="1:13" x14ac:dyDescent="0.2">
      <c r="A53" s="2" t="s">
        <v>20</v>
      </c>
      <c r="J53" s="1"/>
      <c r="K53" s="1"/>
      <c r="L53" s="1"/>
      <c r="M53" s="1"/>
    </row>
    <row r="54" spans="1:13" x14ac:dyDescent="0.2">
      <c r="A54" s="2" t="s">
        <v>21</v>
      </c>
      <c r="J54" s="1"/>
      <c r="K54" s="1"/>
      <c r="L54" s="1"/>
      <c r="M54" s="1"/>
    </row>
    <row r="55" spans="1:13" x14ac:dyDescent="0.2">
      <c r="J55" s="1"/>
      <c r="K55" s="1"/>
      <c r="L55" s="1"/>
      <c r="M55" s="1"/>
    </row>
    <row r="56" spans="1:13" x14ac:dyDescent="0.2">
      <c r="A56" s="1" t="s">
        <v>19</v>
      </c>
      <c r="J56" s="1"/>
      <c r="K56" s="1"/>
      <c r="L56" s="1"/>
      <c r="M56" s="1"/>
    </row>
    <row r="57" spans="1:13" x14ac:dyDescent="0.2">
      <c r="A57" s="2" t="s">
        <v>24</v>
      </c>
      <c r="J57" s="1"/>
      <c r="K57" s="1"/>
      <c r="L57" s="1"/>
      <c r="M57" s="1"/>
    </row>
    <row r="58" spans="1:13" x14ac:dyDescent="0.2">
      <c r="A58" s="2" t="s">
        <v>25</v>
      </c>
      <c r="J58" s="1"/>
      <c r="K58" s="1"/>
      <c r="L58" s="1"/>
      <c r="M58" s="1"/>
    </row>
    <row r="59" spans="1:13" x14ac:dyDescent="0.2">
      <c r="A59" s="2" t="s">
        <v>3</v>
      </c>
      <c r="J59" s="1"/>
      <c r="K59" s="1"/>
      <c r="L59" s="1"/>
      <c r="M59" s="1"/>
    </row>
    <row r="60" spans="1:13" x14ac:dyDescent="0.2">
      <c r="A60" s="2" t="s">
        <v>4</v>
      </c>
      <c r="J60" s="1"/>
      <c r="K60" s="1"/>
      <c r="L60" s="1"/>
      <c r="M60" s="1"/>
    </row>
    <row r="61" spans="1:13" x14ac:dyDescent="0.2">
      <c r="J61" s="1"/>
      <c r="K61" s="1"/>
      <c r="L61" s="1"/>
      <c r="M61" s="1"/>
    </row>
    <row r="62" spans="1:13" x14ac:dyDescent="0.2">
      <c r="A62" s="1" t="s">
        <v>26</v>
      </c>
      <c r="J62" s="1"/>
      <c r="K62" s="1"/>
      <c r="L62" s="1"/>
      <c r="M62" s="1"/>
    </row>
    <row r="63" spans="1:13" x14ac:dyDescent="0.2">
      <c r="A63" s="2" t="s">
        <v>1</v>
      </c>
      <c r="J63" s="1"/>
      <c r="K63" s="1"/>
      <c r="L63" s="1"/>
      <c r="M63" s="1"/>
    </row>
    <row r="64" spans="1:13" x14ac:dyDescent="0.2">
      <c r="A64" s="2" t="s">
        <v>2</v>
      </c>
      <c r="J64" s="1"/>
      <c r="K64" s="1"/>
      <c r="L64" s="1"/>
      <c r="M64" s="1"/>
    </row>
    <row r="65" spans="1:13" x14ac:dyDescent="0.2">
      <c r="A65" s="2" t="s">
        <v>0</v>
      </c>
      <c r="J65" s="1"/>
      <c r="K65" s="1"/>
      <c r="L65" s="1"/>
      <c r="M65" s="1"/>
    </row>
    <row r="66" spans="1:13" x14ac:dyDescent="0.2">
      <c r="A66" s="2" t="s">
        <v>27</v>
      </c>
      <c r="J66" s="1"/>
      <c r="K66" s="1"/>
      <c r="L66" s="1"/>
      <c r="M66" s="1"/>
    </row>
    <row r="67" spans="1:13" x14ac:dyDescent="0.2">
      <c r="J67" s="1"/>
      <c r="K67" s="1"/>
      <c r="L67" s="1"/>
      <c r="M67" s="1"/>
    </row>
    <row r="68" spans="1:13" x14ac:dyDescent="0.2">
      <c r="A68" s="1" t="s">
        <v>43</v>
      </c>
      <c r="J68" s="1"/>
      <c r="K68" s="1"/>
      <c r="L68" s="1"/>
      <c r="M68" s="1"/>
    </row>
    <row r="69" spans="1:13" x14ac:dyDescent="0.2">
      <c r="A69" t="s">
        <v>42</v>
      </c>
      <c r="J69" s="1"/>
      <c r="K69" s="1"/>
      <c r="L69" s="1"/>
      <c r="M69" s="1"/>
    </row>
  </sheetData>
  <mergeCells count="1">
    <mergeCell ref="I1:J1"/>
  </mergeCells>
  <phoneticPr fontId="5" type="noConversion"/>
  <hyperlinks>
    <hyperlink ref="A2" r:id="rId1" display="From Vertex42.com"/>
  </hyperlinks>
  <pageMargins left="0.75" right="0.75" top="1" bottom="1" header="0.5" footer="0.5"/>
  <pageSetup orientation="portrait" horizontalDpi="1200" verticalDpi="120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Chart</vt:lpstr>
      <vt:lpstr>Calculator</vt:lpstr>
      <vt:lpstr>Calculations</vt:lpstr>
      <vt:lpstr>Calculator!Print_Area</vt:lpstr>
      <vt:lpstr>Chart!Print_Area</vt:lpstr>
      <vt:lpstr>Chart!Print_Titles</vt:lpstr>
    </vt:vector>
  </TitlesOfParts>
  <Manager/>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Ideal Weight Chart</dc:title>
  <dc:subject/>
  <dc:creator>Vertex42.com</dc:creator>
  <cp:keywords/>
  <dc:description>(c) 2009-2015 Vertex42 LLC. All Rights Reserved.</dc:description>
  <cp:lastModifiedBy>Ghasli @ Ghazali, Mohamad Amir</cp:lastModifiedBy>
  <cp:lastPrinted>2015-04-07T18:59:36Z</cp:lastPrinted>
  <dcterms:created xsi:type="dcterms:W3CDTF">2009-01-23T18:26:06Z</dcterms:created>
  <dcterms:modified xsi:type="dcterms:W3CDTF">2022-11-14T17:41:00Z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2009-2015 Vertex42 LLC</vt:lpwstr>
  </property>
  <property fmtid="{D5CDD505-2E9C-101B-9397-08002B2CF9AE}" pid="3" name="Source">
    <vt:lpwstr>https://www.vertex42.com/ExcelTemplates/ideal-weight-chart.html</vt:lpwstr>
  </property>
  <property fmtid="{D5CDD505-2E9C-101B-9397-08002B2CF9AE}" pid="4" name="Version">
    <vt:lpwstr>1.1.1</vt:lpwstr>
  </property>
</Properties>
</file>